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mlv.sharepoint.com/sites/FPD/Koplietojamie dokumenti/FISKĀLĀS ANALĪZES UN PROGNOZĒŠANAS NODAĻA/GG TABULAS/GG_TABULAS_sent/2026/"/>
    </mc:Choice>
  </mc:AlternateContent>
  <xr:revisionPtr revIDLastSave="631" documentId="8_{C0AE5019-71C3-4E52-A138-83E48A6F4D8F}" xr6:coauthVersionLast="47" xr6:coauthVersionMax="47" xr10:uidLastSave="{EF350250-A4F7-4FF2-9B52-39335B697DA7}"/>
  <bookViews>
    <workbookView xWindow="-110" yWindow="-110" windowWidth="19420" windowHeight="10300" tabRatio="636" activeTab="2" xr2:uid="{00000000-000D-0000-FFFF-FFFF00000000}"/>
  </bookViews>
  <sheets>
    <sheet name="Kopbudžets" sheetId="2" r:id="rId1"/>
    <sheet name="Valsts_Budžets_(ar_APP)" sheetId="3" r:id="rId2"/>
    <sheet name="Valsts_Pamatbudžets" sheetId="5" r:id="rId3"/>
    <sheet name="Valsts_Speciālais_Budžets" sheetId="6" r:id="rId4"/>
    <sheet name="Pašvaldību_Budžets" sheetId="8" r:id="rId5"/>
    <sheet name="Atv._Publ._Personu_Budžets" sheetId="7" r:id="rId6"/>
    <sheet name="Valsts_Budžets" sheetId="4" r:id="rId7"/>
  </sheets>
  <definedNames>
    <definedName name="_xlnm.Print_Area" localSheetId="5">'Atv._Publ._Personu_Budžets'!$C$1:$HV$48</definedName>
    <definedName name="_xlnm.Print_Area" localSheetId="0">Kopbudžets!$C$3:$HX$75</definedName>
    <definedName name="_xlnm.Print_Area" localSheetId="4">Pašvaldību_Budžets!$C$3:$VF$58</definedName>
    <definedName name="_xlnm.Print_Area" localSheetId="6">Valsts_Budžets!$C$1:$GD$71,Valsts_Budžets!#REF!</definedName>
    <definedName name="_xlnm.Print_Area" localSheetId="1">'Valsts_Budžets_(ar_APP)'!$C$3:$HX$73</definedName>
    <definedName name="_xlnm.Print_Area" localSheetId="2">Valsts_Pamatbudžets!$C$3:$WD$74</definedName>
    <definedName name="_xlnm.Print_Area" localSheetId="3">Valsts_Speciālais_Budžets!$C$3:$HX$43</definedName>
    <definedName name="_xlnm.Print_Titles" localSheetId="5">'Atv._Publ._Personu_Budžets'!$C:$C,'Atv._Publ._Personu_Budžets'!$5:$6</definedName>
    <definedName name="_xlnm.Print_Titles" localSheetId="0">Kopbudžets!$C:$C,Kopbudžets!$5:$6</definedName>
    <definedName name="_xlnm.Print_Titles" localSheetId="4">Pašvaldību_Budžets!$C:$C,Pašvaldību_Budžets!$5:$7</definedName>
    <definedName name="_xlnm.Print_Titles" localSheetId="2">Valsts_Pamatbudžets!$C:$C,Valsts_Pamatbudžets!$5:$7</definedName>
    <definedName name="_xlnm.Print_Titles" localSheetId="3">Valsts_Speciālais_Budžets!$C:$C,Valsts_Speciālais_Budžets!$5:$6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F40" i="8" l="1"/>
  <c r="HX39" i="6"/>
  <c r="WD35" i="5"/>
  <c r="GD34" i="4"/>
  <c r="UX67" i="5" l="1"/>
  <c r="UV67" i="5"/>
  <c r="TX26" i="8" l="1"/>
  <c r="TX39" i="8"/>
  <c r="TX40" i="8"/>
  <c r="VB40" i="8" s="1"/>
  <c r="TX41" i="8"/>
  <c r="VB41" i="8" s="1"/>
  <c r="TX46" i="8"/>
  <c r="VB46" i="8" s="1"/>
  <c r="TX47" i="8"/>
  <c r="TX52" i="8"/>
  <c r="TX53" i="8"/>
  <c r="VB53" i="8" s="1"/>
  <c r="TX54" i="8"/>
  <c r="TX55" i="8"/>
  <c r="TX25" i="8"/>
  <c r="TX10" i="8"/>
  <c r="TX11" i="8"/>
  <c r="TX12" i="8"/>
  <c r="TX13" i="8"/>
  <c r="TX14" i="8"/>
  <c r="TX15" i="8"/>
  <c r="TX16" i="8"/>
  <c r="TX17" i="8"/>
  <c r="TX18" i="8"/>
  <c r="TX19" i="8"/>
  <c r="TX20" i="8"/>
  <c r="TX21" i="8"/>
  <c r="TX22" i="8"/>
  <c r="TX23" i="8"/>
  <c r="TX9" i="8"/>
  <c r="TY8" i="8"/>
  <c r="VZ16" i="5"/>
  <c r="VZ24" i="5"/>
  <c r="VZ32" i="5"/>
  <c r="GB9" i="4"/>
  <c r="GB10" i="4"/>
  <c r="GB11" i="4"/>
  <c r="GB12" i="4"/>
  <c r="GB13" i="4"/>
  <c r="GB14" i="4"/>
  <c r="GB15" i="4"/>
  <c r="GB16" i="4"/>
  <c r="GB17" i="4"/>
  <c r="GB18" i="4"/>
  <c r="GB19" i="4"/>
  <c r="GB20" i="4"/>
  <c r="GB21" i="4"/>
  <c r="GB22" i="4"/>
  <c r="GB23" i="4"/>
  <c r="GB24" i="4"/>
  <c r="GB25" i="4"/>
  <c r="GB26" i="4"/>
  <c r="GB27" i="4"/>
  <c r="GB28" i="4"/>
  <c r="GB29" i="4"/>
  <c r="GB30" i="4"/>
  <c r="GB31" i="4"/>
  <c r="GB32" i="4"/>
  <c r="GB33" i="4"/>
  <c r="GB34" i="4"/>
  <c r="GB35" i="4"/>
  <c r="GB36" i="4"/>
  <c r="GB37" i="4"/>
  <c r="GB39" i="4"/>
  <c r="GB40" i="4"/>
  <c r="GB41" i="4"/>
  <c r="GB42" i="4"/>
  <c r="GB43" i="4"/>
  <c r="GB44" i="4"/>
  <c r="GB45" i="4"/>
  <c r="GB46" i="4"/>
  <c r="GB47" i="4"/>
  <c r="GB48" i="4"/>
  <c r="GB49" i="4"/>
  <c r="GB50" i="4"/>
  <c r="GB51" i="4"/>
  <c r="GB52" i="4"/>
  <c r="GB53" i="4"/>
  <c r="GB54" i="4"/>
  <c r="GB55" i="4"/>
  <c r="GB56" i="4"/>
  <c r="GB57" i="4"/>
  <c r="GB58" i="4"/>
  <c r="GB59" i="4"/>
  <c r="GB60" i="4"/>
  <c r="GB61" i="4"/>
  <c r="GB62" i="4"/>
  <c r="GB63" i="4"/>
  <c r="GB64" i="4"/>
  <c r="GB65" i="4"/>
  <c r="GB66" i="4"/>
  <c r="GB67" i="4"/>
  <c r="GB68" i="4"/>
  <c r="GB70" i="4"/>
  <c r="GB8" i="4"/>
  <c r="GB7" i="4"/>
  <c r="GA9" i="4"/>
  <c r="GA10" i="4"/>
  <c r="GA11" i="4"/>
  <c r="GA12" i="4"/>
  <c r="GA13" i="4"/>
  <c r="GA14" i="4"/>
  <c r="GA15" i="4"/>
  <c r="GA16" i="4"/>
  <c r="GA17" i="4"/>
  <c r="GA18" i="4"/>
  <c r="GA19" i="4"/>
  <c r="GA20" i="4"/>
  <c r="GA21" i="4"/>
  <c r="GA22" i="4"/>
  <c r="GA23" i="4"/>
  <c r="GA24" i="4"/>
  <c r="GA25" i="4"/>
  <c r="GA26" i="4"/>
  <c r="GA27" i="4"/>
  <c r="GA28" i="4"/>
  <c r="GA29" i="4"/>
  <c r="GA30" i="4"/>
  <c r="GA31" i="4"/>
  <c r="GA32" i="4"/>
  <c r="GA33" i="4"/>
  <c r="GA34" i="4"/>
  <c r="GA35" i="4"/>
  <c r="GA36" i="4"/>
  <c r="GA37" i="4"/>
  <c r="GA39" i="4"/>
  <c r="GA40" i="4"/>
  <c r="GA41" i="4"/>
  <c r="GA42" i="4"/>
  <c r="GA43" i="4"/>
  <c r="GA44" i="4"/>
  <c r="GA45" i="4"/>
  <c r="GA46" i="4"/>
  <c r="GA47" i="4"/>
  <c r="GA48" i="4"/>
  <c r="GA49" i="4"/>
  <c r="GA50" i="4"/>
  <c r="GA51" i="4"/>
  <c r="GA52" i="4"/>
  <c r="GA53" i="4"/>
  <c r="GA54" i="4"/>
  <c r="GA55" i="4"/>
  <c r="GA56" i="4"/>
  <c r="GA57" i="4"/>
  <c r="GA58" i="4"/>
  <c r="GA59" i="4"/>
  <c r="GA60" i="4"/>
  <c r="GA61" i="4"/>
  <c r="GA62" i="4"/>
  <c r="GA63" i="4"/>
  <c r="GA64" i="4"/>
  <c r="GA65" i="4"/>
  <c r="GA66" i="4"/>
  <c r="GA67" i="4"/>
  <c r="GA68" i="4"/>
  <c r="GA70" i="4"/>
  <c r="GA8" i="4"/>
  <c r="GA7" i="4"/>
  <c r="HS11" i="7"/>
  <c r="HT9" i="7"/>
  <c r="HT10" i="7"/>
  <c r="HT11" i="7"/>
  <c r="HT12" i="7"/>
  <c r="HT13" i="7"/>
  <c r="HT14" i="7"/>
  <c r="HT15" i="7"/>
  <c r="HT17" i="7"/>
  <c r="HT18" i="7"/>
  <c r="HT19" i="7"/>
  <c r="HT20" i="7"/>
  <c r="HT21" i="7"/>
  <c r="HT22" i="7"/>
  <c r="HT23" i="7"/>
  <c r="HT24" i="7"/>
  <c r="HT25" i="7"/>
  <c r="HT26" i="7"/>
  <c r="HT27" i="7"/>
  <c r="HT28" i="7"/>
  <c r="HT29" i="7"/>
  <c r="HT30" i="7"/>
  <c r="HT31" i="7"/>
  <c r="HT32" i="7"/>
  <c r="HT33" i="7"/>
  <c r="HT34" i="7"/>
  <c r="HT35" i="7"/>
  <c r="HT36" i="7"/>
  <c r="HT37" i="7"/>
  <c r="HT38" i="7"/>
  <c r="HT39" i="7"/>
  <c r="HT40" i="7"/>
  <c r="HT41" i="7"/>
  <c r="HT42" i="7"/>
  <c r="HT43" i="7"/>
  <c r="HT44" i="7"/>
  <c r="HT45" i="7"/>
  <c r="HT47" i="7"/>
  <c r="HT8" i="7"/>
  <c r="HT7" i="7"/>
  <c r="HS9" i="7"/>
  <c r="HS10" i="7"/>
  <c r="HS12" i="7"/>
  <c r="HS13" i="7"/>
  <c r="HS14" i="7"/>
  <c r="HS15" i="7"/>
  <c r="HS17" i="7"/>
  <c r="HS18" i="7"/>
  <c r="HS19" i="7"/>
  <c r="HS20" i="7"/>
  <c r="HS21" i="7"/>
  <c r="HS22" i="7"/>
  <c r="HS23" i="7"/>
  <c r="HS24" i="7"/>
  <c r="HS25" i="7"/>
  <c r="HS26" i="7"/>
  <c r="HS27" i="7"/>
  <c r="HS28" i="7"/>
  <c r="HS29" i="7"/>
  <c r="HS30" i="7"/>
  <c r="HS31" i="7"/>
  <c r="HS32" i="7"/>
  <c r="HS33" i="7"/>
  <c r="HS34" i="7"/>
  <c r="HS35" i="7"/>
  <c r="HS36" i="7"/>
  <c r="HS37" i="7"/>
  <c r="HS38" i="7"/>
  <c r="HS39" i="7"/>
  <c r="HS40" i="7"/>
  <c r="HS41" i="7"/>
  <c r="HS42" i="7"/>
  <c r="HS43" i="7"/>
  <c r="HS44" i="7"/>
  <c r="HS45" i="7"/>
  <c r="HS47" i="7"/>
  <c r="HS8" i="7"/>
  <c r="HS7" i="7"/>
  <c r="VD10" i="8"/>
  <c r="VD11" i="8"/>
  <c r="VD12" i="8"/>
  <c r="VD13" i="8"/>
  <c r="VD14" i="8"/>
  <c r="VD15" i="8"/>
  <c r="VD16" i="8"/>
  <c r="VD17" i="8"/>
  <c r="VD18" i="8"/>
  <c r="VD19" i="8"/>
  <c r="VD20" i="8"/>
  <c r="VD21" i="8"/>
  <c r="VD22" i="8"/>
  <c r="VD23" i="8"/>
  <c r="VD25" i="8"/>
  <c r="VD26" i="8"/>
  <c r="VD27" i="8"/>
  <c r="VD28" i="8"/>
  <c r="VD29" i="8"/>
  <c r="VD30" i="8"/>
  <c r="VD31" i="8"/>
  <c r="VD32" i="8"/>
  <c r="VD33" i="8"/>
  <c r="VD34" i="8"/>
  <c r="VD35" i="8"/>
  <c r="VD36" i="8"/>
  <c r="VD37" i="8"/>
  <c r="VD38" i="8"/>
  <c r="VD39" i="8"/>
  <c r="VD40" i="8"/>
  <c r="VD41" i="8"/>
  <c r="VD42" i="8"/>
  <c r="VD43" i="8"/>
  <c r="VD44" i="8"/>
  <c r="VD45" i="8"/>
  <c r="VD46" i="8"/>
  <c r="VD47" i="8"/>
  <c r="VD48" i="8"/>
  <c r="VD49" i="8"/>
  <c r="VD50" i="8"/>
  <c r="VD51" i="8"/>
  <c r="VD52" i="8"/>
  <c r="VD53" i="8"/>
  <c r="VD54" i="8"/>
  <c r="VD55" i="8"/>
  <c r="VD57" i="8"/>
  <c r="VD9" i="8"/>
  <c r="VD8" i="8"/>
  <c r="VC10" i="8"/>
  <c r="VC11" i="8"/>
  <c r="VC12" i="8"/>
  <c r="VC13" i="8"/>
  <c r="VC14" i="8"/>
  <c r="VC15" i="8"/>
  <c r="VC16" i="8"/>
  <c r="VC17" i="8"/>
  <c r="VC18" i="8"/>
  <c r="VC19" i="8"/>
  <c r="VC20" i="8"/>
  <c r="VC21" i="8"/>
  <c r="VC22" i="8"/>
  <c r="VC23" i="8"/>
  <c r="VC25" i="8"/>
  <c r="VC26" i="8"/>
  <c r="VC39" i="8"/>
  <c r="VC40" i="8"/>
  <c r="VC41" i="8"/>
  <c r="VC46" i="8"/>
  <c r="VC47" i="8"/>
  <c r="VC52" i="8"/>
  <c r="VC53" i="8"/>
  <c r="VC54" i="8"/>
  <c r="VC55" i="8"/>
  <c r="VC9" i="8"/>
  <c r="VB39" i="8"/>
  <c r="VB54" i="8"/>
  <c r="VA10" i="8"/>
  <c r="VA11" i="8"/>
  <c r="VA12" i="8"/>
  <c r="VA13" i="8"/>
  <c r="VA14" i="8"/>
  <c r="VA15" i="8"/>
  <c r="VA16" i="8"/>
  <c r="VA17" i="8"/>
  <c r="VA18" i="8"/>
  <c r="VA19" i="8"/>
  <c r="VA20" i="8"/>
  <c r="VA21" i="8"/>
  <c r="VA22" i="8"/>
  <c r="VA23" i="8"/>
  <c r="VA25" i="8"/>
  <c r="VA26" i="8"/>
  <c r="VA27" i="8"/>
  <c r="VA28" i="8"/>
  <c r="VA29" i="8"/>
  <c r="VA30" i="8"/>
  <c r="VA31" i="8"/>
  <c r="VA32" i="8"/>
  <c r="VA33" i="8"/>
  <c r="VA34" i="8"/>
  <c r="VA35" i="8"/>
  <c r="VA36" i="8"/>
  <c r="VA37" i="8"/>
  <c r="VA38" i="8"/>
  <c r="VA39" i="8"/>
  <c r="VA40" i="8"/>
  <c r="VA41" i="8"/>
  <c r="VA42" i="8"/>
  <c r="VA43" i="8"/>
  <c r="VA44" i="8"/>
  <c r="VA45" i="8"/>
  <c r="VA46" i="8"/>
  <c r="VA47" i="8"/>
  <c r="VA48" i="8"/>
  <c r="VA49" i="8"/>
  <c r="VA50" i="8"/>
  <c r="VA51" i="8"/>
  <c r="VA52" i="8"/>
  <c r="VA53" i="8"/>
  <c r="VA54" i="8"/>
  <c r="VA55" i="8"/>
  <c r="VA57" i="8"/>
  <c r="VA9" i="8"/>
  <c r="VA8" i="8"/>
  <c r="UZ10" i="8"/>
  <c r="UZ11" i="8"/>
  <c r="UZ12" i="8"/>
  <c r="UZ13" i="8"/>
  <c r="UZ14" i="8"/>
  <c r="UZ15" i="8"/>
  <c r="UZ16" i="8"/>
  <c r="UZ17" i="8"/>
  <c r="UZ18" i="8"/>
  <c r="UZ19" i="8"/>
  <c r="UZ20" i="8"/>
  <c r="UZ21" i="8"/>
  <c r="UZ22" i="8"/>
  <c r="UZ23" i="8"/>
  <c r="UZ25" i="8"/>
  <c r="UZ26" i="8"/>
  <c r="UZ39" i="8"/>
  <c r="UZ40" i="8"/>
  <c r="UZ41" i="8"/>
  <c r="UZ46" i="8"/>
  <c r="UZ47" i="8"/>
  <c r="UZ52" i="8"/>
  <c r="UZ53" i="8"/>
  <c r="UZ54" i="8"/>
  <c r="UZ55" i="8"/>
  <c r="UZ57" i="8"/>
  <c r="UZ9" i="8"/>
  <c r="UZ8" i="8"/>
  <c r="UY10" i="8"/>
  <c r="UY11" i="8"/>
  <c r="UY12" i="8"/>
  <c r="UY13" i="8"/>
  <c r="UY14" i="8"/>
  <c r="UY15" i="8"/>
  <c r="UY16" i="8"/>
  <c r="UY17" i="8"/>
  <c r="UY18" i="8"/>
  <c r="UY19" i="8"/>
  <c r="UY20" i="8"/>
  <c r="UY21" i="8"/>
  <c r="UY22" i="8"/>
  <c r="UY23" i="8"/>
  <c r="UY25" i="8"/>
  <c r="UY26" i="8"/>
  <c r="UY39" i="8"/>
  <c r="UY40" i="8"/>
  <c r="UY41" i="8"/>
  <c r="UY46" i="8"/>
  <c r="UY47" i="8"/>
  <c r="UY52" i="8"/>
  <c r="UY53" i="8"/>
  <c r="UY54" i="8"/>
  <c r="UY55" i="8"/>
  <c r="UY57" i="8"/>
  <c r="UY9" i="8"/>
  <c r="UY8" i="8"/>
  <c r="HV9" i="6"/>
  <c r="HV10" i="6"/>
  <c r="HV11" i="6"/>
  <c r="HV12" i="6"/>
  <c r="HV13" i="6"/>
  <c r="HV15" i="6"/>
  <c r="HV16" i="6"/>
  <c r="HV17" i="6"/>
  <c r="HV18" i="6"/>
  <c r="HV19" i="6"/>
  <c r="HV20" i="6"/>
  <c r="HV21" i="6"/>
  <c r="HV22" i="6"/>
  <c r="HV23" i="6"/>
  <c r="HV24" i="6"/>
  <c r="HV25" i="6"/>
  <c r="HV26" i="6"/>
  <c r="HV27" i="6"/>
  <c r="HV28" i="6"/>
  <c r="HV29" i="6"/>
  <c r="HV30" i="6"/>
  <c r="HV31" i="6"/>
  <c r="HV32" i="6"/>
  <c r="HV33" i="6"/>
  <c r="HV34" i="6"/>
  <c r="HV35" i="6"/>
  <c r="HV36" i="6"/>
  <c r="HV37" i="6"/>
  <c r="HV38" i="6"/>
  <c r="HV39" i="6"/>
  <c r="HV40" i="6"/>
  <c r="HV42" i="6"/>
  <c r="HV8" i="6"/>
  <c r="HV7" i="6"/>
  <c r="HU9" i="6"/>
  <c r="HU10" i="6"/>
  <c r="HU11" i="6"/>
  <c r="HU12" i="6"/>
  <c r="HU13" i="6"/>
  <c r="HU15" i="6"/>
  <c r="HU16" i="6"/>
  <c r="HU17" i="6"/>
  <c r="HU18" i="6"/>
  <c r="HU19" i="6"/>
  <c r="HU20" i="6"/>
  <c r="HU21" i="6"/>
  <c r="HU22" i="6"/>
  <c r="HU23" i="6"/>
  <c r="HU24" i="6"/>
  <c r="HU25" i="6"/>
  <c r="HU26" i="6"/>
  <c r="HU27" i="6"/>
  <c r="HU28" i="6"/>
  <c r="HU29" i="6"/>
  <c r="HU30" i="6"/>
  <c r="HU31" i="6"/>
  <c r="HU32" i="6"/>
  <c r="HU33" i="6"/>
  <c r="HU34" i="6"/>
  <c r="HU35" i="6"/>
  <c r="HU36" i="6"/>
  <c r="HU37" i="6"/>
  <c r="HU38" i="6"/>
  <c r="HU39" i="6"/>
  <c r="HU40" i="6"/>
  <c r="HU42" i="6"/>
  <c r="HU8" i="6"/>
  <c r="HU7" i="6"/>
  <c r="WB35" i="5"/>
  <c r="WA27" i="5"/>
  <c r="VZ23" i="5"/>
  <c r="VW19" i="5"/>
  <c r="VZ8" i="5"/>
  <c r="WA8" i="5"/>
  <c r="WB8" i="5"/>
  <c r="VZ9" i="5"/>
  <c r="WA9" i="5"/>
  <c r="WB9" i="5"/>
  <c r="VZ10" i="5"/>
  <c r="WA10" i="5"/>
  <c r="WB10" i="5"/>
  <c r="VZ11" i="5"/>
  <c r="WA11" i="5"/>
  <c r="WB11" i="5"/>
  <c r="VZ12" i="5"/>
  <c r="WA12" i="5"/>
  <c r="WB12" i="5"/>
  <c r="VZ13" i="5"/>
  <c r="WA13" i="5"/>
  <c r="WB13" i="5"/>
  <c r="VZ14" i="5"/>
  <c r="WA14" i="5"/>
  <c r="WB14" i="5"/>
  <c r="VZ15" i="5"/>
  <c r="WA15" i="5"/>
  <c r="WB15" i="5"/>
  <c r="WA16" i="5"/>
  <c r="WB16" i="5"/>
  <c r="VZ17" i="5"/>
  <c r="WA17" i="5"/>
  <c r="WB17" i="5"/>
  <c r="VZ18" i="5"/>
  <c r="WA18" i="5"/>
  <c r="WB18" i="5"/>
  <c r="VZ19" i="5"/>
  <c r="WA19" i="5"/>
  <c r="WB19" i="5"/>
  <c r="VZ20" i="5"/>
  <c r="WA20" i="5"/>
  <c r="WB20" i="5"/>
  <c r="VZ21" i="5"/>
  <c r="WA21" i="5"/>
  <c r="WB21" i="5"/>
  <c r="VZ22" i="5"/>
  <c r="WA22" i="5"/>
  <c r="WB22" i="5"/>
  <c r="WA23" i="5"/>
  <c r="WB23" i="5"/>
  <c r="WA24" i="5"/>
  <c r="WB24" i="5"/>
  <c r="VZ25" i="5"/>
  <c r="WA25" i="5"/>
  <c r="WB25" i="5"/>
  <c r="VZ26" i="5"/>
  <c r="WA26" i="5"/>
  <c r="WB26" i="5"/>
  <c r="VZ27" i="5"/>
  <c r="WB27" i="5"/>
  <c r="VZ28" i="5"/>
  <c r="WA28" i="5"/>
  <c r="WB28" i="5"/>
  <c r="VZ29" i="5"/>
  <c r="WA29" i="5"/>
  <c r="WB29" i="5"/>
  <c r="VZ30" i="5"/>
  <c r="WA30" i="5"/>
  <c r="WB30" i="5"/>
  <c r="VZ31" i="5"/>
  <c r="WA31" i="5"/>
  <c r="WB31" i="5"/>
  <c r="WA32" i="5"/>
  <c r="WB32" i="5"/>
  <c r="VZ33" i="5"/>
  <c r="WA33" i="5"/>
  <c r="WB33" i="5"/>
  <c r="VZ34" i="5"/>
  <c r="WA34" i="5"/>
  <c r="WB34" i="5"/>
  <c r="VZ35" i="5"/>
  <c r="WA35" i="5"/>
  <c r="VZ36" i="5"/>
  <c r="WA36" i="5"/>
  <c r="WB36" i="5"/>
  <c r="VZ37" i="5"/>
  <c r="WA37" i="5"/>
  <c r="WB37" i="5"/>
  <c r="VZ38" i="5"/>
  <c r="WA38" i="5"/>
  <c r="WB38" i="5"/>
  <c r="VZ40" i="5"/>
  <c r="WA40" i="5"/>
  <c r="WB40" i="5"/>
  <c r="VZ41" i="5"/>
  <c r="WA41" i="5"/>
  <c r="WB41" i="5"/>
  <c r="VZ42" i="5"/>
  <c r="WA42" i="5"/>
  <c r="WB42" i="5"/>
  <c r="VZ43" i="5"/>
  <c r="WA43" i="5"/>
  <c r="WB43" i="5"/>
  <c r="VZ44" i="5"/>
  <c r="WA44" i="5"/>
  <c r="WB44" i="5"/>
  <c r="VZ45" i="5"/>
  <c r="WA45" i="5"/>
  <c r="WB45" i="5"/>
  <c r="VZ46" i="5"/>
  <c r="WA46" i="5"/>
  <c r="WB46" i="5"/>
  <c r="VZ47" i="5"/>
  <c r="WA47" i="5"/>
  <c r="WB47" i="5"/>
  <c r="VZ48" i="5"/>
  <c r="WA48" i="5"/>
  <c r="WB48" i="5"/>
  <c r="VZ49" i="5"/>
  <c r="WA49" i="5"/>
  <c r="WB49" i="5"/>
  <c r="VZ50" i="5"/>
  <c r="WA50" i="5"/>
  <c r="WB50" i="5"/>
  <c r="VZ51" i="5"/>
  <c r="WA51" i="5"/>
  <c r="WB51" i="5"/>
  <c r="VZ52" i="5"/>
  <c r="WA52" i="5"/>
  <c r="WB52" i="5"/>
  <c r="VZ53" i="5"/>
  <c r="WA53" i="5"/>
  <c r="WB53" i="5"/>
  <c r="VZ54" i="5"/>
  <c r="WA54" i="5"/>
  <c r="WB54" i="5"/>
  <c r="VZ55" i="5"/>
  <c r="WA55" i="5"/>
  <c r="WB55" i="5"/>
  <c r="VZ56" i="5"/>
  <c r="WA56" i="5"/>
  <c r="WB56" i="5"/>
  <c r="VZ57" i="5"/>
  <c r="WA57" i="5"/>
  <c r="WB57" i="5"/>
  <c r="VZ58" i="5"/>
  <c r="WA58" i="5"/>
  <c r="WB58" i="5"/>
  <c r="VZ59" i="5"/>
  <c r="WA59" i="5"/>
  <c r="WB59" i="5"/>
  <c r="VZ60" i="5"/>
  <c r="WA60" i="5"/>
  <c r="WB60" i="5"/>
  <c r="VZ61" i="5"/>
  <c r="WA61" i="5"/>
  <c r="WB61" i="5"/>
  <c r="VZ62" i="5"/>
  <c r="WA62" i="5"/>
  <c r="WB62" i="5"/>
  <c r="VZ63" i="5"/>
  <c r="WA63" i="5"/>
  <c r="WB63" i="5"/>
  <c r="VZ64" i="5"/>
  <c r="WA64" i="5"/>
  <c r="WB64" i="5"/>
  <c r="VZ65" i="5"/>
  <c r="WA65" i="5"/>
  <c r="WB65" i="5"/>
  <c r="VZ66" i="5"/>
  <c r="WA66" i="5"/>
  <c r="WB66" i="5"/>
  <c r="VZ67" i="5"/>
  <c r="WA67" i="5"/>
  <c r="WB67" i="5"/>
  <c r="VZ68" i="5"/>
  <c r="WA68" i="5"/>
  <c r="WB68" i="5"/>
  <c r="VZ69" i="5"/>
  <c r="WA69" i="5"/>
  <c r="WB69" i="5"/>
  <c r="VZ70" i="5"/>
  <c r="WA70" i="5"/>
  <c r="WB70" i="5"/>
  <c r="VZ71" i="5"/>
  <c r="WA71" i="5"/>
  <c r="WB71" i="5"/>
  <c r="VZ73" i="5"/>
  <c r="WA73" i="5"/>
  <c r="WB73" i="5"/>
  <c r="VY10" i="5"/>
  <c r="VY11" i="5"/>
  <c r="VY12" i="5"/>
  <c r="VY13" i="5"/>
  <c r="VY14" i="5"/>
  <c r="VY15" i="5"/>
  <c r="VY16" i="5"/>
  <c r="VY17" i="5"/>
  <c r="VY18" i="5"/>
  <c r="VY19" i="5"/>
  <c r="VY20" i="5"/>
  <c r="VY21" i="5"/>
  <c r="VY22" i="5"/>
  <c r="VY23" i="5"/>
  <c r="VY24" i="5"/>
  <c r="VY25" i="5"/>
  <c r="VY26" i="5"/>
  <c r="VY27" i="5"/>
  <c r="VY28" i="5"/>
  <c r="VY29" i="5"/>
  <c r="VY30" i="5"/>
  <c r="VY31" i="5"/>
  <c r="VY32" i="5"/>
  <c r="VY33" i="5"/>
  <c r="VY34" i="5"/>
  <c r="VY35" i="5"/>
  <c r="VY36" i="5"/>
  <c r="VY37" i="5"/>
  <c r="VY38" i="5"/>
  <c r="VY40" i="5"/>
  <c r="VY41" i="5"/>
  <c r="VY42" i="5"/>
  <c r="VY43" i="5"/>
  <c r="VY44" i="5"/>
  <c r="VY45" i="5"/>
  <c r="VY46" i="5"/>
  <c r="VY47" i="5"/>
  <c r="VY48" i="5"/>
  <c r="VY49" i="5"/>
  <c r="VY50" i="5"/>
  <c r="VY51" i="5"/>
  <c r="VY52" i="5"/>
  <c r="VY53" i="5"/>
  <c r="VY54" i="5"/>
  <c r="VY55" i="5"/>
  <c r="VY56" i="5"/>
  <c r="VY57" i="5"/>
  <c r="VY58" i="5"/>
  <c r="VY59" i="5"/>
  <c r="VY60" i="5"/>
  <c r="VY61" i="5"/>
  <c r="VY62" i="5"/>
  <c r="VY63" i="5"/>
  <c r="VY64" i="5"/>
  <c r="VY65" i="5"/>
  <c r="VY66" i="5"/>
  <c r="VY67" i="5"/>
  <c r="VY68" i="5"/>
  <c r="VY69" i="5"/>
  <c r="VY70" i="5"/>
  <c r="VY71" i="5"/>
  <c r="VY73" i="5"/>
  <c r="VY9" i="5"/>
  <c r="VY8" i="5"/>
  <c r="VX10" i="5"/>
  <c r="VX11" i="5"/>
  <c r="VX12" i="5"/>
  <c r="VX13" i="5"/>
  <c r="VX14" i="5"/>
  <c r="VX15" i="5"/>
  <c r="VX16" i="5"/>
  <c r="VX17" i="5"/>
  <c r="VX18" i="5"/>
  <c r="VX19" i="5"/>
  <c r="VX20" i="5"/>
  <c r="VX21" i="5"/>
  <c r="VX22" i="5"/>
  <c r="VX23" i="5"/>
  <c r="VX24" i="5"/>
  <c r="VX25" i="5"/>
  <c r="VX26" i="5"/>
  <c r="VX27" i="5"/>
  <c r="VX28" i="5"/>
  <c r="VX29" i="5"/>
  <c r="VX30" i="5"/>
  <c r="VX31" i="5"/>
  <c r="VX32" i="5"/>
  <c r="VX33" i="5"/>
  <c r="VX34" i="5"/>
  <c r="VX35" i="5"/>
  <c r="VX36" i="5"/>
  <c r="VX37" i="5"/>
  <c r="VX38" i="5"/>
  <c r="VX40" i="5"/>
  <c r="VX41" i="5"/>
  <c r="VX42" i="5"/>
  <c r="VX43" i="5"/>
  <c r="VX44" i="5"/>
  <c r="VX45" i="5"/>
  <c r="VX46" i="5"/>
  <c r="VX47" i="5"/>
  <c r="VX48" i="5"/>
  <c r="VX49" i="5"/>
  <c r="VX50" i="5"/>
  <c r="VX51" i="5"/>
  <c r="VX52" i="5"/>
  <c r="VX53" i="5"/>
  <c r="VX54" i="5"/>
  <c r="VX55" i="5"/>
  <c r="VX56" i="5"/>
  <c r="VX57" i="5"/>
  <c r="VX58" i="5"/>
  <c r="VX59" i="5"/>
  <c r="VX60" i="5"/>
  <c r="VX61" i="5"/>
  <c r="VX62" i="5"/>
  <c r="VX63" i="5"/>
  <c r="VX64" i="5"/>
  <c r="VX65" i="5"/>
  <c r="VX66" i="5"/>
  <c r="VX67" i="5"/>
  <c r="VX68" i="5"/>
  <c r="VX69" i="5"/>
  <c r="VX70" i="5"/>
  <c r="VX71" i="5"/>
  <c r="VX73" i="5"/>
  <c r="VX9" i="5"/>
  <c r="VX8" i="5"/>
  <c r="VW10" i="5"/>
  <c r="VW11" i="5"/>
  <c r="VW12" i="5"/>
  <c r="VW13" i="5"/>
  <c r="VW14" i="5"/>
  <c r="VW15" i="5"/>
  <c r="VW16" i="5"/>
  <c r="VW17" i="5"/>
  <c r="VW18" i="5"/>
  <c r="VW20" i="5"/>
  <c r="VW21" i="5"/>
  <c r="VW22" i="5"/>
  <c r="VW23" i="5"/>
  <c r="VW24" i="5"/>
  <c r="VW25" i="5"/>
  <c r="VW26" i="5"/>
  <c r="VW27" i="5"/>
  <c r="VW28" i="5"/>
  <c r="VW29" i="5"/>
  <c r="VW30" i="5"/>
  <c r="VW31" i="5"/>
  <c r="VW32" i="5"/>
  <c r="VW33" i="5"/>
  <c r="VW34" i="5"/>
  <c r="VW35" i="5"/>
  <c r="VW36" i="5"/>
  <c r="VW37" i="5"/>
  <c r="VW38" i="5"/>
  <c r="VW40" i="5"/>
  <c r="VW41" i="5"/>
  <c r="VW42" i="5"/>
  <c r="VW43" i="5"/>
  <c r="VW44" i="5"/>
  <c r="VW45" i="5"/>
  <c r="VW46" i="5"/>
  <c r="VW47" i="5"/>
  <c r="VW48" i="5"/>
  <c r="VW49" i="5"/>
  <c r="VW50" i="5"/>
  <c r="VW51" i="5"/>
  <c r="VW52" i="5"/>
  <c r="VW53" i="5"/>
  <c r="VW54" i="5"/>
  <c r="VW55" i="5"/>
  <c r="VW56" i="5"/>
  <c r="VW57" i="5"/>
  <c r="VW58" i="5"/>
  <c r="VW59" i="5"/>
  <c r="VW60" i="5"/>
  <c r="VW61" i="5"/>
  <c r="VW62" i="5"/>
  <c r="VW63" i="5"/>
  <c r="VW64" i="5"/>
  <c r="VW65" i="5"/>
  <c r="VW66" i="5"/>
  <c r="VW67" i="5"/>
  <c r="VW68" i="5"/>
  <c r="VW69" i="5"/>
  <c r="VW70" i="5"/>
  <c r="VW71" i="5"/>
  <c r="VW73" i="5"/>
  <c r="VW9" i="5"/>
  <c r="VW8" i="5"/>
  <c r="HU17" i="3"/>
  <c r="HV9" i="3"/>
  <c r="HV10" i="3"/>
  <c r="HV11" i="3"/>
  <c r="HV12" i="3"/>
  <c r="HV13" i="3"/>
  <c r="HV14" i="3"/>
  <c r="HV15" i="3"/>
  <c r="HV16" i="3"/>
  <c r="HV17" i="3"/>
  <c r="HV18" i="3"/>
  <c r="HV19" i="3"/>
  <c r="HV20" i="3"/>
  <c r="HV21" i="3"/>
  <c r="HV22" i="3"/>
  <c r="HV23" i="3"/>
  <c r="HV24" i="3"/>
  <c r="HV25" i="3"/>
  <c r="HV26" i="3"/>
  <c r="HV27" i="3"/>
  <c r="HV28" i="3"/>
  <c r="HV29" i="3"/>
  <c r="HV30" i="3"/>
  <c r="HV31" i="3"/>
  <c r="HV32" i="3"/>
  <c r="HV33" i="3"/>
  <c r="HV34" i="3"/>
  <c r="HV35" i="3"/>
  <c r="HV36" i="3"/>
  <c r="HV37" i="3"/>
  <c r="HV38" i="3"/>
  <c r="HV40" i="3"/>
  <c r="HV41" i="3"/>
  <c r="HV42" i="3"/>
  <c r="HV43" i="3"/>
  <c r="HV44" i="3"/>
  <c r="HV45" i="3"/>
  <c r="HV46" i="3"/>
  <c r="HV47" i="3"/>
  <c r="HV48" i="3"/>
  <c r="HV49" i="3"/>
  <c r="HV50" i="3"/>
  <c r="HV51" i="3"/>
  <c r="HV52" i="3"/>
  <c r="HV53" i="3"/>
  <c r="HV54" i="3"/>
  <c r="HV55" i="3"/>
  <c r="HV56" i="3"/>
  <c r="HV57" i="3"/>
  <c r="HV58" i="3"/>
  <c r="HV59" i="3"/>
  <c r="HV60" i="3"/>
  <c r="HV61" i="3"/>
  <c r="HV62" i="3"/>
  <c r="HV63" i="3"/>
  <c r="HV64" i="3"/>
  <c r="HV65" i="3"/>
  <c r="HV66" i="3"/>
  <c r="HV67" i="3"/>
  <c r="HV68" i="3"/>
  <c r="HV69" i="3"/>
  <c r="HV70" i="3"/>
  <c r="HV72" i="3"/>
  <c r="HV8" i="3"/>
  <c r="HV7" i="3"/>
  <c r="HU9" i="3"/>
  <c r="HU10" i="3"/>
  <c r="HU11" i="3"/>
  <c r="HU12" i="3"/>
  <c r="HU13" i="3"/>
  <c r="HU14" i="3"/>
  <c r="HU15" i="3"/>
  <c r="HU16" i="3"/>
  <c r="HU18" i="3"/>
  <c r="HU19" i="3"/>
  <c r="HU20" i="3"/>
  <c r="HU21" i="3"/>
  <c r="HU22" i="3"/>
  <c r="HU23" i="3"/>
  <c r="HU24" i="3"/>
  <c r="HU25" i="3"/>
  <c r="HU26" i="3"/>
  <c r="HU27" i="3"/>
  <c r="HU28" i="3"/>
  <c r="HU29" i="3"/>
  <c r="HU30" i="3"/>
  <c r="HU31" i="3"/>
  <c r="HU32" i="3"/>
  <c r="HU33" i="3"/>
  <c r="HU34" i="3"/>
  <c r="HU35" i="3"/>
  <c r="HU36" i="3"/>
  <c r="HU37" i="3"/>
  <c r="HU38" i="3"/>
  <c r="HU40" i="3"/>
  <c r="HU41" i="3"/>
  <c r="HU42" i="3"/>
  <c r="HU43" i="3"/>
  <c r="HU44" i="3"/>
  <c r="HU45" i="3"/>
  <c r="HU46" i="3"/>
  <c r="HU47" i="3"/>
  <c r="HU48" i="3"/>
  <c r="HU49" i="3"/>
  <c r="HU50" i="3"/>
  <c r="HU51" i="3"/>
  <c r="HU52" i="3"/>
  <c r="HU53" i="3"/>
  <c r="HU54" i="3"/>
  <c r="HU55" i="3"/>
  <c r="HU56" i="3"/>
  <c r="HU57" i="3"/>
  <c r="HU58" i="3"/>
  <c r="HU59" i="3"/>
  <c r="HU60" i="3"/>
  <c r="HU61" i="3"/>
  <c r="HU62" i="3"/>
  <c r="HU63" i="3"/>
  <c r="HU64" i="3"/>
  <c r="HU65" i="3"/>
  <c r="HU66" i="3"/>
  <c r="HU67" i="3"/>
  <c r="HU68" i="3"/>
  <c r="HU69" i="3"/>
  <c r="HU70" i="3"/>
  <c r="HU72" i="3"/>
  <c r="HU8" i="3"/>
  <c r="HU7" i="3"/>
  <c r="HV28" i="2"/>
  <c r="HU22" i="2"/>
  <c r="HV9" i="2"/>
  <c r="HV10" i="2"/>
  <c r="HV11" i="2"/>
  <c r="HV12" i="2"/>
  <c r="HV13" i="2"/>
  <c r="HV14" i="2"/>
  <c r="HV15" i="2"/>
  <c r="HV16" i="2"/>
  <c r="HV17" i="2"/>
  <c r="HV18" i="2"/>
  <c r="HV19" i="2"/>
  <c r="HV20" i="2"/>
  <c r="HV21" i="2"/>
  <c r="HV22" i="2"/>
  <c r="HV23" i="2"/>
  <c r="HV24" i="2"/>
  <c r="HV25" i="2"/>
  <c r="HV26" i="2"/>
  <c r="HV27" i="2"/>
  <c r="HV29" i="2"/>
  <c r="HV30" i="2"/>
  <c r="HV31" i="2"/>
  <c r="HV32" i="2"/>
  <c r="HV33" i="2"/>
  <c r="HV34" i="2"/>
  <c r="HV35" i="2"/>
  <c r="HV36" i="2"/>
  <c r="HV37" i="2"/>
  <c r="HV38" i="2"/>
  <c r="HV39" i="2"/>
  <c r="HV41" i="2"/>
  <c r="HV42" i="2"/>
  <c r="HV43" i="2"/>
  <c r="HV44" i="2"/>
  <c r="HV45" i="2"/>
  <c r="HV46" i="2"/>
  <c r="HV47" i="2"/>
  <c r="HV48" i="2"/>
  <c r="HV49" i="2"/>
  <c r="HV50" i="2"/>
  <c r="HV51" i="2"/>
  <c r="HV52" i="2"/>
  <c r="HV53" i="2"/>
  <c r="HV54" i="2"/>
  <c r="HV55" i="2"/>
  <c r="HV56" i="2"/>
  <c r="HV57" i="2"/>
  <c r="HV58" i="2"/>
  <c r="HV59" i="2"/>
  <c r="HV60" i="2"/>
  <c r="HV61" i="2"/>
  <c r="HV62" i="2"/>
  <c r="HV63" i="2"/>
  <c r="HV64" i="2"/>
  <c r="HV65" i="2"/>
  <c r="HV66" i="2"/>
  <c r="HV67" i="2"/>
  <c r="HV68" i="2"/>
  <c r="HV69" i="2"/>
  <c r="HV70" i="2"/>
  <c r="HV71" i="2"/>
  <c r="HV72" i="2"/>
  <c r="HV74" i="2"/>
  <c r="HV8" i="2"/>
  <c r="HV7" i="2"/>
  <c r="HU41" i="2"/>
  <c r="HU42" i="2"/>
  <c r="HU43" i="2"/>
  <c r="HU44" i="2"/>
  <c r="HU45" i="2"/>
  <c r="HU46" i="2"/>
  <c r="HU47" i="2"/>
  <c r="HU48" i="2"/>
  <c r="HU49" i="2"/>
  <c r="HU50" i="2"/>
  <c r="HU51" i="2"/>
  <c r="HU52" i="2"/>
  <c r="HU53" i="2"/>
  <c r="HU54" i="2"/>
  <c r="HU55" i="2"/>
  <c r="HU56" i="2"/>
  <c r="HU57" i="2"/>
  <c r="HU58" i="2"/>
  <c r="HU59" i="2"/>
  <c r="HU60" i="2"/>
  <c r="HU61" i="2"/>
  <c r="HU62" i="2"/>
  <c r="HU63" i="2"/>
  <c r="HU64" i="2"/>
  <c r="HU65" i="2"/>
  <c r="HU66" i="2"/>
  <c r="HU67" i="2"/>
  <c r="HU68" i="2"/>
  <c r="HU69" i="2"/>
  <c r="HU70" i="2"/>
  <c r="HU71" i="2"/>
  <c r="HU72" i="2"/>
  <c r="HU74" i="2"/>
  <c r="HU9" i="2"/>
  <c r="HU10" i="2"/>
  <c r="HU11" i="2"/>
  <c r="HU12" i="2"/>
  <c r="HU13" i="2"/>
  <c r="HU14" i="2"/>
  <c r="HU15" i="2"/>
  <c r="HU16" i="2"/>
  <c r="HU17" i="2"/>
  <c r="HU18" i="2"/>
  <c r="HU19" i="2"/>
  <c r="HU20" i="2"/>
  <c r="HU21" i="2"/>
  <c r="HU23" i="2"/>
  <c r="HU24" i="2"/>
  <c r="HU25" i="2"/>
  <c r="HU26" i="2"/>
  <c r="HU27" i="2"/>
  <c r="HU28" i="2"/>
  <c r="HU29" i="2"/>
  <c r="HU30" i="2"/>
  <c r="HU31" i="2"/>
  <c r="HU32" i="2"/>
  <c r="HU33" i="2"/>
  <c r="HU34" i="2"/>
  <c r="HU35" i="2"/>
  <c r="HU36" i="2"/>
  <c r="HU37" i="2"/>
  <c r="HU38" i="2"/>
  <c r="HU39" i="2"/>
  <c r="HU8" i="2"/>
  <c r="HU7" i="2"/>
  <c r="TY57" i="8" l="1"/>
  <c r="TX57" i="8" s="1"/>
  <c r="TX8" i="8"/>
  <c r="TR10" i="8"/>
  <c r="VB10" i="8" s="1"/>
  <c r="TR11" i="8"/>
  <c r="VB11" i="8" s="1"/>
  <c r="TR12" i="8"/>
  <c r="VB12" i="8" s="1"/>
  <c r="TR13" i="8"/>
  <c r="VB13" i="8" s="1"/>
  <c r="TR14" i="8"/>
  <c r="VB14" i="8" s="1"/>
  <c r="TR15" i="8"/>
  <c r="VB15" i="8" s="1"/>
  <c r="TR16" i="8"/>
  <c r="VB16" i="8" s="1"/>
  <c r="TR17" i="8"/>
  <c r="VB17" i="8" s="1"/>
  <c r="TR18" i="8"/>
  <c r="VB18" i="8" s="1"/>
  <c r="TR19" i="8"/>
  <c r="VB19" i="8" s="1"/>
  <c r="TR20" i="8"/>
  <c r="VB20" i="8" s="1"/>
  <c r="TR21" i="8"/>
  <c r="VB21" i="8" s="1"/>
  <c r="TR22" i="8"/>
  <c r="VB22" i="8" s="1"/>
  <c r="TR23" i="8"/>
  <c r="VB23" i="8" s="1"/>
  <c r="TR9" i="8"/>
  <c r="VB9" i="8" s="1"/>
  <c r="TS8" i="8"/>
  <c r="VC8" i="8" s="1"/>
  <c r="TR25" i="8"/>
  <c r="VB25" i="8" s="1"/>
  <c r="TR26" i="8"/>
  <c r="VB26" i="8" s="1"/>
  <c r="TR55" i="8"/>
  <c r="VB55" i="8" s="1"/>
  <c r="TR52" i="8"/>
  <c r="VB52" i="8" s="1"/>
  <c r="TR47" i="8"/>
  <c r="VB47" i="8" s="1"/>
  <c r="TR8" i="8" l="1"/>
  <c r="VB8" i="8" s="1"/>
  <c r="TS57" i="8"/>
  <c r="VC57" i="8" s="1"/>
  <c r="TR57" i="8"/>
  <c r="VB57" i="8" s="1"/>
  <c r="HW7" i="2"/>
  <c r="VE6" i="8" l="1"/>
  <c r="HW6" i="2"/>
  <c r="FN22" i="4" l="1"/>
  <c r="EZ10" i="4"/>
  <c r="FN9" i="4"/>
  <c r="FN8" i="4"/>
  <c r="FN10" i="4"/>
  <c r="FN11" i="4"/>
  <c r="FN12" i="4"/>
  <c r="FN13" i="4"/>
  <c r="FN14" i="4"/>
  <c r="FN16" i="4"/>
  <c r="FN17" i="4"/>
  <c r="FN18" i="4"/>
  <c r="FN19" i="4"/>
  <c r="FN20" i="4"/>
  <c r="FN21" i="4"/>
  <c r="FN23" i="4"/>
  <c r="FN24" i="4"/>
  <c r="FN25" i="4"/>
  <c r="FN26" i="4"/>
  <c r="FN27" i="4"/>
  <c r="FN28" i="4"/>
  <c r="FN29" i="4"/>
  <c r="FN30" i="4"/>
  <c r="FN31" i="4"/>
  <c r="FN32" i="4"/>
  <c r="FN33" i="4"/>
  <c r="FN34" i="4"/>
  <c r="FN35" i="4"/>
  <c r="FN36" i="4"/>
  <c r="FN37" i="4"/>
  <c r="FN39" i="4"/>
  <c r="FN40" i="4"/>
  <c r="FN41" i="4"/>
  <c r="FN42" i="4"/>
  <c r="FN43" i="4"/>
  <c r="FN44" i="4"/>
  <c r="FN45" i="4"/>
  <c r="FN46" i="4"/>
  <c r="FN47" i="4"/>
  <c r="FN48" i="4"/>
  <c r="FN49" i="4"/>
  <c r="FN50" i="4"/>
  <c r="FN51" i="4"/>
  <c r="FN52" i="4"/>
  <c r="FN53" i="4"/>
  <c r="FN54" i="4"/>
  <c r="FN55" i="4"/>
  <c r="FN56" i="4"/>
  <c r="FN57" i="4"/>
  <c r="FN58" i="4"/>
  <c r="FN59" i="4"/>
  <c r="FN60" i="4"/>
  <c r="FN61" i="4"/>
  <c r="FN62" i="4"/>
  <c r="FN63" i="4"/>
  <c r="FN64" i="4"/>
  <c r="FN65" i="4"/>
  <c r="FN66" i="4"/>
  <c r="FN67" i="4"/>
  <c r="FN68" i="4"/>
  <c r="FN69" i="4"/>
  <c r="FN70" i="4"/>
  <c r="FN7" i="4"/>
  <c r="HF9" i="7"/>
  <c r="HF10" i="7"/>
  <c r="HF11" i="7"/>
  <c r="HF12" i="7"/>
  <c r="HF13" i="7"/>
  <c r="HF14" i="7"/>
  <c r="HF15" i="7"/>
  <c r="HF17" i="7"/>
  <c r="HF18" i="7"/>
  <c r="HF19" i="7"/>
  <c r="HF20" i="7"/>
  <c r="HF21" i="7"/>
  <c r="HF22" i="7"/>
  <c r="HF23" i="7"/>
  <c r="HF24" i="7"/>
  <c r="HF25" i="7"/>
  <c r="HF26" i="7"/>
  <c r="HF27" i="7"/>
  <c r="HF28" i="7"/>
  <c r="HF29" i="7"/>
  <c r="HF30" i="7"/>
  <c r="HF31" i="7"/>
  <c r="HF32" i="7"/>
  <c r="HF33" i="7"/>
  <c r="HF34" i="7"/>
  <c r="HF35" i="7"/>
  <c r="HF36" i="7"/>
  <c r="HF37" i="7"/>
  <c r="HF38" i="7"/>
  <c r="HF39" i="7"/>
  <c r="HF40" i="7"/>
  <c r="HF41" i="7"/>
  <c r="HF42" i="7"/>
  <c r="HF43" i="7"/>
  <c r="HF44" i="7"/>
  <c r="HF45" i="7"/>
  <c r="HF47" i="7"/>
  <c r="HF8" i="7"/>
  <c r="HF7" i="7"/>
  <c r="TM10" i="8"/>
  <c r="TN10" i="8"/>
  <c r="TM11" i="8"/>
  <c r="TN11" i="8"/>
  <c r="TM12" i="8"/>
  <c r="TN12" i="8"/>
  <c r="TM13" i="8"/>
  <c r="TN13" i="8"/>
  <c r="TM14" i="8"/>
  <c r="TN14" i="8"/>
  <c r="TM15" i="8"/>
  <c r="TN15" i="8"/>
  <c r="TM16" i="8"/>
  <c r="TN16" i="8"/>
  <c r="TM17" i="8"/>
  <c r="TN17" i="8"/>
  <c r="TM18" i="8"/>
  <c r="TN18" i="8"/>
  <c r="TM19" i="8"/>
  <c r="TN19" i="8"/>
  <c r="TM20" i="8"/>
  <c r="TN20" i="8"/>
  <c r="TM21" i="8"/>
  <c r="TN21" i="8"/>
  <c r="TM22" i="8"/>
  <c r="TN22" i="8"/>
  <c r="TM23" i="8"/>
  <c r="TN23" i="8"/>
  <c r="TM25" i="8"/>
  <c r="TN25" i="8"/>
  <c r="TM26" i="8"/>
  <c r="TN26" i="8"/>
  <c r="TN27" i="8"/>
  <c r="TN28" i="8"/>
  <c r="TN29" i="8"/>
  <c r="TN30" i="8"/>
  <c r="TN31" i="8"/>
  <c r="TN32" i="8"/>
  <c r="TN33" i="8"/>
  <c r="TN34" i="8"/>
  <c r="TN35" i="8"/>
  <c r="TN36" i="8"/>
  <c r="TN37" i="8"/>
  <c r="TN38" i="8"/>
  <c r="TL39" i="8"/>
  <c r="TM39" i="8"/>
  <c r="TN39" i="8"/>
  <c r="TL40" i="8"/>
  <c r="TM40" i="8"/>
  <c r="TN40" i="8"/>
  <c r="TL41" i="8"/>
  <c r="TM41" i="8"/>
  <c r="TN41" i="8"/>
  <c r="TN42" i="8"/>
  <c r="TN43" i="8"/>
  <c r="TN44" i="8"/>
  <c r="TN45" i="8"/>
  <c r="TL46" i="8"/>
  <c r="TM46" i="8"/>
  <c r="TN46" i="8"/>
  <c r="TM47" i="8"/>
  <c r="TN47" i="8"/>
  <c r="TN48" i="8"/>
  <c r="TN49" i="8"/>
  <c r="TN50" i="8"/>
  <c r="TN51" i="8"/>
  <c r="TL52" i="8"/>
  <c r="TM52" i="8"/>
  <c r="TN52" i="8"/>
  <c r="TL53" i="8"/>
  <c r="TM53" i="8"/>
  <c r="TN53" i="8"/>
  <c r="TL54" i="8"/>
  <c r="TM54" i="8"/>
  <c r="TN54" i="8"/>
  <c r="TL55" i="8"/>
  <c r="TM55" i="8"/>
  <c r="TN55" i="8"/>
  <c r="TL56" i="8"/>
  <c r="TM56" i="8"/>
  <c r="TN56" i="8"/>
  <c r="TN57" i="8"/>
  <c r="TN9" i="8"/>
  <c r="TM9" i="8"/>
  <c r="TN8" i="8"/>
  <c r="HH9" i="6"/>
  <c r="HH10" i="6"/>
  <c r="HH11" i="6"/>
  <c r="HH12" i="6"/>
  <c r="HH13" i="6"/>
  <c r="HH15" i="6"/>
  <c r="HH16" i="6"/>
  <c r="HH17" i="6"/>
  <c r="HH18" i="6"/>
  <c r="HH19" i="6"/>
  <c r="HH20" i="6"/>
  <c r="HH21" i="6"/>
  <c r="HH22" i="6"/>
  <c r="HH23" i="6"/>
  <c r="HH24" i="6"/>
  <c r="HH25" i="6"/>
  <c r="HH26" i="6"/>
  <c r="HH27" i="6"/>
  <c r="HH28" i="6"/>
  <c r="HH29" i="6"/>
  <c r="HH30" i="6"/>
  <c r="HH31" i="6"/>
  <c r="HH32" i="6"/>
  <c r="HH33" i="6"/>
  <c r="HH34" i="6"/>
  <c r="HH35" i="6"/>
  <c r="HH36" i="6"/>
  <c r="HH37" i="6"/>
  <c r="HH38" i="6"/>
  <c r="HH39" i="6"/>
  <c r="HH40" i="6"/>
  <c r="HH41" i="6"/>
  <c r="HH42" i="6"/>
  <c r="HH8" i="6"/>
  <c r="HH7" i="6"/>
  <c r="HH6" i="6"/>
  <c r="UJ8" i="5"/>
  <c r="UL10" i="5"/>
  <c r="UL11" i="5"/>
  <c r="UL12" i="5"/>
  <c r="UL13" i="5"/>
  <c r="UL15" i="5"/>
  <c r="UL16" i="5"/>
  <c r="UL17" i="5"/>
  <c r="UL18" i="5"/>
  <c r="UL19" i="5"/>
  <c r="UL20" i="5"/>
  <c r="UL21" i="5"/>
  <c r="UL22" i="5"/>
  <c r="UL23" i="5"/>
  <c r="UL24" i="5"/>
  <c r="UL25" i="5"/>
  <c r="UL26" i="5"/>
  <c r="UL27" i="5"/>
  <c r="UL28" i="5"/>
  <c r="UL29" i="5"/>
  <c r="UL30" i="5"/>
  <c r="UL31" i="5"/>
  <c r="UL32" i="5"/>
  <c r="UL33" i="5"/>
  <c r="UL34" i="5"/>
  <c r="UL35" i="5"/>
  <c r="UL36" i="5"/>
  <c r="UL37" i="5"/>
  <c r="UL38" i="5"/>
  <c r="UL40" i="5"/>
  <c r="UL41" i="5"/>
  <c r="UL42" i="5"/>
  <c r="UL43" i="5"/>
  <c r="UL44" i="5"/>
  <c r="UL45" i="5"/>
  <c r="UL46" i="5"/>
  <c r="UL47" i="5"/>
  <c r="UL48" i="5"/>
  <c r="UL49" i="5"/>
  <c r="UL50" i="5"/>
  <c r="UL51" i="5"/>
  <c r="UL52" i="5"/>
  <c r="UL53" i="5"/>
  <c r="UL54" i="5"/>
  <c r="UL55" i="5"/>
  <c r="UL56" i="5"/>
  <c r="UL57" i="5"/>
  <c r="UL58" i="5"/>
  <c r="UL59" i="5"/>
  <c r="UL60" i="5"/>
  <c r="UL61" i="5"/>
  <c r="UL62" i="5"/>
  <c r="UL63" i="5"/>
  <c r="UL64" i="5"/>
  <c r="UL65" i="5"/>
  <c r="UL66" i="5"/>
  <c r="UL67" i="5"/>
  <c r="UL68" i="5"/>
  <c r="UL69" i="5"/>
  <c r="UL70" i="5"/>
  <c r="UL71" i="5"/>
  <c r="UL72" i="5"/>
  <c r="UL73" i="5"/>
  <c r="UK10" i="5"/>
  <c r="UK11" i="5"/>
  <c r="UK12" i="5"/>
  <c r="UK13" i="5"/>
  <c r="UK15" i="5"/>
  <c r="UK16" i="5"/>
  <c r="UK17" i="5"/>
  <c r="UK18" i="5"/>
  <c r="UK19" i="5"/>
  <c r="UK20" i="5"/>
  <c r="UK21" i="5"/>
  <c r="UK22" i="5"/>
  <c r="UK23" i="5"/>
  <c r="UK24" i="5"/>
  <c r="UK25" i="5"/>
  <c r="UK26" i="5"/>
  <c r="UK27" i="5"/>
  <c r="UK28" i="5"/>
  <c r="UK29" i="5"/>
  <c r="UK30" i="5"/>
  <c r="UK31" i="5"/>
  <c r="UK32" i="5"/>
  <c r="UK33" i="5"/>
  <c r="UK34" i="5"/>
  <c r="UK35" i="5"/>
  <c r="UK36" i="5"/>
  <c r="UK37" i="5"/>
  <c r="UK38" i="5"/>
  <c r="UK40" i="5"/>
  <c r="UK41" i="5"/>
  <c r="UK42" i="5"/>
  <c r="UK43" i="5"/>
  <c r="UK44" i="5"/>
  <c r="UK45" i="5"/>
  <c r="UK46" i="5"/>
  <c r="UK47" i="5"/>
  <c r="UK48" i="5"/>
  <c r="UK49" i="5"/>
  <c r="UK50" i="5"/>
  <c r="UK51" i="5"/>
  <c r="UK52" i="5"/>
  <c r="UK53" i="5"/>
  <c r="UK54" i="5"/>
  <c r="UK55" i="5"/>
  <c r="UK56" i="5"/>
  <c r="UK57" i="5"/>
  <c r="UK58" i="5"/>
  <c r="UK59" i="5"/>
  <c r="UK60" i="5"/>
  <c r="UK61" i="5"/>
  <c r="UK62" i="5"/>
  <c r="UK63" i="5"/>
  <c r="UK64" i="5"/>
  <c r="UK65" i="5"/>
  <c r="UK66" i="5"/>
  <c r="UK67" i="5"/>
  <c r="UK68" i="5"/>
  <c r="UK69" i="5"/>
  <c r="UK70" i="5"/>
  <c r="UK71" i="5"/>
  <c r="UK72" i="5"/>
  <c r="UK73" i="5"/>
  <c r="UJ10" i="5"/>
  <c r="UJ11" i="5"/>
  <c r="UJ12" i="5"/>
  <c r="UJ13" i="5"/>
  <c r="UJ15" i="5"/>
  <c r="UJ16" i="5"/>
  <c r="UJ17" i="5"/>
  <c r="UJ18" i="5"/>
  <c r="UJ19" i="5"/>
  <c r="UJ20" i="5"/>
  <c r="UJ21" i="5"/>
  <c r="UJ22" i="5"/>
  <c r="UJ23" i="5"/>
  <c r="UJ24" i="5"/>
  <c r="UJ25" i="5"/>
  <c r="UJ26" i="5"/>
  <c r="UJ27" i="5"/>
  <c r="UJ28" i="5"/>
  <c r="UJ29" i="5"/>
  <c r="UJ30" i="5"/>
  <c r="UJ31" i="5"/>
  <c r="UJ32" i="5"/>
  <c r="UJ33" i="5"/>
  <c r="UJ34" i="5"/>
  <c r="UJ35" i="5"/>
  <c r="UJ36" i="5"/>
  <c r="UJ37" i="5"/>
  <c r="UJ38" i="5"/>
  <c r="UJ40" i="5"/>
  <c r="UJ41" i="5"/>
  <c r="UJ42" i="5"/>
  <c r="UJ43" i="5"/>
  <c r="UJ44" i="5"/>
  <c r="UJ45" i="5"/>
  <c r="UJ46" i="5"/>
  <c r="UJ47" i="5"/>
  <c r="UJ48" i="5"/>
  <c r="UJ49" i="5"/>
  <c r="UJ50" i="5"/>
  <c r="UJ51" i="5"/>
  <c r="UJ52" i="5"/>
  <c r="UJ53" i="5"/>
  <c r="UJ54" i="5"/>
  <c r="UJ55" i="5"/>
  <c r="UJ56" i="5"/>
  <c r="UJ57" i="5"/>
  <c r="UJ58" i="5"/>
  <c r="UJ59" i="5"/>
  <c r="UJ60" i="5"/>
  <c r="UJ61" i="5"/>
  <c r="SU10" i="5"/>
  <c r="UL9" i="5"/>
  <c r="UK9" i="5"/>
  <c r="UJ9" i="5"/>
  <c r="UL8" i="5"/>
  <c r="UK8" i="5"/>
  <c r="HH9" i="3"/>
  <c r="HH10" i="3"/>
  <c r="HH11" i="3"/>
  <c r="HH12" i="3"/>
  <c r="HH13" i="3"/>
  <c r="HH14" i="3"/>
  <c r="HH15" i="3"/>
  <c r="HH16" i="3"/>
  <c r="HH17" i="3"/>
  <c r="HH18" i="3"/>
  <c r="HH19" i="3"/>
  <c r="HH20" i="3"/>
  <c r="HH21" i="3"/>
  <c r="HH22" i="3"/>
  <c r="HH23" i="3"/>
  <c r="HH24" i="3"/>
  <c r="HH25" i="3"/>
  <c r="HH26" i="3"/>
  <c r="HH27" i="3"/>
  <c r="HH28" i="3"/>
  <c r="HH29" i="3"/>
  <c r="HH30" i="3"/>
  <c r="HH31" i="3"/>
  <c r="HH32" i="3"/>
  <c r="HH33" i="3"/>
  <c r="HH34" i="3"/>
  <c r="HH35" i="3"/>
  <c r="HH36" i="3"/>
  <c r="HH37" i="3"/>
  <c r="HH38" i="3"/>
  <c r="HH40" i="3"/>
  <c r="HH41" i="3"/>
  <c r="HH42" i="3"/>
  <c r="HH43" i="3"/>
  <c r="HH44" i="3"/>
  <c r="HH45" i="3"/>
  <c r="HH46" i="3"/>
  <c r="HH47" i="3"/>
  <c r="HH48" i="3"/>
  <c r="HH49" i="3"/>
  <c r="HH50" i="3"/>
  <c r="HH51" i="3"/>
  <c r="HH52" i="3"/>
  <c r="HH53" i="3"/>
  <c r="HH55" i="3"/>
  <c r="HH57" i="3"/>
  <c r="HH58" i="3"/>
  <c r="HH59" i="3"/>
  <c r="HH60" i="3"/>
  <c r="HH61" i="3"/>
  <c r="HH62" i="3"/>
  <c r="HH63" i="3"/>
  <c r="HH64" i="3"/>
  <c r="HH65" i="3"/>
  <c r="HH66" i="3"/>
  <c r="HH67" i="3"/>
  <c r="HH68" i="3"/>
  <c r="HH70" i="3"/>
  <c r="HH72" i="3"/>
  <c r="HH8" i="3"/>
  <c r="HH7" i="3"/>
  <c r="HX7" i="2"/>
  <c r="HH8" i="2"/>
  <c r="HH9" i="2"/>
  <c r="HH10" i="2"/>
  <c r="HH11" i="2"/>
  <c r="HH12" i="2"/>
  <c r="HH13" i="2"/>
  <c r="HH14" i="2"/>
  <c r="HH15" i="2"/>
  <c r="HH16" i="2"/>
  <c r="HH17" i="2"/>
  <c r="HH18" i="2"/>
  <c r="HH19" i="2"/>
  <c r="HH20" i="2"/>
  <c r="HH21" i="2"/>
  <c r="HH22" i="2"/>
  <c r="HH23" i="2"/>
  <c r="HH24" i="2"/>
  <c r="HH25" i="2"/>
  <c r="HH26" i="2"/>
  <c r="HH27" i="2"/>
  <c r="HH28" i="2"/>
  <c r="HH29" i="2"/>
  <c r="HH30" i="2"/>
  <c r="HH31" i="2"/>
  <c r="HH32" i="2"/>
  <c r="HH33" i="2"/>
  <c r="HH34" i="2"/>
  <c r="HH35" i="2"/>
  <c r="HH36" i="2"/>
  <c r="HH37" i="2"/>
  <c r="HH38" i="2"/>
  <c r="HH39" i="2"/>
  <c r="HH41" i="2"/>
  <c r="HH42" i="2"/>
  <c r="HH43" i="2"/>
  <c r="HH44" i="2"/>
  <c r="HH45" i="2"/>
  <c r="HH46" i="2"/>
  <c r="HH47" i="2"/>
  <c r="HH48" i="2"/>
  <c r="HH49" i="2"/>
  <c r="HH50" i="2"/>
  <c r="HH51" i="2"/>
  <c r="HH52" i="2"/>
  <c r="HH53" i="2"/>
  <c r="HH54" i="2"/>
  <c r="HH55" i="2"/>
  <c r="HH56" i="2"/>
  <c r="HH57" i="2"/>
  <c r="HH58" i="2"/>
  <c r="HH59" i="2"/>
  <c r="HH60" i="2"/>
  <c r="HH61" i="2"/>
  <c r="HH62" i="2"/>
  <c r="HH63" i="2"/>
  <c r="HH64" i="2"/>
  <c r="HH65" i="2"/>
  <c r="HH66" i="2"/>
  <c r="HH67" i="2"/>
  <c r="HH68" i="2"/>
  <c r="HH69" i="2"/>
  <c r="HH70" i="2"/>
  <c r="HH71" i="2"/>
  <c r="HH72" i="2"/>
  <c r="HH74" i="2"/>
  <c r="HH7" i="2"/>
  <c r="HX8" i="3" l="1"/>
  <c r="HU8" i="7"/>
  <c r="HV8" i="7"/>
  <c r="HV7" i="7"/>
  <c r="VF53" i="8"/>
  <c r="VE53" i="8"/>
  <c r="VF45" i="8"/>
  <c r="VE45" i="8"/>
  <c r="VF37" i="8"/>
  <c r="VE37" i="8"/>
  <c r="VF28" i="8"/>
  <c r="VE28" i="8"/>
  <c r="VE19" i="8"/>
  <c r="VF19" i="8"/>
  <c r="VF10" i="8"/>
  <c r="VE10" i="8"/>
  <c r="VF54" i="8"/>
  <c r="VE54" i="8"/>
  <c r="VF46" i="8"/>
  <c r="VE46" i="8"/>
  <c r="VF38" i="8"/>
  <c r="VE38" i="8"/>
  <c r="VF29" i="8"/>
  <c r="VE29" i="8"/>
  <c r="VE20" i="8"/>
  <c r="VF20" i="8"/>
  <c r="VE12" i="8"/>
  <c r="VF12" i="8"/>
  <c r="VF30" i="8"/>
  <c r="VE30" i="8"/>
  <c r="VF52" i="8"/>
  <c r="VE52" i="8"/>
  <c r="VF44" i="8"/>
  <c r="VE44" i="8"/>
  <c r="VF36" i="8"/>
  <c r="VE36" i="8"/>
  <c r="VF27" i="8"/>
  <c r="VE27" i="8"/>
  <c r="VE18" i="8"/>
  <c r="VF18" i="8"/>
  <c r="VE9" i="8"/>
  <c r="VF9" i="8"/>
  <c r="VE11" i="8"/>
  <c r="VF11" i="8"/>
  <c r="VE51" i="8"/>
  <c r="VF51" i="8"/>
  <c r="VF17" i="8"/>
  <c r="VE17" i="8"/>
  <c r="VF50" i="8"/>
  <c r="VE50" i="8"/>
  <c r="VE42" i="8"/>
  <c r="VF42" i="8"/>
  <c r="VF34" i="8"/>
  <c r="VE34" i="8"/>
  <c r="VE25" i="8"/>
  <c r="VF25" i="8"/>
  <c r="VF16" i="8"/>
  <c r="VE16" i="8"/>
  <c r="VF35" i="8"/>
  <c r="VE35" i="8"/>
  <c r="VE57" i="8"/>
  <c r="VF57" i="8"/>
  <c r="VF49" i="8"/>
  <c r="VE49" i="8"/>
  <c r="VF41" i="8"/>
  <c r="VE41" i="8"/>
  <c r="VE33" i="8"/>
  <c r="VF33" i="8"/>
  <c r="VE23" i="8"/>
  <c r="VF23" i="8"/>
  <c r="VE15" i="8"/>
  <c r="VF15" i="8"/>
  <c r="VF48" i="8"/>
  <c r="VE48" i="8"/>
  <c r="VE40" i="8"/>
  <c r="VE32" i="8"/>
  <c r="VF32" i="8"/>
  <c r="VE22" i="8"/>
  <c r="VF22" i="8"/>
  <c r="VE14" i="8"/>
  <c r="VF14" i="8"/>
  <c r="VE8" i="8"/>
  <c r="VF8" i="8"/>
  <c r="VF43" i="8"/>
  <c r="VE43" i="8"/>
  <c r="VF26" i="8"/>
  <c r="VE26" i="8"/>
  <c r="VF55" i="8"/>
  <c r="VE55" i="8"/>
  <c r="VF47" i="8"/>
  <c r="VE47" i="8"/>
  <c r="VF39" i="8"/>
  <c r="VE39" i="8"/>
  <c r="VE31" i="8"/>
  <c r="VF31" i="8"/>
  <c r="VF21" i="8"/>
  <c r="VE21" i="8"/>
  <c r="VF13" i="8"/>
  <c r="VE13" i="8"/>
  <c r="GD7" i="4"/>
  <c r="HX8" i="2"/>
  <c r="HW7" i="3"/>
  <c r="HW8" i="3"/>
  <c r="GC7" i="4"/>
  <c r="HX8" i="6"/>
  <c r="WD8" i="5"/>
  <c r="WC9" i="5"/>
  <c r="HU7" i="7"/>
  <c r="HW8" i="6"/>
  <c r="WD9" i="5"/>
  <c r="WC8" i="5"/>
  <c r="HX7" i="3"/>
  <c r="HW8" i="2"/>
  <c r="HX7" i="6"/>
  <c r="HW7" i="6"/>
  <c r="HW39" i="2"/>
  <c r="SU46" i="5" l="1"/>
  <c r="FS59" i="3" l="1"/>
  <c r="SX53" i="5"/>
  <c r="GS40" i="7" l="1"/>
  <c r="GS34" i="7"/>
  <c r="GS26" i="7"/>
  <c r="GS23" i="7"/>
  <c r="GS22" i="7"/>
  <c r="GS20" i="7"/>
  <c r="GS21" i="7"/>
  <c r="GS38" i="7"/>
  <c r="FA36" i="4"/>
  <c r="FA64" i="4"/>
  <c r="FA55" i="4"/>
  <c r="FA54" i="4"/>
  <c r="FA45" i="4"/>
  <c r="FA43" i="4"/>
  <c r="FA33" i="4" l="1"/>
  <c r="GS33" i="7"/>
  <c r="SY30" i="5"/>
  <c r="GU29" i="3"/>
  <c r="GT29" i="3"/>
  <c r="GU30" i="2"/>
  <c r="GS29" i="7"/>
  <c r="FA68" i="4" l="1"/>
  <c r="FA67" i="4"/>
  <c r="FA63" i="4"/>
  <c r="FA60" i="4"/>
  <c r="FA59" i="4"/>
  <c r="FA57" i="4"/>
  <c r="FA50" i="4"/>
  <c r="FA49" i="4"/>
  <c r="FA48" i="4"/>
  <c r="FA46" i="4"/>
  <c r="SY67" i="5" l="1"/>
  <c r="SY63" i="5"/>
  <c r="SY59" i="5"/>
  <c r="SW56" i="5"/>
  <c r="SY53" i="5"/>
  <c r="SY48" i="5"/>
  <c r="SY45" i="5"/>
  <c r="SW43" i="5"/>
  <c r="SW44" i="5"/>
  <c r="SW46" i="5"/>
  <c r="SW47" i="5"/>
  <c r="SW50" i="5"/>
  <c r="SW51" i="5"/>
  <c r="SW52" i="5"/>
  <c r="SW54" i="5"/>
  <c r="SW55" i="5"/>
  <c r="SW57" i="5"/>
  <c r="SW58" i="5"/>
  <c r="SW60" i="5"/>
  <c r="SW61" i="5"/>
  <c r="SW64" i="5"/>
  <c r="SW65" i="5"/>
  <c r="SW66" i="5"/>
  <c r="SW68" i="5"/>
  <c r="SW69" i="5"/>
  <c r="SW70" i="5"/>
  <c r="SW71" i="5"/>
  <c r="SW72" i="5"/>
  <c r="SX62" i="5"/>
  <c r="SX59" i="5"/>
  <c r="SX49" i="5"/>
  <c r="SX34" i="5"/>
  <c r="SW48" i="5" l="1"/>
  <c r="SW49" i="5"/>
  <c r="SW59" i="5"/>
  <c r="FA62" i="4"/>
  <c r="SW45" i="5"/>
  <c r="FA44" i="4"/>
  <c r="SW53" i="5"/>
  <c r="SW67" i="5"/>
  <c r="SY62" i="5"/>
  <c r="SW63" i="5"/>
  <c r="SW62" i="5" l="1"/>
  <c r="FA29" i="4"/>
  <c r="FA22" i="4"/>
  <c r="FA42" i="4"/>
  <c r="GT35" i="6"/>
  <c r="GS25" i="7"/>
  <c r="GS11" i="7"/>
  <c r="GS37" i="7"/>
  <c r="GS19" i="7"/>
  <c r="GU37" i="6"/>
  <c r="GU33" i="6"/>
  <c r="GU26" i="6"/>
  <c r="GU23" i="6"/>
  <c r="SA51" i="8"/>
  <c r="SA48" i="8"/>
  <c r="SA42" i="8"/>
  <c r="SA38" i="8"/>
  <c r="SA33" i="8"/>
  <c r="SA27" i="8"/>
  <c r="SA19" i="8"/>
  <c r="SA13" i="8"/>
  <c r="SA10" i="8"/>
  <c r="GS7" i="7" l="1"/>
  <c r="FA58" i="4"/>
  <c r="FA65" i="4"/>
  <c r="FA52" i="4"/>
  <c r="FA47" i="4"/>
  <c r="FA41" i="4"/>
  <c r="GS18" i="7"/>
  <c r="SA47" i="8"/>
  <c r="SA26" i="8"/>
  <c r="SA9" i="8"/>
  <c r="FA32" i="4"/>
  <c r="FA31" i="4"/>
  <c r="GS17" i="7" l="1"/>
  <c r="SA8" i="8"/>
  <c r="FA56" i="4"/>
  <c r="FA40" i="4" s="1"/>
  <c r="FA61" i="4"/>
  <c r="GS47" i="7"/>
  <c r="SA25" i="8"/>
  <c r="FA20" i="4"/>
  <c r="FA13" i="4"/>
  <c r="FA9" i="4"/>
  <c r="SY42" i="5"/>
  <c r="SX41" i="5"/>
  <c r="SY21" i="5"/>
  <c r="SY10" i="5"/>
  <c r="SW11" i="5"/>
  <c r="SW12" i="5"/>
  <c r="SW13" i="5"/>
  <c r="SW14" i="5"/>
  <c r="SW15" i="5"/>
  <c r="SW17" i="5"/>
  <c r="SW18" i="5"/>
  <c r="SW20" i="5"/>
  <c r="SW22" i="5"/>
  <c r="SW23" i="5"/>
  <c r="SW24" i="5"/>
  <c r="SW25" i="5"/>
  <c r="SW26" i="5"/>
  <c r="SW27" i="5"/>
  <c r="SW28" i="5"/>
  <c r="SW29" i="5"/>
  <c r="SW30" i="5"/>
  <c r="SW31" i="5"/>
  <c r="SW32" i="5"/>
  <c r="SW33" i="5"/>
  <c r="SW34" i="5"/>
  <c r="SW35" i="5"/>
  <c r="SW36" i="5"/>
  <c r="SW37" i="5"/>
  <c r="SW38" i="5"/>
  <c r="SX8" i="5"/>
  <c r="GU17" i="6"/>
  <c r="GU7" i="6"/>
  <c r="GU66" i="3"/>
  <c r="GU63" i="3"/>
  <c r="GU59" i="3"/>
  <c r="GU48" i="3"/>
  <c r="GU43" i="3"/>
  <c r="GU34" i="3"/>
  <c r="GU20" i="3"/>
  <c r="GU13" i="3"/>
  <c r="GU9" i="3"/>
  <c r="GU64" i="2"/>
  <c r="GU60" i="2"/>
  <c r="GU49" i="2"/>
  <c r="GU44" i="2"/>
  <c r="GU35" i="2"/>
  <c r="GU21" i="2"/>
  <c r="GU13" i="2"/>
  <c r="GU9" i="2"/>
  <c r="FA17" i="4" l="1"/>
  <c r="FA8" i="4" s="1"/>
  <c r="SA57" i="8"/>
  <c r="GU16" i="6"/>
  <c r="SW10" i="5"/>
  <c r="FA39" i="4"/>
  <c r="SY19" i="5"/>
  <c r="SW19" i="5" s="1"/>
  <c r="SX40" i="5"/>
  <c r="GU62" i="3"/>
  <c r="GU17" i="3"/>
  <c r="GU42" i="3"/>
  <c r="GU63" i="2"/>
  <c r="GU18" i="2"/>
  <c r="GU8" i="2" s="1"/>
  <c r="GU43" i="2"/>
  <c r="SY41" i="5"/>
  <c r="SW42" i="5"/>
  <c r="SW21" i="5"/>
  <c r="HV42" i="7"/>
  <c r="HV43" i="7"/>
  <c r="HV44" i="7"/>
  <c r="HV45" i="7"/>
  <c r="GU15" i="6" l="1"/>
  <c r="SY16" i="5"/>
  <c r="SX73" i="5"/>
  <c r="GU8" i="3"/>
  <c r="GU41" i="3"/>
  <c r="GU42" i="2"/>
  <c r="GU41" i="2" s="1"/>
  <c r="GU7" i="2"/>
  <c r="SY40" i="5"/>
  <c r="SW41" i="5"/>
  <c r="FA7" i="4"/>
  <c r="HX35" i="2"/>
  <c r="HX36" i="2"/>
  <c r="HX37" i="2"/>
  <c r="GU42" i="6" l="1"/>
  <c r="SY9" i="5"/>
  <c r="SW16" i="5"/>
  <c r="GU7" i="3"/>
  <c r="GU40" i="3"/>
  <c r="GU74" i="2"/>
  <c r="SW40" i="5"/>
  <c r="FA70" i="4"/>
  <c r="SW9" i="5" l="1"/>
  <c r="SY8" i="5"/>
  <c r="GU72" i="3"/>
  <c r="SW8" i="5" l="1"/>
  <c r="SY73" i="5"/>
  <c r="SW73" i="5" l="1"/>
  <c r="SN47" i="8" l="1"/>
  <c r="SN26" i="8"/>
  <c r="SN25" i="8"/>
  <c r="SN23" i="8"/>
  <c r="SN22" i="8"/>
  <c r="SN21" i="8"/>
  <c r="SN20" i="8"/>
  <c r="SN19" i="8"/>
  <c r="SN18" i="8"/>
  <c r="SN17" i="8"/>
  <c r="SN16" i="8"/>
  <c r="SN15" i="8"/>
  <c r="SN14" i="8"/>
  <c r="SN13" i="8"/>
  <c r="SN12" i="8"/>
  <c r="SN11" i="8"/>
  <c r="SN10" i="8"/>
  <c r="SN9" i="8"/>
  <c r="SO8" i="8"/>
  <c r="TL73" i="5"/>
  <c r="UJ73" i="5" s="1"/>
  <c r="TL72" i="5"/>
  <c r="UJ72" i="5" s="1"/>
  <c r="TL71" i="5"/>
  <c r="UJ71" i="5" s="1"/>
  <c r="TL70" i="5"/>
  <c r="UJ70" i="5" s="1"/>
  <c r="TL69" i="5"/>
  <c r="UJ69" i="5" s="1"/>
  <c r="TL68" i="5"/>
  <c r="UJ68" i="5" s="1"/>
  <c r="TL67" i="5"/>
  <c r="UJ67" i="5" s="1"/>
  <c r="TL66" i="5"/>
  <c r="UJ66" i="5" s="1"/>
  <c r="TL65" i="5"/>
  <c r="UJ65" i="5" s="1"/>
  <c r="TL64" i="5"/>
  <c r="UJ64" i="5" s="1"/>
  <c r="TL63" i="5"/>
  <c r="UJ63" i="5" s="1"/>
  <c r="TL62" i="5"/>
  <c r="UJ62" i="5" s="1"/>
  <c r="TL21" i="8" l="1"/>
  <c r="TL15" i="8"/>
  <c r="TM8" i="8"/>
  <c r="TL16" i="8"/>
  <c r="TL25" i="8"/>
  <c r="TL9" i="8"/>
  <c r="TL17" i="8"/>
  <c r="TL26" i="8"/>
  <c r="TL14" i="8"/>
  <c r="TL23" i="8"/>
  <c r="TL10" i="8"/>
  <c r="TL18" i="8"/>
  <c r="TL47" i="8"/>
  <c r="TL13" i="8"/>
  <c r="TL22" i="8"/>
  <c r="TL11" i="8"/>
  <c r="TL19" i="8"/>
  <c r="TL12" i="8"/>
  <c r="TL20" i="8"/>
  <c r="SO57" i="8"/>
  <c r="SN8" i="8"/>
  <c r="TL8" i="8" l="1"/>
  <c r="TM57" i="8"/>
  <c r="SN57" i="8"/>
  <c r="TL57" i="8" l="1"/>
  <c r="HX38" i="2"/>
  <c r="EZ36" i="4" l="1"/>
  <c r="GT14" i="2"/>
  <c r="EZ9" i="4" l="1"/>
  <c r="EZ11" i="4"/>
  <c r="EZ12" i="4"/>
  <c r="EZ13" i="4"/>
  <c r="EZ14" i="4"/>
  <c r="EZ15" i="4"/>
  <c r="EZ16" i="4"/>
  <c r="EZ17" i="4"/>
  <c r="EZ18" i="4"/>
  <c r="EZ19" i="4"/>
  <c r="EZ20" i="4"/>
  <c r="EZ21" i="4"/>
  <c r="EZ22" i="4"/>
  <c r="EZ23" i="4"/>
  <c r="EZ24" i="4"/>
  <c r="EZ25" i="4"/>
  <c r="EZ26" i="4"/>
  <c r="EZ27" i="4"/>
  <c r="EZ28" i="4"/>
  <c r="EZ29" i="4"/>
  <c r="EZ30" i="4"/>
  <c r="EZ31" i="4"/>
  <c r="EZ32" i="4"/>
  <c r="EZ33" i="4"/>
  <c r="EZ34" i="4"/>
  <c r="EZ35" i="4"/>
  <c r="EZ37" i="4"/>
  <c r="EZ39" i="4"/>
  <c r="EZ40" i="4"/>
  <c r="EZ41" i="4"/>
  <c r="EZ42" i="4"/>
  <c r="EZ43" i="4"/>
  <c r="EZ44" i="4"/>
  <c r="EZ45" i="4"/>
  <c r="EZ46" i="4"/>
  <c r="EZ47" i="4"/>
  <c r="EZ48" i="4"/>
  <c r="EZ49" i="4"/>
  <c r="EZ50" i="4"/>
  <c r="EZ51" i="4"/>
  <c r="EZ52" i="4"/>
  <c r="EZ53" i="4"/>
  <c r="EZ54" i="4"/>
  <c r="EZ55" i="4"/>
  <c r="EZ56" i="4"/>
  <c r="EZ57" i="4"/>
  <c r="EZ58" i="4"/>
  <c r="EZ59" i="4"/>
  <c r="EZ60" i="4"/>
  <c r="EZ61" i="4"/>
  <c r="EZ62" i="4"/>
  <c r="EZ63" i="4"/>
  <c r="EZ64" i="4"/>
  <c r="EZ65" i="4"/>
  <c r="EZ66" i="4"/>
  <c r="EZ67" i="4"/>
  <c r="EZ68" i="4"/>
  <c r="EZ70" i="4"/>
  <c r="EZ8" i="4"/>
  <c r="EZ7" i="4"/>
  <c r="RX10" i="8"/>
  <c r="RY10" i="8"/>
  <c r="RZ10" i="8"/>
  <c r="RX11" i="8"/>
  <c r="RY11" i="8"/>
  <c r="RZ11" i="8"/>
  <c r="RX12" i="8"/>
  <c r="RY12" i="8"/>
  <c r="RZ12" i="8"/>
  <c r="RX13" i="8"/>
  <c r="RY13" i="8"/>
  <c r="RZ13" i="8"/>
  <c r="RX14" i="8"/>
  <c r="RZ14" i="8"/>
  <c r="RX15" i="8"/>
  <c r="RY15" i="8"/>
  <c r="RZ15" i="8"/>
  <c r="RX16" i="8"/>
  <c r="RY16" i="8"/>
  <c r="RZ16" i="8"/>
  <c r="RX17" i="8"/>
  <c r="RY17" i="8"/>
  <c r="RZ17" i="8"/>
  <c r="RX18" i="8"/>
  <c r="RY18" i="8"/>
  <c r="RZ18" i="8"/>
  <c r="RX19" i="8"/>
  <c r="RY19" i="8"/>
  <c r="RZ19" i="8"/>
  <c r="RX20" i="8"/>
  <c r="RY20" i="8"/>
  <c r="RZ20" i="8"/>
  <c r="RX21" i="8"/>
  <c r="RY21" i="8"/>
  <c r="RZ21" i="8"/>
  <c r="RX22" i="8"/>
  <c r="RY22" i="8"/>
  <c r="RZ22" i="8"/>
  <c r="RX23" i="8"/>
  <c r="RY23" i="8"/>
  <c r="RZ23" i="8"/>
  <c r="RX25" i="8"/>
  <c r="RY25" i="8"/>
  <c r="RZ25" i="8"/>
  <c r="RX26" i="8"/>
  <c r="RY26" i="8"/>
  <c r="RZ26" i="8"/>
  <c r="RZ27" i="8"/>
  <c r="RZ28" i="8"/>
  <c r="RZ29" i="8"/>
  <c r="RZ30" i="8"/>
  <c r="RZ31" i="8"/>
  <c r="RZ32" i="8"/>
  <c r="RZ33" i="8"/>
  <c r="RZ34" i="8"/>
  <c r="RZ35" i="8"/>
  <c r="RZ36" i="8"/>
  <c r="RZ37" i="8"/>
  <c r="RZ38" i="8"/>
  <c r="RX39" i="8"/>
  <c r="RY39" i="8"/>
  <c r="RZ39" i="8"/>
  <c r="RX40" i="8"/>
  <c r="RY40" i="8"/>
  <c r="RZ40" i="8"/>
  <c r="RX41" i="8"/>
  <c r="RY41" i="8"/>
  <c r="RZ41" i="8"/>
  <c r="RZ42" i="8"/>
  <c r="RZ43" i="8"/>
  <c r="RZ44" i="8"/>
  <c r="RZ45" i="8"/>
  <c r="RX46" i="8"/>
  <c r="RY46" i="8"/>
  <c r="RZ46" i="8"/>
  <c r="RX47" i="8"/>
  <c r="RY47" i="8"/>
  <c r="RZ47" i="8"/>
  <c r="RZ48" i="8"/>
  <c r="RZ49" i="8"/>
  <c r="RZ50" i="8"/>
  <c r="RZ51" i="8"/>
  <c r="RX52" i="8"/>
  <c r="RY52" i="8"/>
  <c r="RZ52" i="8"/>
  <c r="RX53" i="8"/>
  <c r="RY53" i="8"/>
  <c r="RZ53" i="8"/>
  <c r="RX54" i="8"/>
  <c r="RY54" i="8"/>
  <c r="RZ54" i="8"/>
  <c r="RX55" i="8"/>
  <c r="RY55" i="8"/>
  <c r="RZ55" i="8"/>
  <c r="RX57" i="8"/>
  <c r="RY57" i="8"/>
  <c r="RZ57" i="8"/>
  <c r="RZ9" i="8"/>
  <c r="RY9" i="8"/>
  <c r="RX9" i="8"/>
  <c r="RZ8" i="8"/>
  <c r="RY8" i="8"/>
  <c r="RX8" i="8"/>
  <c r="GR30" i="7"/>
  <c r="GR20" i="7"/>
  <c r="GR10" i="7"/>
  <c r="GR7" i="7"/>
  <c r="GR11" i="7"/>
  <c r="GR12" i="7"/>
  <c r="GR13" i="7"/>
  <c r="GR14" i="7"/>
  <c r="GR15" i="7"/>
  <c r="GR17" i="7"/>
  <c r="GR18" i="7"/>
  <c r="GR19" i="7"/>
  <c r="GR21" i="7"/>
  <c r="GR22" i="7"/>
  <c r="GR23" i="7"/>
  <c r="GR24" i="7"/>
  <c r="GR25" i="7"/>
  <c r="GR26" i="7"/>
  <c r="GR27" i="7"/>
  <c r="GR28" i="7"/>
  <c r="GR29" i="7"/>
  <c r="GR31" i="7"/>
  <c r="GR32" i="7"/>
  <c r="GR33" i="7"/>
  <c r="GR34" i="7"/>
  <c r="GR35" i="7"/>
  <c r="GR36" i="7"/>
  <c r="GR37" i="7"/>
  <c r="GR38" i="7"/>
  <c r="GR39" i="7"/>
  <c r="GR40" i="7"/>
  <c r="GR41" i="7"/>
  <c r="GR42" i="7"/>
  <c r="GR43" i="7"/>
  <c r="GR44" i="7"/>
  <c r="GR45" i="7"/>
  <c r="GR47" i="7"/>
  <c r="GR9" i="7"/>
  <c r="GR8" i="7"/>
  <c r="GT9" i="6"/>
  <c r="GT10" i="6"/>
  <c r="GT11" i="6"/>
  <c r="GT12" i="6"/>
  <c r="GT13" i="6"/>
  <c r="GT15" i="6"/>
  <c r="GT16" i="6"/>
  <c r="GT17" i="6"/>
  <c r="GT18" i="6"/>
  <c r="GT19" i="6"/>
  <c r="GT20" i="6"/>
  <c r="GT21" i="6"/>
  <c r="GT22" i="6"/>
  <c r="GT23" i="6"/>
  <c r="GT24" i="6"/>
  <c r="GT25" i="6"/>
  <c r="GT26" i="6"/>
  <c r="GT27" i="6"/>
  <c r="GT28" i="6"/>
  <c r="GT29" i="6"/>
  <c r="GT30" i="6"/>
  <c r="GT31" i="6"/>
  <c r="GT32" i="6"/>
  <c r="GT33" i="6"/>
  <c r="GT34" i="6"/>
  <c r="GT36" i="6"/>
  <c r="GT37" i="6"/>
  <c r="GT38" i="6"/>
  <c r="GT39" i="6"/>
  <c r="GT40" i="6"/>
  <c r="GT42" i="6"/>
  <c r="GT8" i="6"/>
  <c r="GT7" i="6"/>
  <c r="GT6" i="6"/>
  <c r="ST10" i="5"/>
  <c r="SV10" i="5"/>
  <c r="ST11" i="5"/>
  <c r="SU11" i="5"/>
  <c r="SV11" i="5"/>
  <c r="ST12" i="5"/>
  <c r="SU12" i="5"/>
  <c r="SV12" i="5"/>
  <c r="ST13" i="5"/>
  <c r="SU13" i="5"/>
  <c r="SV13" i="5"/>
  <c r="ST14" i="5"/>
  <c r="SU14" i="5"/>
  <c r="SV14" i="5"/>
  <c r="ST15" i="5"/>
  <c r="SU15" i="5"/>
  <c r="SV15" i="5"/>
  <c r="ST16" i="5"/>
  <c r="SU16" i="5"/>
  <c r="SV16" i="5"/>
  <c r="ST17" i="5"/>
  <c r="SU17" i="5"/>
  <c r="SV17" i="5"/>
  <c r="ST18" i="5"/>
  <c r="SU18" i="5"/>
  <c r="SV18" i="5"/>
  <c r="ST19" i="5"/>
  <c r="SU19" i="5"/>
  <c r="SV19" i="5"/>
  <c r="ST20" i="5"/>
  <c r="SU20" i="5"/>
  <c r="SV20" i="5"/>
  <c r="ST21" i="5"/>
  <c r="SU21" i="5"/>
  <c r="SV21" i="5"/>
  <c r="ST22" i="5"/>
  <c r="SU22" i="5"/>
  <c r="SV22" i="5"/>
  <c r="ST23" i="5"/>
  <c r="SU23" i="5"/>
  <c r="SV23" i="5"/>
  <c r="ST24" i="5"/>
  <c r="SU24" i="5"/>
  <c r="SV24" i="5"/>
  <c r="ST25" i="5"/>
  <c r="SU25" i="5"/>
  <c r="SV25" i="5"/>
  <c r="ST26" i="5"/>
  <c r="SU26" i="5"/>
  <c r="SV26" i="5"/>
  <c r="ST27" i="5"/>
  <c r="SU27" i="5"/>
  <c r="SV27" i="5"/>
  <c r="ST28" i="5"/>
  <c r="SU28" i="5"/>
  <c r="SV28" i="5"/>
  <c r="ST29" i="5"/>
  <c r="SU29" i="5"/>
  <c r="SV29" i="5"/>
  <c r="ST30" i="5"/>
  <c r="SU30" i="5"/>
  <c r="SV30" i="5"/>
  <c r="ST31" i="5"/>
  <c r="SU31" i="5"/>
  <c r="SV31" i="5"/>
  <c r="ST32" i="5"/>
  <c r="SU32" i="5"/>
  <c r="SV32" i="5"/>
  <c r="ST33" i="5"/>
  <c r="SU33" i="5"/>
  <c r="SV33" i="5"/>
  <c r="ST34" i="5"/>
  <c r="SU34" i="5"/>
  <c r="SV34" i="5"/>
  <c r="ST35" i="5"/>
  <c r="SU35" i="5"/>
  <c r="SV35" i="5"/>
  <c r="ST36" i="5"/>
  <c r="SU36" i="5"/>
  <c r="SV36" i="5"/>
  <c r="ST37" i="5"/>
  <c r="SU37" i="5"/>
  <c r="SV37" i="5"/>
  <c r="ST38" i="5"/>
  <c r="SU38" i="5"/>
  <c r="SV38" i="5"/>
  <c r="ST40" i="5"/>
  <c r="SU40" i="5"/>
  <c r="SV40" i="5"/>
  <c r="ST41" i="5"/>
  <c r="SU41" i="5"/>
  <c r="SV41" i="5"/>
  <c r="ST42" i="5"/>
  <c r="SU42" i="5"/>
  <c r="SV42" i="5"/>
  <c r="ST43" i="5"/>
  <c r="SU43" i="5"/>
  <c r="SV43" i="5"/>
  <c r="ST44" i="5"/>
  <c r="SU44" i="5"/>
  <c r="SV44" i="5"/>
  <c r="ST45" i="5"/>
  <c r="SU45" i="5"/>
  <c r="SV45" i="5"/>
  <c r="ST46" i="5"/>
  <c r="SV46" i="5"/>
  <c r="ST47" i="5"/>
  <c r="SU47" i="5"/>
  <c r="SV47" i="5"/>
  <c r="ST48" i="5"/>
  <c r="SU48" i="5"/>
  <c r="SV48" i="5"/>
  <c r="ST49" i="5"/>
  <c r="SU49" i="5"/>
  <c r="SV49" i="5"/>
  <c r="ST50" i="5"/>
  <c r="SU50" i="5"/>
  <c r="SV50" i="5"/>
  <c r="ST51" i="5"/>
  <c r="SU51" i="5"/>
  <c r="SV51" i="5"/>
  <c r="ST52" i="5"/>
  <c r="SU52" i="5"/>
  <c r="SV52" i="5"/>
  <c r="ST53" i="5"/>
  <c r="SU53" i="5"/>
  <c r="SV53" i="5"/>
  <c r="ST54" i="5"/>
  <c r="SU54" i="5"/>
  <c r="SV54" i="5"/>
  <c r="ST55" i="5"/>
  <c r="SU55" i="5"/>
  <c r="SV55" i="5"/>
  <c r="ST56" i="5"/>
  <c r="SU56" i="5"/>
  <c r="SV56" i="5"/>
  <c r="ST57" i="5"/>
  <c r="SU57" i="5"/>
  <c r="SV57" i="5"/>
  <c r="ST58" i="5"/>
  <c r="SU58" i="5"/>
  <c r="SV58" i="5"/>
  <c r="ST59" i="5"/>
  <c r="SU59" i="5"/>
  <c r="SV59" i="5"/>
  <c r="ST60" i="5"/>
  <c r="SU60" i="5"/>
  <c r="SV60" i="5"/>
  <c r="ST61" i="5"/>
  <c r="SU61" i="5"/>
  <c r="SV61" i="5"/>
  <c r="ST62" i="5"/>
  <c r="SU62" i="5"/>
  <c r="SV62" i="5"/>
  <c r="ST63" i="5"/>
  <c r="SU63" i="5"/>
  <c r="SV63" i="5"/>
  <c r="ST64" i="5"/>
  <c r="SU64" i="5"/>
  <c r="SV64" i="5"/>
  <c r="ST65" i="5"/>
  <c r="SU65" i="5"/>
  <c r="SV65" i="5"/>
  <c r="ST67" i="5"/>
  <c r="SU67" i="5"/>
  <c r="SV67" i="5"/>
  <c r="ST68" i="5"/>
  <c r="SU68" i="5"/>
  <c r="SV68" i="5"/>
  <c r="ST69" i="5"/>
  <c r="SU69" i="5"/>
  <c r="SV69" i="5"/>
  <c r="ST70" i="5"/>
  <c r="SU70" i="5"/>
  <c r="SV70" i="5"/>
  <c r="ST71" i="5"/>
  <c r="SU71" i="5"/>
  <c r="SV71" i="5"/>
  <c r="SU73" i="5"/>
  <c r="SV73" i="5"/>
  <c r="SV9" i="5" l="1"/>
  <c r="SU9" i="5"/>
  <c r="ST9" i="5"/>
  <c r="SV8" i="5"/>
  <c r="SU8" i="5"/>
  <c r="ST8" i="5"/>
  <c r="GT21" i="3"/>
  <c r="GT14" i="3"/>
  <c r="GT9" i="3"/>
  <c r="GT12" i="3"/>
  <c r="GT13" i="3"/>
  <c r="GT15" i="3"/>
  <c r="GT16" i="3"/>
  <c r="GT17" i="3"/>
  <c r="GT18" i="3"/>
  <c r="GT19" i="3"/>
  <c r="GT20" i="3"/>
  <c r="GT22" i="3"/>
  <c r="GT23" i="3"/>
  <c r="GT24" i="3"/>
  <c r="GT25" i="3"/>
  <c r="GT26" i="3"/>
  <c r="GT27" i="3"/>
  <c r="GT28" i="3"/>
  <c r="GT30" i="3"/>
  <c r="GT31" i="3"/>
  <c r="GT32" i="3"/>
  <c r="GT33" i="3"/>
  <c r="GT34" i="3"/>
  <c r="GT35" i="3"/>
  <c r="GT36" i="3"/>
  <c r="GT37" i="3"/>
  <c r="GT38" i="3"/>
  <c r="GT40" i="3"/>
  <c r="GT41" i="3"/>
  <c r="GT42" i="3"/>
  <c r="GT43" i="3"/>
  <c r="GT44" i="3"/>
  <c r="GT45" i="3"/>
  <c r="GT46" i="3"/>
  <c r="GT47" i="3"/>
  <c r="GT48" i="3"/>
  <c r="GT49" i="3"/>
  <c r="GT50" i="3"/>
  <c r="GT51" i="3"/>
  <c r="GT52" i="3"/>
  <c r="GT53" i="3"/>
  <c r="GT54" i="3"/>
  <c r="GT55" i="3"/>
  <c r="GT56" i="3"/>
  <c r="GT57" i="3"/>
  <c r="GT58" i="3"/>
  <c r="GT59" i="3"/>
  <c r="GT60" i="3"/>
  <c r="GT61" i="3"/>
  <c r="GT62" i="3"/>
  <c r="GT63" i="3"/>
  <c r="GT64" i="3"/>
  <c r="GT65" i="3"/>
  <c r="GT66" i="3"/>
  <c r="GT67" i="3"/>
  <c r="GT68" i="3"/>
  <c r="GT69" i="3"/>
  <c r="GT70" i="3"/>
  <c r="GT72" i="3"/>
  <c r="GT11" i="3"/>
  <c r="GT10" i="3"/>
  <c r="GT8" i="3"/>
  <c r="GT7" i="3"/>
  <c r="HV6" i="3"/>
  <c r="GT74" i="2"/>
  <c r="GF7" i="2"/>
  <c r="GT13" i="2"/>
  <c r="GT15" i="2"/>
  <c r="GT16" i="2"/>
  <c r="GT17" i="2"/>
  <c r="GT18" i="2"/>
  <c r="GT19" i="2"/>
  <c r="GT20" i="2"/>
  <c r="GT21" i="2"/>
  <c r="GT22" i="2"/>
  <c r="GT23" i="2"/>
  <c r="GT24" i="2"/>
  <c r="GT25" i="2"/>
  <c r="GT26" i="2"/>
  <c r="GT27" i="2"/>
  <c r="GT28" i="2"/>
  <c r="GT29" i="2"/>
  <c r="GT30" i="2"/>
  <c r="GT31" i="2"/>
  <c r="GT32" i="2"/>
  <c r="GT33" i="2"/>
  <c r="GT34" i="2"/>
  <c r="GT35" i="2"/>
  <c r="GT36" i="2"/>
  <c r="GT37" i="2"/>
  <c r="GT38" i="2"/>
  <c r="GT39" i="2"/>
  <c r="GT41" i="2"/>
  <c r="GT42" i="2"/>
  <c r="GT43" i="2"/>
  <c r="GT44" i="2"/>
  <c r="GT45" i="2"/>
  <c r="GT46" i="2"/>
  <c r="GT47" i="2"/>
  <c r="GT48" i="2"/>
  <c r="GT49" i="2"/>
  <c r="GT50" i="2"/>
  <c r="GT51" i="2"/>
  <c r="GT52" i="2"/>
  <c r="GT53" i="2"/>
  <c r="GT54" i="2"/>
  <c r="GT55" i="2"/>
  <c r="GT56" i="2"/>
  <c r="GT57" i="2"/>
  <c r="GT58" i="2"/>
  <c r="GT59" i="2"/>
  <c r="GT60" i="2"/>
  <c r="GT61" i="2"/>
  <c r="GT62" i="2"/>
  <c r="GT63" i="2"/>
  <c r="GT64" i="2"/>
  <c r="GT65" i="2"/>
  <c r="GT66" i="2"/>
  <c r="GT67" i="2"/>
  <c r="GT68" i="2"/>
  <c r="GT69" i="2"/>
  <c r="GT70" i="2"/>
  <c r="GT71" i="2"/>
  <c r="GT72" i="2"/>
  <c r="GT12" i="2"/>
  <c r="GT9" i="2"/>
  <c r="GT10" i="2"/>
  <c r="GT8" i="2"/>
  <c r="GT7" i="2"/>
  <c r="VW6" i="5" l="1"/>
  <c r="VZ6" i="5" s="1"/>
  <c r="WC6" i="5" l="1"/>
  <c r="GC32" i="4" l="1"/>
  <c r="GD11" i="4" l="1"/>
  <c r="GC11" i="4"/>
  <c r="HX11" i="2"/>
  <c r="HW11" i="2"/>
  <c r="WC12" i="5"/>
  <c r="SE73" i="5"/>
  <c r="ST73" i="5" l="1"/>
  <c r="GG60" i="2" l="1"/>
  <c r="GG21" i="2"/>
  <c r="EM64" i="4"/>
  <c r="EM63" i="4"/>
  <c r="EM60" i="4"/>
  <c r="EM59" i="4"/>
  <c r="EM57" i="4"/>
  <c r="EM55" i="4"/>
  <c r="EM54" i="4"/>
  <c r="EM50" i="4"/>
  <c r="EM43" i="4"/>
  <c r="EM45" i="4"/>
  <c r="EM46" i="4"/>
  <c r="EM48" i="4"/>
  <c r="EM49" i="4"/>
  <c r="EM36" i="4"/>
  <c r="EM33" i="4" s="1"/>
  <c r="EM31" i="4"/>
  <c r="GE34" i="7"/>
  <c r="GE33" i="7" s="1"/>
  <c r="GE11" i="7"/>
  <c r="GE7" i="7" s="1"/>
  <c r="GG22" i="3"/>
  <c r="GG20" i="3" s="1"/>
  <c r="GG17" i="3" s="1"/>
  <c r="RH62" i="5"/>
  <c r="RH59" i="5"/>
  <c r="RH53" i="5"/>
  <c r="RH41" i="5" s="1"/>
  <c r="RH49" i="5"/>
  <c r="RG49" i="5" s="1"/>
  <c r="RH34" i="5"/>
  <c r="RG34" i="5" s="1"/>
  <c r="RI21" i="5"/>
  <c r="RI19" i="5" s="1"/>
  <c r="RI16" i="5" s="1"/>
  <c r="RG16" i="5" s="1"/>
  <c r="GG66" i="3"/>
  <c r="GG63" i="3"/>
  <c r="GG59" i="3"/>
  <c r="FS53" i="3"/>
  <c r="GG43" i="3"/>
  <c r="GG42" i="3" s="1"/>
  <c r="GG34" i="3"/>
  <c r="GG13" i="3"/>
  <c r="GG9" i="3"/>
  <c r="GG64" i="2"/>
  <c r="GG49" i="2"/>
  <c r="GG44" i="2"/>
  <c r="GG13" i="2"/>
  <c r="GG9" i="2"/>
  <c r="EM32" i="4"/>
  <c r="EM22" i="4"/>
  <c r="EM20" i="4" s="1"/>
  <c r="EM17" i="4" s="1"/>
  <c r="DY13" i="4"/>
  <c r="EM13" i="4"/>
  <c r="EM9" i="4"/>
  <c r="QM51" i="8"/>
  <c r="QM48" i="8"/>
  <c r="QM42" i="8"/>
  <c r="QM38" i="8"/>
  <c r="QM33" i="8"/>
  <c r="QM27" i="8"/>
  <c r="QM19" i="8"/>
  <c r="QM13" i="8"/>
  <c r="QM10" i="8"/>
  <c r="RI63" i="5"/>
  <c r="EM62" i="4" s="1"/>
  <c r="RI70" i="5"/>
  <c r="EM68" i="4" s="1"/>
  <c r="RI69" i="5"/>
  <c r="EM67" i="4" s="1"/>
  <c r="RI53" i="5"/>
  <c r="RI48" i="5"/>
  <c r="RG48" i="5" s="1"/>
  <c r="RI45" i="5"/>
  <c r="RI42" i="5"/>
  <c r="RI10" i="5"/>
  <c r="RG71" i="5"/>
  <c r="RG68" i="5"/>
  <c r="RG65" i="5"/>
  <c r="RG64" i="5"/>
  <c r="RG61" i="5"/>
  <c r="RG60" i="5"/>
  <c r="RG58" i="5"/>
  <c r="RG56" i="5"/>
  <c r="RG55" i="5"/>
  <c r="RG54" i="5"/>
  <c r="RG52" i="5"/>
  <c r="RG51" i="5"/>
  <c r="RG50" i="5"/>
  <c r="RG47" i="5"/>
  <c r="RG46" i="5"/>
  <c r="RG44" i="5"/>
  <c r="RG43" i="5"/>
  <c r="RG37" i="5"/>
  <c r="RG36" i="5"/>
  <c r="RG35" i="5"/>
  <c r="RG33" i="5"/>
  <c r="RG32" i="5"/>
  <c r="RG31" i="5"/>
  <c r="RG30" i="5"/>
  <c r="RG29" i="5"/>
  <c r="RG28" i="5"/>
  <c r="RG27" i="5"/>
  <c r="RG26" i="5"/>
  <c r="RG25" i="5"/>
  <c r="RG24" i="5"/>
  <c r="RG23" i="5"/>
  <c r="RG22" i="5"/>
  <c r="RG20" i="5"/>
  <c r="RG18" i="5"/>
  <c r="RG17" i="5"/>
  <c r="RG15" i="5"/>
  <c r="RG14" i="5"/>
  <c r="RG13" i="5"/>
  <c r="RG11" i="5"/>
  <c r="GE38" i="7"/>
  <c r="GE37" i="7" s="1"/>
  <c r="GE31" i="7"/>
  <c r="GE29" i="7" s="1"/>
  <c r="GE26" i="7"/>
  <c r="GE25" i="7" s="1"/>
  <c r="FQ26" i="7"/>
  <c r="GE23" i="7"/>
  <c r="GE20" i="7"/>
  <c r="GG37" i="6"/>
  <c r="GG33" i="6"/>
  <c r="GG26" i="6"/>
  <c r="GG23" i="6"/>
  <c r="GG20" i="6"/>
  <c r="GG17" i="6"/>
  <c r="GG7" i="6"/>
  <c r="RH40" i="5" l="1"/>
  <c r="GG43" i="2"/>
  <c r="GG42" i="2" s="1"/>
  <c r="GG63" i="2"/>
  <c r="GG18" i="2"/>
  <c r="GG8" i="2" s="1"/>
  <c r="EM44" i="4"/>
  <c r="EM42" i="4" s="1"/>
  <c r="EM41" i="4" s="1"/>
  <c r="RG69" i="5"/>
  <c r="RG70" i="5"/>
  <c r="RH8" i="5"/>
  <c r="RG45" i="5"/>
  <c r="RG21" i="5"/>
  <c r="RG19" i="5"/>
  <c r="RI9" i="5"/>
  <c r="RI8" i="5" s="1"/>
  <c r="GG62" i="3"/>
  <c r="GG41" i="3"/>
  <c r="GG8" i="3"/>
  <c r="GG7" i="3" s="1"/>
  <c r="EM65" i="4"/>
  <c r="EM61" i="4" s="1"/>
  <c r="EM52" i="4"/>
  <c r="EM47" i="4"/>
  <c r="EM8" i="4"/>
  <c r="EM7" i="4" s="1"/>
  <c r="QM47" i="8"/>
  <c r="QM26" i="8"/>
  <c r="QM9" i="8"/>
  <c r="RI67" i="5"/>
  <c r="RG67" i="5" s="1"/>
  <c r="RG63" i="5"/>
  <c r="RG53" i="5"/>
  <c r="RG42" i="5"/>
  <c r="RG10" i="5"/>
  <c r="GE19" i="7"/>
  <c r="GE18" i="7" s="1"/>
  <c r="GE17" i="7" s="1"/>
  <c r="GG16" i="6"/>
  <c r="GG41" i="2" l="1"/>
  <c r="QM8" i="8"/>
  <c r="GG15" i="6"/>
  <c r="RH73" i="5"/>
  <c r="RI62" i="5"/>
  <c r="RG62" i="5" s="1"/>
  <c r="GG7" i="2"/>
  <c r="GE47" i="7"/>
  <c r="RG8" i="5"/>
  <c r="RG9" i="5"/>
  <c r="GG40" i="3"/>
  <c r="QM25" i="8"/>
  <c r="QM57" i="8" l="1"/>
  <c r="GG74" i="2"/>
  <c r="GG72" i="3"/>
  <c r="EL9" i="4" l="1"/>
  <c r="EL10" i="4"/>
  <c r="EL12" i="4"/>
  <c r="EL13" i="4"/>
  <c r="EL14" i="4"/>
  <c r="EL15" i="4"/>
  <c r="EL16" i="4"/>
  <c r="EL17" i="4"/>
  <c r="EL18" i="4"/>
  <c r="EL19" i="4"/>
  <c r="EL20" i="4"/>
  <c r="EL21" i="4"/>
  <c r="EL22" i="4"/>
  <c r="EL24" i="4"/>
  <c r="EL25" i="4"/>
  <c r="EL26" i="4"/>
  <c r="EL27" i="4"/>
  <c r="EL28" i="4"/>
  <c r="EL29" i="4"/>
  <c r="EL30" i="4"/>
  <c r="EL31" i="4"/>
  <c r="EL32" i="4"/>
  <c r="EL33" i="4"/>
  <c r="EL35" i="4"/>
  <c r="EL36" i="4"/>
  <c r="EL37" i="4"/>
  <c r="EL39" i="4"/>
  <c r="EL40" i="4"/>
  <c r="EL41" i="4"/>
  <c r="EL42" i="4"/>
  <c r="EL43" i="4"/>
  <c r="EL44" i="4"/>
  <c r="EL45" i="4"/>
  <c r="EL46" i="4"/>
  <c r="EL47" i="4"/>
  <c r="EL48" i="4"/>
  <c r="EL49" i="4"/>
  <c r="EL50" i="4"/>
  <c r="EL51" i="4"/>
  <c r="EL52" i="4"/>
  <c r="EL53" i="4"/>
  <c r="EL54" i="4"/>
  <c r="EL55" i="4"/>
  <c r="EL56" i="4"/>
  <c r="EL57" i="4"/>
  <c r="EL58" i="4"/>
  <c r="EL59" i="4"/>
  <c r="EL60" i="4"/>
  <c r="EL61" i="4"/>
  <c r="EL62" i="4"/>
  <c r="EL63" i="4"/>
  <c r="EL64" i="4"/>
  <c r="EL65" i="4"/>
  <c r="EL66" i="4"/>
  <c r="EL67" i="4"/>
  <c r="EL68" i="4"/>
  <c r="EL70" i="4"/>
  <c r="EL8" i="4"/>
  <c r="EL7" i="4"/>
  <c r="QL10" i="8"/>
  <c r="QL11" i="8"/>
  <c r="QL12" i="8"/>
  <c r="QL13" i="8"/>
  <c r="QL14" i="8"/>
  <c r="QL15" i="8"/>
  <c r="QL16" i="8"/>
  <c r="QL17" i="8"/>
  <c r="QL18" i="8"/>
  <c r="QL19" i="8"/>
  <c r="QL20" i="8"/>
  <c r="QL21" i="8"/>
  <c r="QL22" i="8"/>
  <c r="QL23" i="8"/>
  <c r="QL25" i="8"/>
  <c r="QL26" i="8"/>
  <c r="QL27" i="8"/>
  <c r="QL28" i="8"/>
  <c r="QL29" i="8"/>
  <c r="QL30" i="8"/>
  <c r="QL31" i="8"/>
  <c r="QL32" i="8"/>
  <c r="QL33" i="8"/>
  <c r="QL34" i="8"/>
  <c r="QL35" i="8"/>
  <c r="QL36" i="8"/>
  <c r="QL37" i="8"/>
  <c r="QL38" i="8"/>
  <c r="QL39" i="8"/>
  <c r="QL40" i="8"/>
  <c r="QL41" i="8"/>
  <c r="QL42" i="8"/>
  <c r="QL43" i="8"/>
  <c r="QL44" i="8"/>
  <c r="QL45" i="8"/>
  <c r="QL46" i="8"/>
  <c r="QL47" i="8"/>
  <c r="QL48" i="8"/>
  <c r="QL49" i="8"/>
  <c r="QL50" i="8"/>
  <c r="QL51" i="8"/>
  <c r="QL52" i="8"/>
  <c r="QL53" i="8"/>
  <c r="QL54" i="8"/>
  <c r="QL55" i="8"/>
  <c r="QL57" i="8"/>
  <c r="QL9" i="8"/>
  <c r="QL8" i="8"/>
  <c r="QK39" i="8"/>
  <c r="QK40" i="8"/>
  <c r="QK41" i="8"/>
  <c r="QK46" i="8"/>
  <c r="QK47" i="8"/>
  <c r="QK52" i="8"/>
  <c r="QK53" i="8"/>
  <c r="QK54" i="8"/>
  <c r="QK55" i="8"/>
  <c r="QK57" i="8"/>
  <c r="QK10" i="8"/>
  <c r="QK11" i="8"/>
  <c r="QK12" i="8"/>
  <c r="QK13" i="8"/>
  <c r="QK14" i="8"/>
  <c r="QK15" i="8"/>
  <c r="QK16" i="8"/>
  <c r="QK17" i="8"/>
  <c r="QK18" i="8"/>
  <c r="QK19" i="8"/>
  <c r="QK20" i="8"/>
  <c r="QK21" i="8"/>
  <c r="QK22" i="8"/>
  <c r="QK23" i="8"/>
  <c r="QK25" i="8"/>
  <c r="QK26" i="8"/>
  <c r="QK9" i="8"/>
  <c r="QK8" i="8"/>
  <c r="QJ10" i="8"/>
  <c r="QJ11" i="8"/>
  <c r="QJ12" i="8"/>
  <c r="QJ13" i="8"/>
  <c r="QJ14" i="8"/>
  <c r="QJ15" i="8"/>
  <c r="QJ16" i="8"/>
  <c r="QJ17" i="8"/>
  <c r="QJ18" i="8"/>
  <c r="QJ21" i="8"/>
  <c r="QJ25" i="8"/>
  <c r="QJ26" i="8"/>
  <c r="QJ39" i="8"/>
  <c r="QJ40" i="8"/>
  <c r="QJ41" i="8"/>
  <c r="QJ46" i="8"/>
  <c r="QJ47" i="8"/>
  <c r="QJ52" i="8"/>
  <c r="QJ53" i="8"/>
  <c r="QJ54" i="8"/>
  <c r="QJ55" i="8"/>
  <c r="QJ57" i="8"/>
  <c r="QJ9" i="8"/>
  <c r="QJ8" i="8"/>
  <c r="GD9" i="7"/>
  <c r="GD10" i="7"/>
  <c r="GD11" i="7"/>
  <c r="GD12" i="7"/>
  <c r="GD13" i="7"/>
  <c r="GD14" i="7"/>
  <c r="GD15" i="7"/>
  <c r="GD17" i="7"/>
  <c r="GD18" i="7"/>
  <c r="GD19" i="7"/>
  <c r="GD20" i="7"/>
  <c r="GD21" i="7"/>
  <c r="GD22" i="7"/>
  <c r="GD23" i="7"/>
  <c r="GD24" i="7"/>
  <c r="GD25" i="7"/>
  <c r="GD26" i="7"/>
  <c r="GD27" i="7"/>
  <c r="GD28" i="7"/>
  <c r="GD29" i="7"/>
  <c r="GD30" i="7"/>
  <c r="GD31" i="7"/>
  <c r="GD32" i="7"/>
  <c r="GD33" i="7"/>
  <c r="GD34" i="7"/>
  <c r="GD35" i="7"/>
  <c r="GD36" i="7"/>
  <c r="GD37" i="7"/>
  <c r="GD38" i="7"/>
  <c r="GD39" i="7"/>
  <c r="GD40" i="7"/>
  <c r="GD41" i="7"/>
  <c r="GD42" i="7"/>
  <c r="GD43" i="7"/>
  <c r="GD44" i="7"/>
  <c r="GD45" i="7"/>
  <c r="GD47" i="7"/>
  <c r="GD8" i="7"/>
  <c r="GD7" i="7"/>
  <c r="GF9" i="6"/>
  <c r="GF10" i="6"/>
  <c r="GF11" i="6"/>
  <c r="GF12" i="6"/>
  <c r="GF13" i="6"/>
  <c r="GF15" i="6"/>
  <c r="GF16" i="6"/>
  <c r="GF17" i="6"/>
  <c r="GF18" i="6"/>
  <c r="GF19" i="6"/>
  <c r="GF20" i="6"/>
  <c r="GF21" i="6"/>
  <c r="GF22" i="6"/>
  <c r="GF23" i="6"/>
  <c r="GF24" i="6"/>
  <c r="GF25" i="6"/>
  <c r="GF26" i="6"/>
  <c r="GF27" i="6"/>
  <c r="GF28" i="6"/>
  <c r="GF29" i="6"/>
  <c r="GF30" i="6"/>
  <c r="GF31" i="6"/>
  <c r="GF32" i="6"/>
  <c r="GF33" i="6"/>
  <c r="GF34" i="6"/>
  <c r="GF35" i="6"/>
  <c r="GF36" i="6"/>
  <c r="GF37" i="6"/>
  <c r="GF38" i="6"/>
  <c r="GF39" i="6"/>
  <c r="GF40" i="6"/>
  <c r="GF42" i="6"/>
  <c r="GF8" i="6"/>
  <c r="GF7" i="6"/>
  <c r="GF6" i="6"/>
  <c r="RF10" i="5"/>
  <c r="RF11" i="5"/>
  <c r="RF13" i="5"/>
  <c r="RF14" i="5"/>
  <c r="RF15" i="5"/>
  <c r="RF16" i="5"/>
  <c r="RF17" i="5"/>
  <c r="RF18" i="5"/>
  <c r="RF19" i="5"/>
  <c r="RF20" i="5"/>
  <c r="RF21" i="5"/>
  <c r="RF22" i="5"/>
  <c r="RF23" i="5"/>
  <c r="RF24" i="5"/>
  <c r="RF25" i="5"/>
  <c r="RF26" i="5"/>
  <c r="RF27" i="5"/>
  <c r="RF28" i="5"/>
  <c r="RF29" i="5"/>
  <c r="RF30" i="5"/>
  <c r="RF31" i="5"/>
  <c r="RF32" i="5"/>
  <c r="RF33" i="5"/>
  <c r="RF34" i="5"/>
  <c r="RF35" i="5"/>
  <c r="RF36" i="5"/>
  <c r="RF37" i="5"/>
  <c r="RF38" i="5"/>
  <c r="RF40" i="5"/>
  <c r="RF41" i="5"/>
  <c r="RF42" i="5"/>
  <c r="RF43" i="5"/>
  <c r="RF44" i="5"/>
  <c r="RF45" i="5"/>
  <c r="RF46" i="5"/>
  <c r="RF47" i="5"/>
  <c r="RF48" i="5"/>
  <c r="RF49" i="5"/>
  <c r="RF50" i="5"/>
  <c r="RF51" i="5"/>
  <c r="RF52" i="5"/>
  <c r="RF53" i="5"/>
  <c r="RF54" i="5"/>
  <c r="RF55" i="5"/>
  <c r="RF56" i="5"/>
  <c r="RF57" i="5"/>
  <c r="RF58" i="5"/>
  <c r="RF59" i="5"/>
  <c r="RF60" i="5"/>
  <c r="RF61" i="5"/>
  <c r="RF62" i="5"/>
  <c r="RF63" i="5"/>
  <c r="RF64" i="5"/>
  <c r="RF65" i="5"/>
  <c r="RF66" i="5"/>
  <c r="RF67" i="5"/>
  <c r="RF68" i="5"/>
  <c r="RF69" i="5"/>
  <c r="RF70" i="5"/>
  <c r="RF71" i="5"/>
  <c r="RF73" i="5"/>
  <c r="RF9" i="5"/>
  <c r="RF8" i="5"/>
  <c r="RE10" i="5"/>
  <c r="RE11" i="5"/>
  <c r="RE13" i="5"/>
  <c r="RE14" i="5"/>
  <c r="RE15" i="5"/>
  <c r="RE16" i="5"/>
  <c r="RE17" i="5"/>
  <c r="RE18" i="5"/>
  <c r="RE19" i="5"/>
  <c r="RE20" i="5"/>
  <c r="RE21" i="5"/>
  <c r="RE22" i="5"/>
  <c r="RE23" i="5"/>
  <c r="RE24" i="5"/>
  <c r="RE25" i="5"/>
  <c r="RE26" i="5"/>
  <c r="RE27" i="5"/>
  <c r="RE28" i="5"/>
  <c r="RE29" i="5"/>
  <c r="RE30" i="5"/>
  <c r="RE31" i="5"/>
  <c r="RE32" i="5"/>
  <c r="RE33" i="5"/>
  <c r="RE34" i="5"/>
  <c r="RE35" i="5"/>
  <c r="RE36" i="5"/>
  <c r="RE37" i="5"/>
  <c r="RE38" i="5"/>
  <c r="RE40" i="5"/>
  <c r="RE41" i="5"/>
  <c r="RE42" i="5"/>
  <c r="RE43" i="5"/>
  <c r="RE44" i="5"/>
  <c r="RE45" i="5"/>
  <c r="RE46" i="5"/>
  <c r="RE47" i="5"/>
  <c r="RE48" i="5"/>
  <c r="RE49" i="5"/>
  <c r="RE50" i="5"/>
  <c r="RE51" i="5"/>
  <c r="RE52" i="5"/>
  <c r="RE53" i="5"/>
  <c r="RE54" i="5"/>
  <c r="RE55" i="5"/>
  <c r="RE56" i="5"/>
  <c r="RE57" i="5"/>
  <c r="RE58" i="5"/>
  <c r="RE59" i="5"/>
  <c r="RE60" i="5"/>
  <c r="RE61" i="5"/>
  <c r="RE62" i="5"/>
  <c r="RE63" i="5"/>
  <c r="RE64" i="5"/>
  <c r="RE65" i="5"/>
  <c r="RE66" i="5"/>
  <c r="RE67" i="5"/>
  <c r="RE68" i="5"/>
  <c r="RE69" i="5"/>
  <c r="RE70" i="5"/>
  <c r="RE71" i="5"/>
  <c r="RE73" i="5"/>
  <c r="RE9" i="5"/>
  <c r="RE8" i="5"/>
  <c r="RD10" i="5"/>
  <c r="RD11" i="5"/>
  <c r="RD13" i="5"/>
  <c r="RD14" i="5"/>
  <c r="RD15" i="5"/>
  <c r="RD16" i="5"/>
  <c r="RD17" i="5"/>
  <c r="RD18" i="5"/>
  <c r="RD19" i="5"/>
  <c r="RD20" i="5"/>
  <c r="RD21" i="5"/>
  <c r="RD22" i="5"/>
  <c r="RD23" i="5"/>
  <c r="RD24" i="5"/>
  <c r="RD25" i="5"/>
  <c r="RD26" i="5"/>
  <c r="RD27" i="5"/>
  <c r="RD28" i="5"/>
  <c r="RD29" i="5"/>
  <c r="RD30" i="5"/>
  <c r="RD31" i="5"/>
  <c r="RD32" i="5"/>
  <c r="RD33" i="5"/>
  <c r="RD34" i="5"/>
  <c r="RD35" i="5"/>
  <c r="RD36" i="5"/>
  <c r="RD37" i="5"/>
  <c r="RD38" i="5"/>
  <c r="RD40" i="5"/>
  <c r="RD41" i="5"/>
  <c r="RD42" i="5"/>
  <c r="RD43" i="5"/>
  <c r="RD44" i="5"/>
  <c r="RD45" i="5"/>
  <c r="RD46" i="5"/>
  <c r="RD47" i="5"/>
  <c r="RD48" i="5"/>
  <c r="RD49" i="5"/>
  <c r="RD50" i="5"/>
  <c r="RD51" i="5"/>
  <c r="RD52" i="5"/>
  <c r="RD53" i="5"/>
  <c r="RD54" i="5"/>
  <c r="RD55" i="5"/>
  <c r="RD56" i="5"/>
  <c r="RD57" i="5"/>
  <c r="RD58" i="5"/>
  <c r="RD59" i="5"/>
  <c r="RD60" i="5"/>
  <c r="RD61" i="5"/>
  <c r="RD62" i="5"/>
  <c r="RD63" i="5"/>
  <c r="RD64" i="5"/>
  <c r="RD65" i="5"/>
  <c r="RD66" i="5"/>
  <c r="RD67" i="5"/>
  <c r="RD68" i="5"/>
  <c r="RD69" i="5"/>
  <c r="RD70" i="5"/>
  <c r="RD71" i="5"/>
  <c r="RD73" i="5"/>
  <c r="RD9" i="5"/>
  <c r="RD8" i="5"/>
  <c r="GF9" i="3"/>
  <c r="GF10" i="3"/>
  <c r="GF12" i="3"/>
  <c r="GF13" i="3"/>
  <c r="GF14" i="3"/>
  <c r="GF15" i="3"/>
  <c r="GF16" i="3"/>
  <c r="GF17" i="3"/>
  <c r="GF18" i="3"/>
  <c r="GF19" i="3"/>
  <c r="GF20" i="3"/>
  <c r="GF21" i="3"/>
  <c r="GF22" i="3"/>
  <c r="GF23" i="3"/>
  <c r="GF24" i="3"/>
  <c r="GF25" i="3"/>
  <c r="GF26" i="3"/>
  <c r="GF27" i="3"/>
  <c r="GF28" i="3"/>
  <c r="GF29" i="3"/>
  <c r="GF30" i="3"/>
  <c r="GF31" i="3"/>
  <c r="GF32" i="3"/>
  <c r="GF33" i="3"/>
  <c r="GF34" i="3"/>
  <c r="GF35" i="3"/>
  <c r="GF36" i="3"/>
  <c r="GF37" i="3"/>
  <c r="GF38" i="3"/>
  <c r="GF40" i="3"/>
  <c r="GF41" i="3"/>
  <c r="GF42" i="3"/>
  <c r="GF43" i="3"/>
  <c r="GF44" i="3"/>
  <c r="GF45" i="3"/>
  <c r="GF46" i="3"/>
  <c r="GF47" i="3"/>
  <c r="GF48" i="3"/>
  <c r="GF49" i="3"/>
  <c r="GF50" i="3"/>
  <c r="GF51" i="3"/>
  <c r="GF52" i="3"/>
  <c r="GF53" i="3"/>
  <c r="GF54" i="3"/>
  <c r="GF55" i="3"/>
  <c r="GF56" i="3"/>
  <c r="GF57" i="3"/>
  <c r="GF58" i="3"/>
  <c r="GF59" i="3"/>
  <c r="GF60" i="3"/>
  <c r="GF61" i="3"/>
  <c r="GF62" i="3"/>
  <c r="GF63" i="3"/>
  <c r="GF64" i="3"/>
  <c r="GF65" i="3"/>
  <c r="GF66" i="3"/>
  <c r="GF67" i="3"/>
  <c r="GF68" i="3"/>
  <c r="GF69" i="3"/>
  <c r="GF70" i="3"/>
  <c r="GF72" i="3"/>
  <c r="GF8" i="3"/>
  <c r="GF7" i="3"/>
  <c r="GF9" i="2"/>
  <c r="GF10" i="2"/>
  <c r="GF12" i="2"/>
  <c r="GF13" i="2"/>
  <c r="GF14" i="2"/>
  <c r="GF15" i="2"/>
  <c r="GF16" i="2"/>
  <c r="GF17" i="2"/>
  <c r="GF18" i="2"/>
  <c r="GF19" i="2"/>
  <c r="GF20" i="2"/>
  <c r="GF21" i="2"/>
  <c r="GF22" i="2"/>
  <c r="GF23" i="2"/>
  <c r="GF24" i="2"/>
  <c r="GF25" i="2"/>
  <c r="GF26" i="2"/>
  <c r="GF27" i="2"/>
  <c r="GF28" i="2"/>
  <c r="GF29" i="2"/>
  <c r="GF30" i="2"/>
  <c r="GF31" i="2"/>
  <c r="GF32" i="2"/>
  <c r="GF33" i="2"/>
  <c r="GF34" i="2"/>
  <c r="GF35" i="2"/>
  <c r="GF36" i="2"/>
  <c r="GF37" i="2"/>
  <c r="GF38" i="2"/>
  <c r="GF39" i="2"/>
  <c r="GF41" i="2"/>
  <c r="GF42" i="2"/>
  <c r="GF43" i="2"/>
  <c r="GF44" i="2"/>
  <c r="GF45" i="2"/>
  <c r="GF46" i="2"/>
  <c r="GF47" i="2"/>
  <c r="GF48" i="2"/>
  <c r="GF49" i="2"/>
  <c r="GF50" i="2"/>
  <c r="GF51" i="2"/>
  <c r="GF52" i="2"/>
  <c r="GF53" i="2"/>
  <c r="GF54" i="2"/>
  <c r="GF55" i="2"/>
  <c r="GF56" i="2"/>
  <c r="GF57" i="2"/>
  <c r="GF58" i="2"/>
  <c r="GF59" i="2"/>
  <c r="GF60" i="2"/>
  <c r="GF61" i="2"/>
  <c r="GF62" i="2"/>
  <c r="GF63" i="2"/>
  <c r="GF64" i="2"/>
  <c r="GF65" i="2"/>
  <c r="GF66" i="2"/>
  <c r="GF67" i="2"/>
  <c r="GF68" i="2"/>
  <c r="GF69" i="2"/>
  <c r="GF70" i="2"/>
  <c r="GF71" i="2"/>
  <c r="GF72" i="2"/>
  <c r="GF74" i="2"/>
  <c r="GF8" i="2"/>
  <c r="PR53" i="5" l="1"/>
  <c r="PR41" i="5" s="1"/>
  <c r="DK46" i="4"/>
  <c r="DY46" i="4"/>
  <c r="DY68" i="4"/>
  <c r="DY64" i="4"/>
  <c r="DY63" i="4"/>
  <c r="DY60" i="4"/>
  <c r="DY59" i="4"/>
  <c r="DY57" i="4"/>
  <c r="DY55" i="4"/>
  <c r="DY54" i="4"/>
  <c r="DY50" i="4"/>
  <c r="DY49" i="4"/>
  <c r="DY48" i="4"/>
  <c r="DY45" i="4"/>
  <c r="DY43" i="4"/>
  <c r="DY29" i="4"/>
  <c r="PS30" i="5"/>
  <c r="PS42" i="5"/>
  <c r="PQ42" i="5" s="1"/>
  <c r="FS29" i="3"/>
  <c r="FS22" i="3"/>
  <c r="FS20" i="3" s="1"/>
  <c r="FS17" i="3" s="1"/>
  <c r="DK64" i="4"/>
  <c r="DK63" i="4"/>
  <c r="DK60" i="4"/>
  <c r="DK59" i="4"/>
  <c r="DK57" i="4"/>
  <c r="DK55" i="4"/>
  <c r="DK54" i="4"/>
  <c r="DK50" i="4"/>
  <c r="DK49" i="4"/>
  <c r="DK48" i="4"/>
  <c r="DK45" i="4"/>
  <c r="DK43" i="4"/>
  <c r="OY51" i="8"/>
  <c r="OY48" i="8"/>
  <c r="OY42" i="8"/>
  <c r="OY38" i="8"/>
  <c r="OY33" i="8"/>
  <c r="FS64" i="2"/>
  <c r="FS63" i="2" s="1"/>
  <c r="FS49" i="2"/>
  <c r="FS44" i="2"/>
  <c r="FS43" i="2" s="1"/>
  <c r="FS21" i="2"/>
  <c r="FS18" i="2" s="1"/>
  <c r="FS13" i="2"/>
  <c r="FS9" i="2"/>
  <c r="FS66" i="3"/>
  <c r="FS63" i="3"/>
  <c r="FS48" i="3"/>
  <c r="FS43" i="3"/>
  <c r="FS42" i="3" s="1"/>
  <c r="FS34" i="3"/>
  <c r="FS9" i="3"/>
  <c r="OY28" i="8"/>
  <c r="OY27" i="8" s="1"/>
  <c r="OY19" i="8"/>
  <c r="OY13" i="8"/>
  <c r="OY10" i="8"/>
  <c r="FQ38" i="7"/>
  <c r="FQ37" i="7" s="1"/>
  <c r="FQ34" i="7"/>
  <c r="FQ33" i="7" s="1"/>
  <c r="FQ32" i="7"/>
  <c r="FQ31" i="7"/>
  <c r="FQ30" i="7"/>
  <c r="FQ25" i="7"/>
  <c r="FQ23" i="7"/>
  <c r="FQ20" i="7"/>
  <c r="FQ11" i="7"/>
  <c r="FQ7" i="7" s="1"/>
  <c r="PR62" i="5"/>
  <c r="PS69" i="5"/>
  <c r="PS67" i="5" s="1"/>
  <c r="OB49" i="5"/>
  <c r="PQ56" i="5"/>
  <c r="PR49" i="5"/>
  <c r="PQ49" i="5" s="1"/>
  <c r="PQ71" i="5"/>
  <c r="PQ68" i="5"/>
  <c r="PQ65" i="5"/>
  <c r="PQ64" i="5"/>
  <c r="PS63" i="5"/>
  <c r="PQ63" i="5" s="1"/>
  <c r="PQ61" i="5"/>
  <c r="PQ60" i="5"/>
  <c r="PS59" i="5"/>
  <c r="PR59" i="5"/>
  <c r="PQ58" i="5"/>
  <c r="PQ57" i="5"/>
  <c r="PQ55" i="5"/>
  <c r="PQ54" i="5"/>
  <c r="PQ52" i="5"/>
  <c r="PQ51" i="5"/>
  <c r="PQ50" i="5"/>
  <c r="PQ48" i="5"/>
  <c r="PQ47" i="5"/>
  <c r="PQ46" i="5"/>
  <c r="PS45" i="5"/>
  <c r="PQ45" i="5" s="1"/>
  <c r="PQ44" i="5"/>
  <c r="PQ43" i="5"/>
  <c r="PR34" i="5"/>
  <c r="FS37" i="6"/>
  <c r="FS33" i="6"/>
  <c r="FS27" i="6"/>
  <c r="FS26" i="6" s="1"/>
  <c r="FS23" i="6"/>
  <c r="FS20" i="6"/>
  <c r="FS17" i="6"/>
  <c r="FS7" i="6"/>
  <c r="DY36" i="4"/>
  <c r="DY33" i="4" s="1"/>
  <c r="DY32" i="4"/>
  <c r="DY31" i="4"/>
  <c r="DY22" i="4"/>
  <c r="DY20" i="4" s="1"/>
  <c r="DY17" i="4" s="1"/>
  <c r="DY9" i="4"/>
  <c r="FQ19" i="7" l="1"/>
  <c r="FQ29" i="7"/>
  <c r="DY58" i="4"/>
  <c r="DY56" i="4" s="1"/>
  <c r="DY52" i="4"/>
  <c r="PR40" i="5"/>
  <c r="PQ53" i="5"/>
  <c r="DY44" i="4"/>
  <c r="DY42" i="4" s="1"/>
  <c r="DY41" i="4" s="1"/>
  <c r="DK52" i="4"/>
  <c r="DY47" i="4"/>
  <c r="DY62" i="4"/>
  <c r="DY67" i="4"/>
  <c r="DY65" i="4" s="1"/>
  <c r="DK47" i="4"/>
  <c r="OY47" i="8"/>
  <c r="FS8" i="2"/>
  <c r="FS7" i="2" s="1"/>
  <c r="FS62" i="3"/>
  <c r="FS41" i="3"/>
  <c r="FS8" i="3"/>
  <c r="FS13" i="3"/>
  <c r="OY26" i="8"/>
  <c r="OY9" i="8"/>
  <c r="OY8" i="8" s="1"/>
  <c r="PQ70" i="5"/>
  <c r="PQ69" i="5"/>
  <c r="PS41" i="5"/>
  <c r="PQ67" i="5"/>
  <c r="PQ59" i="5"/>
  <c r="PS62" i="5"/>
  <c r="PQ62" i="5" s="1"/>
  <c r="FS16" i="6"/>
  <c r="FS15" i="6" s="1"/>
  <c r="FS42" i="6" s="1"/>
  <c r="DY8" i="4"/>
  <c r="DY7" i="4" s="1"/>
  <c r="FQ18" i="7" l="1"/>
  <c r="FQ17" i="7" s="1"/>
  <c r="OY25" i="8"/>
  <c r="OY57" i="8" s="1"/>
  <c r="DY61" i="4"/>
  <c r="DY40" i="4"/>
  <c r="FS7" i="3"/>
  <c r="FS40" i="3"/>
  <c r="PS40" i="5"/>
  <c r="PQ41" i="5"/>
  <c r="PQ13" i="5"/>
  <c r="PQ37" i="5"/>
  <c r="PQ36" i="5"/>
  <c r="PQ35" i="5"/>
  <c r="PQ34" i="5"/>
  <c r="PQ33" i="5"/>
  <c r="PQ32" i="5"/>
  <c r="PQ31" i="5"/>
  <c r="PQ30" i="5"/>
  <c r="PQ29" i="5"/>
  <c r="PQ28" i="5"/>
  <c r="PQ27" i="5"/>
  <c r="PQ26" i="5"/>
  <c r="PQ25" i="5"/>
  <c r="PQ24" i="5"/>
  <c r="PQ23" i="5"/>
  <c r="PQ22" i="5"/>
  <c r="PS21" i="5"/>
  <c r="PQ21" i="5" s="1"/>
  <c r="PQ20" i="5"/>
  <c r="PQ18" i="5"/>
  <c r="PQ17" i="5"/>
  <c r="PQ15" i="5"/>
  <c r="PQ14" i="5"/>
  <c r="PQ11" i="5"/>
  <c r="PS10" i="5"/>
  <c r="PQ10" i="5" s="1"/>
  <c r="FS60" i="2"/>
  <c r="FS54" i="2"/>
  <c r="FS42" i="2" s="1"/>
  <c r="FS41" i="2" s="1"/>
  <c r="FS74" i="2" s="1"/>
  <c r="DY39" i="4" l="1"/>
  <c r="DY70" i="4" s="1"/>
  <c r="FQ47" i="7"/>
  <c r="FS72" i="3"/>
  <c r="PQ40" i="5"/>
  <c r="PR8" i="5"/>
  <c r="PR73" i="5" s="1"/>
  <c r="PS19" i="5"/>
  <c r="PS16" i="5" s="1"/>
  <c r="PQ16" i="5" s="1"/>
  <c r="PQ19" i="5" l="1"/>
  <c r="PS9" i="5"/>
  <c r="PQ9" i="5" s="1"/>
  <c r="PS8" i="5" l="1"/>
  <c r="PQ8" i="5" l="1"/>
  <c r="PQ73" i="5" s="1"/>
  <c r="PS73" i="5"/>
  <c r="DX70" i="4" l="1"/>
  <c r="DJ70" i="4"/>
  <c r="CV70" i="4"/>
  <c r="CH70" i="4"/>
  <c r="BT70" i="4"/>
  <c r="BF70" i="4"/>
  <c r="AR70" i="4"/>
  <c r="DX69" i="4"/>
  <c r="DJ69" i="4"/>
  <c r="CV69" i="4"/>
  <c r="CH69" i="4"/>
  <c r="BT69" i="4"/>
  <c r="BF69" i="4"/>
  <c r="AR69" i="4"/>
  <c r="AD69" i="4"/>
  <c r="P69" i="4"/>
  <c r="DX68" i="4"/>
  <c r="DJ68" i="4"/>
  <c r="CV68" i="4"/>
  <c r="CH68" i="4"/>
  <c r="BT68" i="4"/>
  <c r="BF68" i="4"/>
  <c r="AS68" i="4"/>
  <c r="AR68" i="4"/>
  <c r="AD68" i="4"/>
  <c r="P68" i="4"/>
  <c r="DX67" i="4"/>
  <c r="DJ67" i="4"/>
  <c r="CV67" i="4"/>
  <c r="CH67" i="4"/>
  <c r="BT67" i="4"/>
  <c r="BF67" i="4"/>
  <c r="AS67" i="4"/>
  <c r="AR67" i="4"/>
  <c r="AD67" i="4"/>
  <c r="Q67" i="4"/>
  <c r="Q65" i="4" s="1"/>
  <c r="P67" i="4"/>
  <c r="DX66" i="4"/>
  <c r="DJ66" i="4"/>
  <c r="CV66" i="4"/>
  <c r="CH66" i="4"/>
  <c r="BT66" i="4"/>
  <c r="BF66" i="4"/>
  <c r="AR66" i="4"/>
  <c r="AD66" i="4"/>
  <c r="P66" i="4"/>
  <c r="DX65" i="4"/>
  <c r="DJ65" i="4"/>
  <c r="CV65" i="4"/>
  <c r="CH65" i="4"/>
  <c r="BU65" i="4"/>
  <c r="BT65" i="4"/>
  <c r="BG65" i="4"/>
  <c r="BF65" i="4"/>
  <c r="AR65" i="4"/>
  <c r="AE65" i="4"/>
  <c r="R65" i="4"/>
  <c r="AD65" i="4" s="1"/>
  <c r="O65" i="4"/>
  <c r="N65" i="4"/>
  <c r="M65" i="4"/>
  <c r="L65" i="4"/>
  <c r="K65" i="4"/>
  <c r="J65" i="4"/>
  <c r="I65" i="4"/>
  <c r="H65" i="4"/>
  <c r="G65" i="4"/>
  <c r="F65" i="4"/>
  <c r="E65" i="4"/>
  <c r="D65" i="4"/>
  <c r="DX64" i="4"/>
  <c r="DJ64" i="4"/>
  <c r="CW64" i="4"/>
  <c r="CV64" i="4"/>
  <c r="CI64" i="4"/>
  <c r="CH64" i="4"/>
  <c r="BU64" i="4"/>
  <c r="BT64" i="4"/>
  <c r="BG64" i="4"/>
  <c r="BF64" i="4"/>
  <c r="AS64" i="4"/>
  <c r="AR64" i="4"/>
  <c r="AE64" i="4"/>
  <c r="AD64" i="4"/>
  <c r="Q64" i="4"/>
  <c r="P64" i="4"/>
  <c r="DX63" i="4"/>
  <c r="DJ63" i="4"/>
  <c r="CW63" i="4"/>
  <c r="CV63" i="4"/>
  <c r="CI63" i="4"/>
  <c r="CH63" i="4"/>
  <c r="BU63" i="4"/>
  <c r="BT63" i="4"/>
  <c r="BG63" i="4"/>
  <c r="BF63" i="4"/>
  <c r="AS63" i="4"/>
  <c r="AS62" i="4" s="1"/>
  <c r="AR63" i="4"/>
  <c r="AE63" i="4"/>
  <c r="AD63" i="4"/>
  <c r="Q63" i="4"/>
  <c r="P63" i="4"/>
  <c r="DX62" i="4"/>
  <c r="DJ62" i="4"/>
  <c r="CV62" i="4"/>
  <c r="CH62" i="4"/>
  <c r="BT62" i="4"/>
  <c r="BF62" i="4"/>
  <c r="AR62" i="4"/>
  <c r="R62" i="4"/>
  <c r="AD62" i="4" s="1"/>
  <c r="O62" i="4"/>
  <c r="N62" i="4"/>
  <c r="M62" i="4"/>
  <c r="L62" i="4"/>
  <c r="K62" i="4"/>
  <c r="J62" i="4"/>
  <c r="I62" i="4"/>
  <c r="H62" i="4"/>
  <c r="G62" i="4"/>
  <c r="F62" i="4"/>
  <c r="E62" i="4"/>
  <c r="D62" i="4"/>
  <c r="DX61" i="4"/>
  <c r="DJ61" i="4"/>
  <c r="CV61" i="4"/>
  <c r="CH61" i="4"/>
  <c r="BT61" i="4"/>
  <c r="BF61" i="4"/>
  <c r="AR61" i="4"/>
  <c r="DX60" i="4"/>
  <c r="DJ60" i="4"/>
  <c r="CW60" i="4"/>
  <c r="CV60" i="4"/>
  <c r="CI60" i="4"/>
  <c r="CH60" i="4"/>
  <c r="BT60" i="4"/>
  <c r="BF60" i="4"/>
  <c r="AR60" i="4"/>
  <c r="AD60" i="4"/>
  <c r="P60" i="4"/>
  <c r="DX59" i="4"/>
  <c r="DJ59" i="4"/>
  <c r="CW59" i="4"/>
  <c r="CV59" i="4"/>
  <c r="CI59" i="4"/>
  <c r="CH59" i="4"/>
  <c r="BU59" i="4"/>
  <c r="BT59" i="4"/>
  <c r="BG59" i="4"/>
  <c r="BF59" i="4"/>
  <c r="AS59" i="4"/>
  <c r="AR59" i="4"/>
  <c r="AE59" i="4"/>
  <c r="AD59" i="4"/>
  <c r="Q59" i="4"/>
  <c r="P59" i="4"/>
  <c r="DX58" i="4"/>
  <c r="DJ58" i="4"/>
  <c r="CV58" i="4"/>
  <c r="CH58" i="4"/>
  <c r="BU58" i="4"/>
  <c r="BT58" i="4"/>
  <c r="BG58" i="4"/>
  <c r="BF58" i="4"/>
  <c r="AS58" i="4"/>
  <c r="AR58" i="4"/>
  <c r="AE58" i="4"/>
  <c r="AD58" i="4"/>
  <c r="Q58" i="4"/>
  <c r="P58" i="4"/>
  <c r="DX57" i="4"/>
  <c r="DJ57" i="4"/>
  <c r="CW57" i="4"/>
  <c r="CV57" i="4"/>
  <c r="CI57" i="4"/>
  <c r="CH57" i="4"/>
  <c r="BU57" i="4"/>
  <c r="BT57" i="4"/>
  <c r="BG57" i="4"/>
  <c r="BF57" i="4"/>
  <c r="AS57" i="4"/>
  <c r="AR57" i="4"/>
  <c r="AE57" i="4"/>
  <c r="AD57" i="4"/>
  <c r="Q57" i="4"/>
  <c r="P57" i="4"/>
  <c r="DX56" i="4"/>
  <c r="DJ56" i="4"/>
  <c r="CV56" i="4"/>
  <c r="CH56" i="4"/>
  <c r="BT56" i="4"/>
  <c r="BF56" i="4"/>
  <c r="AR56" i="4"/>
  <c r="R56" i="4"/>
  <c r="AD56" i="4" s="1"/>
  <c r="O56" i="4"/>
  <c r="N56" i="4"/>
  <c r="M56" i="4"/>
  <c r="L56" i="4"/>
  <c r="K56" i="4"/>
  <c r="J56" i="4"/>
  <c r="I56" i="4"/>
  <c r="H56" i="4"/>
  <c r="G56" i="4"/>
  <c r="F56" i="4"/>
  <c r="E56" i="4"/>
  <c r="D56" i="4"/>
  <c r="DX55" i="4"/>
  <c r="DJ55" i="4"/>
  <c r="CV55" i="4"/>
  <c r="CH55" i="4"/>
  <c r="BU55" i="4"/>
  <c r="BT55" i="4"/>
  <c r="BG55" i="4"/>
  <c r="BF55" i="4"/>
  <c r="AS55" i="4"/>
  <c r="AR55" i="4"/>
  <c r="AE55" i="4"/>
  <c r="AD55" i="4"/>
  <c r="Q55" i="4"/>
  <c r="P55" i="4"/>
  <c r="DX54" i="4"/>
  <c r="DJ54" i="4"/>
  <c r="CV54" i="4"/>
  <c r="CH54" i="4"/>
  <c r="BU54" i="4"/>
  <c r="BT54" i="4"/>
  <c r="BG54" i="4"/>
  <c r="BF54" i="4"/>
  <c r="AS54" i="4"/>
  <c r="AR54" i="4"/>
  <c r="AE54" i="4"/>
  <c r="AD54" i="4"/>
  <c r="Q54" i="4"/>
  <c r="P54" i="4"/>
  <c r="DX53" i="4"/>
  <c r="DJ53" i="4"/>
  <c r="CV53" i="4"/>
  <c r="CH53" i="4"/>
  <c r="BT53" i="4"/>
  <c r="BF53" i="4"/>
  <c r="AR53" i="4"/>
  <c r="AD53" i="4"/>
  <c r="P53" i="4"/>
  <c r="DX52" i="4"/>
  <c r="DJ52" i="4"/>
  <c r="CV52" i="4"/>
  <c r="CH52" i="4"/>
  <c r="BT52" i="4"/>
  <c r="BF52" i="4"/>
  <c r="AR52" i="4"/>
  <c r="R52" i="4"/>
  <c r="AD52" i="4" s="1"/>
  <c r="O52" i="4"/>
  <c r="N52" i="4"/>
  <c r="M52" i="4"/>
  <c r="L52" i="4"/>
  <c r="K52" i="4"/>
  <c r="J52" i="4"/>
  <c r="I52" i="4"/>
  <c r="H52" i="4"/>
  <c r="G52" i="4"/>
  <c r="F52" i="4"/>
  <c r="E52" i="4"/>
  <c r="D52" i="4"/>
  <c r="DX51" i="4"/>
  <c r="DJ51" i="4"/>
  <c r="CV51" i="4"/>
  <c r="CH51" i="4"/>
  <c r="BT51" i="4"/>
  <c r="BF51" i="4"/>
  <c r="AR51" i="4"/>
  <c r="AD51" i="4"/>
  <c r="P51" i="4"/>
  <c r="DX50" i="4"/>
  <c r="DJ50" i="4"/>
  <c r="CV50" i="4"/>
  <c r="CI50" i="4"/>
  <c r="CH50" i="4"/>
  <c r="BT50" i="4"/>
  <c r="BF50" i="4"/>
  <c r="AR50" i="4"/>
  <c r="AD50" i="4"/>
  <c r="P50" i="4"/>
  <c r="DX49" i="4"/>
  <c r="DJ49" i="4"/>
  <c r="CW49" i="4"/>
  <c r="CW47" i="4" s="1"/>
  <c r="CV49" i="4"/>
  <c r="CI49" i="4"/>
  <c r="CH49" i="4"/>
  <c r="BU49" i="4"/>
  <c r="BU47" i="4" s="1"/>
  <c r="BT49" i="4"/>
  <c r="BG49" i="4"/>
  <c r="BG47" i="4" s="1"/>
  <c r="BF49" i="4"/>
  <c r="AS49" i="4"/>
  <c r="AS47" i="4" s="1"/>
  <c r="AR49" i="4"/>
  <c r="AE49" i="4"/>
  <c r="AE47" i="4" s="1"/>
  <c r="AD49" i="4"/>
  <c r="Q49" i="4"/>
  <c r="P49" i="4"/>
  <c r="DX48" i="4"/>
  <c r="DJ48" i="4"/>
  <c r="CV48" i="4"/>
  <c r="CI48" i="4"/>
  <c r="CH48" i="4"/>
  <c r="BT48" i="4"/>
  <c r="BF48" i="4"/>
  <c r="AR48" i="4"/>
  <c r="AD48" i="4"/>
  <c r="Q48" i="4"/>
  <c r="P48" i="4"/>
  <c r="DX47" i="4"/>
  <c r="DJ47" i="4"/>
  <c r="CV47" i="4"/>
  <c r="CH47" i="4"/>
  <c r="BT47" i="4"/>
  <c r="BF47" i="4"/>
  <c r="AR47" i="4"/>
  <c r="R47" i="4"/>
  <c r="AD47" i="4" s="1"/>
  <c r="O47" i="4"/>
  <c r="N47" i="4"/>
  <c r="M47" i="4"/>
  <c r="L47" i="4"/>
  <c r="K47" i="4"/>
  <c r="J47" i="4"/>
  <c r="I47" i="4"/>
  <c r="H47" i="4"/>
  <c r="G47" i="4"/>
  <c r="F47" i="4"/>
  <c r="E47" i="4"/>
  <c r="D47" i="4"/>
  <c r="DX46" i="4"/>
  <c r="DJ46" i="4"/>
  <c r="CW46" i="4"/>
  <c r="CV46" i="4"/>
  <c r="CI46" i="4"/>
  <c r="CH46" i="4"/>
  <c r="BT46" i="4"/>
  <c r="BF46" i="4"/>
  <c r="AR46" i="4"/>
  <c r="AE46" i="4"/>
  <c r="AD46" i="4"/>
  <c r="P46" i="4"/>
  <c r="DX45" i="4"/>
  <c r="DJ45" i="4"/>
  <c r="CW45" i="4"/>
  <c r="CV45" i="4"/>
  <c r="CI45" i="4"/>
  <c r="CH45" i="4"/>
  <c r="BU45" i="4"/>
  <c r="BT45" i="4"/>
  <c r="BG45" i="4"/>
  <c r="BF45" i="4"/>
  <c r="AS45" i="4"/>
  <c r="AR45" i="4"/>
  <c r="AE45" i="4"/>
  <c r="AD45" i="4"/>
  <c r="Q45" i="4"/>
  <c r="P45" i="4"/>
  <c r="DX44" i="4"/>
  <c r="DJ44" i="4"/>
  <c r="CW44" i="4"/>
  <c r="CV44" i="4"/>
  <c r="CH44" i="4"/>
  <c r="BU44" i="4"/>
  <c r="BT44" i="4"/>
  <c r="BG44" i="4"/>
  <c r="BF44" i="4"/>
  <c r="AS44" i="4"/>
  <c r="AR44" i="4"/>
  <c r="AE44" i="4"/>
  <c r="AD44" i="4"/>
  <c r="Q44" i="4"/>
  <c r="P44" i="4"/>
  <c r="DX43" i="4"/>
  <c r="DJ43" i="4"/>
  <c r="CW43" i="4"/>
  <c r="CV43" i="4"/>
  <c r="CI43" i="4"/>
  <c r="CH43" i="4"/>
  <c r="BU43" i="4"/>
  <c r="BT43" i="4"/>
  <c r="BG43" i="4"/>
  <c r="BF43" i="4"/>
  <c r="AS43" i="4"/>
  <c r="AR43" i="4"/>
  <c r="AE43" i="4"/>
  <c r="AD43" i="4"/>
  <c r="Q43" i="4"/>
  <c r="P43" i="4"/>
  <c r="DX42" i="4"/>
  <c r="DJ42" i="4"/>
  <c r="CV42" i="4"/>
  <c r="CH42" i="4"/>
  <c r="BT42" i="4"/>
  <c r="BF42" i="4"/>
  <c r="AR42" i="4"/>
  <c r="R42" i="4"/>
  <c r="AD42" i="4" s="1"/>
  <c r="O42" i="4"/>
  <c r="O41" i="4" s="1"/>
  <c r="N42" i="4"/>
  <c r="N41" i="4" s="1"/>
  <c r="M42" i="4"/>
  <c r="M41" i="4" s="1"/>
  <c r="L42" i="4"/>
  <c r="L41" i="4" s="1"/>
  <c r="K42" i="4"/>
  <c r="K41" i="4" s="1"/>
  <c r="J42" i="4"/>
  <c r="J41" i="4" s="1"/>
  <c r="I42" i="4"/>
  <c r="I41" i="4" s="1"/>
  <c r="H42" i="4"/>
  <c r="H41" i="4" s="1"/>
  <c r="G42" i="4"/>
  <c r="G41" i="4" s="1"/>
  <c r="F42" i="4"/>
  <c r="F41" i="4" s="1"/>
  <c r="E42" i="4"/>
  <c r="E41" i="4" s="1"/>
  <c r="D42" i="4"/>
  <c r="D41" i="4" s="1"/>
  <c r="DX41" i="4"/>
  <c r="DJ41" i="4"/>
  <c r="CV41" i="4"/>
  <c r="CH41" i="4"/>
  <c r="BT41" i="4"/>
  <c r="BF41" i="4"/>
  <c r="AR41" i="4"/>
  <c r="DX40" i="4"/>
  <c r="DJ40" i="4"/>
  <c r="CV40" i="4"/>
  <c r="CH40" i="4"/>
  <c r="BT40" i="4"/>
  <c r="BF40" i="4"/>
  <c r="AR40" i="4"/>
  <c r="DX39" i="4"/>
  <c r="DJ39" i="4"/>
  <c r="CV39" i="4"/>
  <c r="CH39" i="4"/>
  <c r="BT39" i="4"/>
  <c r="BF39" i="4"/>
  <c r="AR39" i="4"/>
  <c r="DX38" i="4"/>
  <c r="DJ38" i="4"/>
  <c r="CV38" i="4"/>
  <c r="CH38" i="4"/>
  <c r="BT38" i="4"/>
  <c r="BF38" i="4"/>
  <c r="AR38" i="4"/>
  <c r="AD38" i="4"/>
  <c r="P38" i="4"/>
  <c r="DX37" i="4"/>
  <c r="DJ37" i="4"/>
  <c r="CV37" i="4"/>
  <c r="CI37" i="4"/>
  <c r="CH37" i="4"/>
  <c r="BT37" i="4"/>
  <c r="BF37" i="4"/>
  <c r="AR37" i="4"/>
  <c r="AD37" i="4"/>
  <c r="P37" i="4"/>
  <c r="DX36" i="4"/>
  <c r="DK36" i="4"/>
  <c r="DK33" i="4" s="1"/>
  <c r="DJ36" i="4"/>
  <c r="CV36" i="4"/>
  <c r="CI36" i="4"/>
  <c r="CH36" i="4"/>
  <c r="BT36" i="4"/>
  <c r="BF36" i="4"/>
  <c r="AR36" i="4"/>
  <c r="AD36" i="4"/>
  <c r="P36" i="4"/>
  <c r="DX35" i="4"/>
  <c r="DJ35" i="4"/>
  <c r="CV35" i="4"/>
  <c r="CI35" i="4"/>
  <c r="CH35" i="4"/>
  <c r="BU35" i="4"/>
  <c r="BU33" i="4" s="1"/>
  <c r="BT35" i="4"/>
  <c r="BG35" i="4"/>
  <c r="BG33" i="4" s="1"/>
  <c r="BF35" i="4"/>
  <c r="AR35" i="4"/>
  <c r="AE35" i="4"/>
  <c r="AE33" i="4" s="1"/>
  <c r="AD35" i="4"/>
  <c r="P35" i="4"/>
  <c r="DX34" i="4"/>
  <c r="DJ34" i="4"/>
  <c r="CV34" i="4"/>
  <c r="CH34" i="4"/>
  <c r="BT34" i="4"/>
  <c r="BF34" i="4"/>
  <c r="AR34" i="4"/>
  <c r="AD34" i="4"/>
  <c r="P34" i="4"/>
  <c r="DX33" i="4"/>
  <c r="DJ33" i="4"/>
  <c r="CV33" i="4"/>
  <c r="CH33" i="4"/>
  <c r="BT33" i="4"/>
  <c r="BF33" i="4"/>
  <c r="AS33" i="4"/>
  <c r="AR33" i="4"/>
  <c r="R33" i="4"/>
  <c r="AD33" i="4" s="1"/>
  <c r="Q33" i="4"/>
  <c r="O33" i="4"/>
  <c r="N33" i="4"/>
  <c r="M33" i="4"/>
  <c r="L33" i="4"/>
  <c r="K33" i="4"/>
  <c r="J33" i="4"/>
  <c r="I33" i="4"/>
  <c r="H33" i="4"/>
  <c r="G33" i="4"/>
  <c r="F33" i="4"/>
  <c r="E33" i="4"/>
  <c r="D33" i="4"/>
  <c r="GD32" i="4"/>
  <c r="DX32" i="4"/>
  <c r="DK32" i="4"/>
  <c r="DJ32" i="4"/>
  <c r="CV32" i="4"/>
  <c r="CI32" i="4"/>
  <c r="CH32" i="4"/>
  <c r="BU32" i="4"/>
  <c r="BT32" i="4"/>
  <c r="BG32" i="4"/>
  <c r="BF32" i="4"/>
  <c r="AS32" i="4"/>
  <c r="AR32" i="4"/>
  <c r="AE32" i="4"/>
  <c r="AD32" i="4"/>
  <c r="Q32" i="4"/>
  <c r="P32" i="4"/>
  <c r="DX31" i="4"/>
  <c r="DK31" i="4"/>
  <c r="DJ31" i="4"/>
  <c r="CV31" i="4"/>
  <c r="CI31" i="4"/>
  <c r="CH31" i="4"/>
  <c r="BU31" i="4"/>
  <c r="BT31" i="4"/>
  <c r="BG31" i="4"/>
  <c r="BF31" i="4"/>
  <c r="AS31" i="4"/>
  <c r="AR31" i="4"/>
  <c r="AE31" i="4"/>
  <c r="AD31" i="4"/>
  <c r="Q31" i="4"/>
  <c r="P31" i="4"/>
  <c r="DX30" i="4"/>
  <c r="DJ30" i="4"/>
  <c r="CV30" i="4"/>
  <c r="DT29" i="4"/>
  <c r="DJ29" i="4"/>
  <c r="CV29" i="4"/>
  <c r="CH29" i="4"/>
  <c r="BT29" i="4"/>
  <c r="BF29" i="4"/>
  <c r="AR29" i="4"/>
  <c r="AD29" i="4"/>
  <c r="P29" i="4"/>
  <c r="DX28" i="4"/>
  <c r="DJ28" i="4"/>
  <c r="CV28" i="4"/>
  <c r="CH28" i="4"/>
  <c r="BT28" i="4"/>
  <c r="BF28" i="4"/>
  <c r="AR28" i="4"/>
  <c r="AD28" i="4"/>
  <c r="P28" i="4"/>
  <c r="DX27" i="4"/>
  <c r="DJ27" i="4"/>
  <c r="CV27" i="4"/>
  <c r="CH27" i="4"/>
  <c r="BT27" i="4"/>
  <c r="BF27" i="4"/>
  <c r="AR27" i="4"/>
  <c r="AD27" i="4"/>
  <c r="P27" i="4"/>
  <c r="DX26" i="4"/>
  <c r="DJ26" i="4"/>
  <c r="CV26" i="4"/>
  <c r="CH26" i="4"/>
  <c r="BT26" i="4"/>
  <c r="BF26" i="4"/>
  <c r="AR26" i="4"/>
  <c r="AD26" i="4"/>
  <c r="P26" i="4"/>
  <c r="GD25" i="4"/>
  <c r="DX25" i="4"/>
  <c r="DJ25" i="4"/>
  <c r="CV25" i="4"/>
  <c r="CH25" i="4"/>
  <c r="BT25" i="4"/>
  <c r="BF25" i="4"/>
  <c r="AR25" i="4"/>
  <c r="AD25" i="4"/>
  <c r="P25" i="4"/>
  <c r="DX24" i="4"/>
  <c r="DJ24" i="4"/>
  <c r="CV24" i="4"/>
  <c r="CH24" i="4"/>
  <c r="BT24" i="4"/>
  <c r="BF24" i="4"/>
  <c r="AR24" i="4"/>
  <c r="AD24" i="4"/>
  <c r="P24" i="4"/>
  <c r="DX23" i="4"/>
  <c r="DJ23" i="4"/>
  <c r="CV23" i="4"/>
  <c r="CH23" i="4"/>
  <c r="BT23" i="4"/>
  <c r="BF23" i="4"/>
  <c r="AR23" i="4"/>
  <c r="AD23" i="4"/>
  <c r="P23" i="4"/>
  <c r="DX22" i="4"/>
  <c r="DK22" i="4"/>
  <c r="DK20" i="4" s="1"/>
  <c r="DK17" i="4" s="1"/>
  <c r="DJ22" i="4"/>
  <c r="CV22" i="4"/>
  <c r="CI22" i="4"/>
  <c r="CI20" i="4" s="1"/>
  <c r="CI17" i="4" s="1"/>
  <c r="CH22" i="4"/>
  <c r="BU22" i="4"/>
  <c r="BU20" i="4" s="1"/>
  <c r="BU17" i="4" s="1"/>
  <c r="BT22" i="4"/>
  <c r="BG22" i="4"/>
  <c r="BG20" i="4" s="1"/>
  <c r="BG17" i="4" s="1"/>
  <c r="BF22" i="4"/>
  <c r="AR22" i="4"/>
  <c r="AE22" i="4"/>
  <c r="AE20" i="4" s="1"/>
  <c r="AE17" i="4" s="1"/>
  <c r="AD22" i="4"/>
  <c r="Q22" i="4"/>
  <c r="Q20" i="4" s="1"/>
  <c r="Q17" i="4" s="1"/>
  <c r="P22" i="4"/>
  <c r="DX21" i="4"/>
  <c r="DJ21" i="4"/>
  <c r="CV21" i="4"/>
  <c r="CH21" i="4"/>
  <c r="BT21" i="4"/>
  <c r="BF21" i="4"/>
  <c r="AR21" i="4"/>
  <c r="AD21" i="4"/>
  <c r="P21" i="4"/>
  <c r="DX20" i="4"/>
  <c r="DJ20" i="4"/>
  <c r="CW20" i="4"/>
  <c r="CW17" i="4" s="1"/>
  <c r="CV20" i="4"/>
  <c r="CH20" i="4"/>
  <c r="BT20" i="4"/>
  <c r="BF20" i="4"/>
  <c r="AS20" i="4"/>
  <c r="AS17" i="4" s="1"/>
  <c r="AR20" i="4"/>
  <c r="R20" i="4"/>
  <c r="AD20" i="4" s="1"/>
  <c r="O20" i="4"/>
  <c r="O17" i="4" s="1"/>
  <c r="N20" i="4"/>
  <c r="N17" i="4" s="1"/>
  <c r="M20" i="4"/>
  <c r="M17" i="4" s="1"/>
  <c r="L20" i="4"/>
  <c r="L17" i="4" s="1"/>
  <c r="K20" i="4"/>
  <c r="K17" i="4" s="1"/>
  <c r="J20" i="4"/>
  <c r="J17" i="4" s="1"/>
  <c r="I20" i="4"/>
  <c r="I17" i="4" s="1"/>
  <c r="H20" i="4"/>
  <c r="H17" i="4" s="1"/>
  <c r="G20" i="4"/>
  <c r="F20" i="4"/>
  <c r="F17" i="4" s="1"/>
  <c r="E20" i="4"/>
  <c r="E17" i="4" s="1"/>
  <c r="D20" i="4"/>
  <c r="D17" i="4" s="1"/>
  <c r="DX19" i="4"/>
  <c r="DJ19" i="4"/>
  <c r="CV19" i="4"/>
  <c r="CH19" i="4"/>
  <c r="BT19" i="4"/>
  <c r="BF19" i="4"/>
  <c r="AR19" i="4"/>
  <c r="AD19" i="4"/>
  <c r="P19" i="4"/>
  <c r="DX18" i="4"/>
  <c r="DJ18" i="4"/>
  <c r="CV18" i="4"/>
  <c r="CH18" i="4"/>
  <c r="BT18" i="4"/>
  <c r="BF18" i="4"/>
  <c r="AR18" i="4"/>
  <c r="AD18" i="4"/>
  <c r="P18" i="4"/>
  <c r="DX17" i="4"/>
  <c r="DJ17" i="4"/>
  <c r="CV17" i="4"/>
  <c r="CH17" i="4"/>
  <c r="BT17" i="4"/>
  <c r="BF17" i="4"/>
  <c r="AR17" i="4"/>
  <c r="DX16" i="4"/>
  <c r="DJ16" i="4"/>
  <c r="CV16" i="4"/>
  <c r="CH16" i="4"/>
  <c r="BT16" i="4"/>
  <c r="BF16" i="4"/>
  <c r="DX15" i="4"/>
  <c r="DJ15" i="4"/>
  <c r="CV15" i="4"/>
  <c r="CH15" i="4"/>
  <c r="BT15" i="4"/>
  <c r="BF15" i="4"/>
  <c r="AR15" i="4"/>
  <c r="AD15" i="4"/>
  <c r="DX14" i="4"/>
  <c r="DJ14" i="4"/>
  <c r="CV14" i="4"/>
  <c r="CH14" i="4"/>
  <c r="BT14" i="4"/>
  <c r="BF14" i="4"/>
  <c r="AR14" i="4"/>
  <c r="AD14" i="4"/>
  <c r="P14" i="4"/>
  <c r="P13" i="4" s="1"/>
  <c r="DX13" i="4"/>
  <c r="DK13" i="4"/>
  <c r="DJ13" i="4"/>
  <c r="CW13" i="4"/>
  <c r="CV13" i="4"/>
  <c r="CI13" i="4"/>
  <c r="BX13" i="4"/>
  <c r="BW13" i="4"/>
  <c r="BV13" i="4"/>
  <c r="BU13" i="4"/>
  <c r="BG13" i="4"/>
  <c r="AS13" i="4"/>
  <c r="AE13" i="4"/>
  <c r="Q13" i="4"/>
  <c r="DX12" i="4"/>
  <c r="DJ12" i="4"/>
  <c r="CV12" i="4"/>
  <c r="CH12" i="4"/>
  <c r="BT12" i="4"/>
  <c r="BF12" i="4"/>
  <c r="AR12" i="4"/>
  <c r="AD12" i="4"/>
  <c r="P12" i="4"/>
  <c r="DX10" i="4"/>
  <c r="DJ10" i="4"/>
  <c r="CV10" i="4"/>
  <c r="CH10" i="4"/>
  <c r="BT10" i="4"/>
  <c r="BF10" i="4"/>
  <c r="AR10" i="4"/>
  <c r="AD10" i="4"/>
  <c r="P10" i="4"/>
  <c r="DX9" i="4"/>
  <c r="DK9" i="4"/>
  <c r="DJ9" i="4"/>
  <c r="CW9" i="4"/>
  <c r="CV9" i="4"/>
  <c r="CI9" i="4"/>
  <c r="CH9" i="4"/>
  <c r="BU9" i="4"/>
  <c r="BT9" i="4"/>
  <c r="BG9" i="4"/>
  <c r="BF9" i="4"/>
  <c r="AS9" i="4"/>
  <c r="AR9" i="4"/>
  <c r="AE9" i="4"/>
  <c r="R9" i="4"/>
  <c r="Q9" i="4"/>
  <c r="O9" i="4"/>
  <c r="N9" i="4"/>
  <c r="M9" i="4"/>
  <c r="L9" i="4"/>
  <c r="K9" i="4"/>
  <c r="J9" i="4"/>
  <c r="I9" i="4"/>
  <c r="H9" i="4"/>
  <c r="G9" i="4"/>
  <c r="F9" i="4"/>
  <c r="E9" i="4"/>
  <c r="D9" i="4"/>
  <c r="DX8" i="4"/>
  <c r="DJ8" i="4"/>
  <c r="CV8" i="4"/>
  <c r="CH8" i="4"/>
  <c r="BT8" i="4"/>
  <c r="BF8" i="4"/>
  <c r="AR8" i="4"/>
  <c r="DX7" i="4"/>
  <c r="DJ7" i="4"/>
  <c r="CV7" i="4"/>
  <c r="CH7" i="4"/>
  <c r="BT7" i="4"/>
  <c r="BF7" i="4"/>
  <c r="AR7" i="4"/>
  <c r="GA6" i="4"/>
  <c r="GB6" i="4" s="1"/>
  <c r="CG6" i="4"/>
  <c r="CU6" i="4" s="1"/>
  <c r="DI6" i="4" s="1"/>
  <c r="CF6" i="4"/>
  <c r="CT6" i="4" s="1"/>
  <c r="DH6" i="4" s="1"/>
  <c r="CE6" i="4"/>
  <c r="CS6" i="4" s="1"/>
  <c r="DG6" i="4" s="1"/>
  <c r="CD6" i="4"/>
  <c r="CR6" i="4" s="1"/>
  <c r="DF6" i="4" s="1"/>
  <c r="CC6" i="4"/>
  <c r="CQ6" i="4" s="1"/>
  <c r="DE6" i="4" s="1"/>
  <c r="CB6" i="4"/>
  <c r="CP6" i="4" s="1"/>
  <c r="DD6" i="4" s="1"/>
  <c r="CA6" i="4"/>
  <c r="CO6" i="4" s="1"/>
  <c r="DC6" i="4" s="1"/>
  <c r="BZ6" i="4"/>
  <c r="CN6" i="4" s="1"/>
  <c r="DB6" i="4" s="1"/>
  <c r="BY6" i="4"/>
  <c r="CM6" i="4" s="1"/>
  <c r="DA6" i="4" s="1"/>
  <c r="BX6" i="4"/>
  <c r="CL6" i="4" s="1"/>
  <c r="CZ6" i="4" s="1"/>
  <c r="BW6" i="4"/>
  <c r="CK6" i="4" s="1"/>
  <c r="CY6" i="4" s="1"/>
  <c r="BV6" i="4"/>
  <c r="CJ6" i="4" s="1"/>
  <c r="CX6" i="4" s="1"/>
  <c r="BT6" i="4"/>
  <c r="CH6" i="4" s="1"/>
  <c r="CV6" i="4" s="1"/>
  <c r="DJ6" i="4" s="1"/>
  <c r="DX6" i="4" s="1"/>
  <c r="EL6" i="4" s="1"/>
  <c r="EZ6" i="4" s="1"/>
  <c r="FN6" i="4" s="1"/>
  <c r="GD5" i="4"/>
  <c r="OT57" i="8"/>
  <c r="ON57" i="8"/>
  <c r="OI57" i="8"/>
  <c r="OG57" i="8"/>
  <c r="OE57" i="8"/>
  <c r="OD57" i="8"/>
  <c r="OC57" i="8"/>
  <c r="OB57" i="8"/>
  <c r="OA57" i="8"/>
  <c r="NZ57" i="8"/>
  <c r="NX57" i="8"/>
  <c r="NJ57" i="8"/>
  <c r="NI57" i="8"/>
  <c r="NH57" i="8"/>
  <c r="LV57" i="8"/>
  <c r="LU57" i="8"/>
  <c r="LT57" i="8"/>
  <c r="KH57" i="8"/>
  <c r="KG57" i="8"/>
  <c r="KF57" i="8"/>
  <c r="IT57" i="8"/>
  <c r="IS57" i="8"/>
  <c r="IR57" i="8"/>
  <c r="HF57" i="8"/>
  <c r="HE57" i="8"/>
  <c r="GC57" i="8"/>
  <c r="HD57" i="8" s="1"/>
  <c r="FR57" i="8"/>
  <c r="FQ57" i="8"/>
  <c r="FP57" i="8"/>
  <c r="NJ56" i="8"/>
  <c r="NI56" i="8"/>
  <c r="NH56" i="8"/>
  <c r="LV56" i="8"/>
  <c r="LU56" i="8"/>
  <c r="LT56" i="8"/>
  <c r="KH56" i="8"/>
  <c r="KG56" i="8"/>
  <c r="KF56" i="8"/>
  <c r="IT56" i="8"/>
  <c r="IS56" i="8"/>
  <c r="IR56" i="8"/>
  <c r="HF56" i="8"/>
  <c r="HE56" i="8"/>
  <c r="HD56" i="8"/>
  <c r="FR56" i="8"/>
  <c r="FQ56" i="8"/>
  <c r="FP56" i="8"/>
  <c r="ED56" i="8"/>
  <c r="EC56" i="8"/>
  <c r="EB56" i="8"/>
  <c r="CP56" i="8"/>
  <c r="OX55" i="8"/>
  <c r="OW55" i="8"/>
  <c r="OV55" i="8"/>
  <c r="NJ55" i="8"/>
  <c r="NI55" i="8"/>
  <c r="NH55" i="8"/>
  <c r="LV55" i="8"/>
  <c r="LU55" i="8"/>
  <c r="LT55" i="8"/>
  <c r="KH55" i="8"/>
  <c r="KG55" i="8"/>
  <c r="KF55" i="8"/>
  <c r="IT55" i="8"/>
  <c r="IS55" i="8"/>
  <c r="IR55" i="8"/>
  <c r="HF55" i="8"/>
  <c r="HE55" i="8"/>
  <c r="HD55" i="8"/>
  <c r="FR55" i="8"/>
  <c r="FQ55" i="8"/>
  <c r="FP55" i="8"/>
  <c r="ED55" i="8"/>
  <c r="EC55" i="8"/>
  <c r="CR55" i="8"/>
  <c r="EB55" i="8" s="1"/>
  <c r="CP55" i="8"/>
  <c r="CK55" i="8"/>
  <c r="CH55" i="8"/>
  <c r="CE55" i="8"/>
  <c r="CB55" i="8"/>
  <c r="BY55" i="8"/>
  <c r="BV55" i="8"/>
  <c r="BS55" i="8"/>
  <c r="BP55" i="8"/>
  <c r="BM55" i="8"/>
  <c r="BJ55" i="8"/>
  <c r="BG55" i="8"/>
  <c r="BD55" i="8"/>
  <c r="OX54" i="8"/>
  <c r="OW54" i="8"/>
  <c r="OV54" i="8"/>
  <c r="NJ54" i="8"/>
  <c r="NI54" i="8"/>
  <c r="NH54" i="8"/>
  <c r="LV54" i="8"/>
  <c r="LU54" i="8"/>
  <c r="LT54" i="8"/>
  <c r="KH54" i="8"/>
  <c r="KG54" i="8"/>
  <c r="KF54" i="8"/>
  <c r="IT54" i="8"/>
  <c r="IS54" i="8"/>
  <c r="IR54" i="8"/>
  <c r="HF54" i="8"/>
  <c r="HE54" i="8"/>
  <c r="HD54" i="8"/>
  <c r="FR54" i="8"/>
  <c r="FQ54" i="8"/>
  <c r="FP54" i="8"/>
  <c r="ED54" i="8"/>
  <c r="EC54" i="8"/>
  <c r="EB54" i="8"/>
  <c r="CP54" i="8"/>
  <c r="OX53" i="8"/>
  <c r="OW53" i="8"/>
  <c r="OV53" i="8"/>
  <c r="NJ53" i="8"/>
  <c r="NI53" i="8"/>
  <c r="NH53" i="8"/>
  <c r="LV53" i="8"/>
  <c r="LU53" i="8"/>
  <c r="LT53" i="8"/>
  <c r="KH53" i="8"/>
  <c r="KG53" i="8"/>
  <c r="KF53" i="8"/>
  <c r="IT53" i="8"/>
  <c r="IS53" i="8"/>
  <c r="IR53" i="8"/>
  <c r="HF53" i="8"/>
  <c r="HE53" i="8"/>
  <c r="HD53" i="8"/>
  <c r="FR53" i="8"/>
  <c r="FQ53" i="8"/>
  <c r="FP53" i="8"/>
  <c r="ED53" i="8"/>
  <c r="EC53" i="8"/>
  <c r="EB53" i="8"/>
  <c r="CP53" i="8"/>
  <c r="OX52" i="8"/>
  <c r="OW52" i="8"/>
  <c r="OV52" i="8"/>
  <c r="NJ52" i="8"/>
  <c r="NI52" i="8"/>
  <c r="NH52" i="8"/>
  <c r="LV52" i="8"/>
  <c r="LU52" i="8"/>
  <c r="LT52" i="8"/>
  <c r="KH52" i="8"/>
  <c r="KG52" i="8"/>
  <c r="KF52" i="8"/>
  <c r="IT52" i="8"/>
  <c r="IS52" i="8"/>
  <c r="IR52" i="8"/>
  <c r="HF52" i="8"/>
  <c r="HE52" i="8"/>
  <c r="HD52" i="8"/>
  <c r="FR52" i="8"/>
  <c r="FQ52" i="8"/>
  <c r="FP52" i="8"/>
  <c r="ED52" i="8"/>
  <c r="EC52" i="8"/>
  <c r="EB52" i="8"/>
  <c r="CP52" i="8"/>
  <c r="OX51" i="8"/>
  <c r="NK51" i="8"/>
  <c r="NJ51" i="8"/>
  <c r="LW51" i="8"/>
  <c r="LV51" i="8"/>
  <c r="KI51" i="8"/>
  <c r="KH51" i="8"/>
  <c r="IU51" i="8"/>
  <c r="IT51" i="8"/>
  <c r="HG51" i="8"/>
  <c r="HF51" i="8"/>
  <c r="FS51" i="8"/>
  <c r="FR51" i="8"/>
  <c r="EE51" i="8"/>
  <c r="CT51" i="8"/>
  <c r="CQ51" i="8"/>
  <c r="CM51" i="8"/>
  <c r="CJ51" i="8"/>
  <c r="CG51" i="8"/>
  <c r="CD51" i="8"/>
  <c r="CA51" i="8"/>
  <c r="BX51" i="8"/>
  <c r="BU51" i="8"/>
  <c r="BR51" i="8"/>
  <c r="BO51" i="8"/>
  <c r="BL51" i="8"/>
  <c r="BI51" i="8"/>
  <c r="BF51" i="8"/>
  <c r="OX50" i="8"/>
  <c r="NJ50" i="8"/>
  <c r="LV50" i="8"/>
  <c r="KH50" i="8"/>
  <c r="IT50" i="8"/>
  <c r="HF50" i="8"/>
  <c r="FS50" i="8"/>
  <c r="FR50" i="8"/>
  <c r="ED50" i="8"/>
  <c r="BI50" i="8"/>
  <c r="CP50" i="8" s="1"/>
  <c r="OX49" i="8"/>
  <c r="NJ49" i="8"/>
  <c r="LV49" i="8"/>
  <c r="KH49" i="8"/>
  <c r="IT49" i="8"/>
  <c r="HF49" i="8"/>
  <c r="FS49" i="8"/>
  <c r="FR49" i="8"/>
  <c r="ED49" i="8"/>
  <c r="CP49" i="8"/>
  <c r="OX48" i="8"/>
  <c r="NK48" i="8"/>
  <c r="NJ48" i="8"/>
  <c r="LW48" i="8"/>
  <c r="LV48" i="8"/>
  <c r="KI48" i="8"/>
  <c r="KH48" i="8"/>
  <c r="IU48" i="8"/>
  <c r="IT48" i="8"/>
  <c r="HG48" i="8"/>
  <c r="HF48" i="8"/>
  <c r="FR48" i="8"/>
  <c r="EE48" i="8"/>
  <c r="CT48" i="8"/>
  <c r="ED48" i="8" s="1"/>
  <c r="CQ48" i="8"/>
  <c r="CM48" i="8"/>
  <c r="CJ48" i="8"/>
  <c r="CG48" i="8"/>
  <c r="CD48" i="8"/>
  <c r="CA48" i="8"/>
  <c r="BX48" i="8"/>
  <c r="BU48" i="8"/>
  <c r="BR48" i="8"/>
  <c r="BO48" i="8"/>
  <c r="BL48" i="8"/>
  <c r="BF48" i="8"/>
  <c r="OX47" i="8"/>
  <c r="OW47" i="8"/>
  <c r="OV47" i="8"/>
  <c r="NJ47" i="8"/>
  <c r="NI47" i="8"/>
  <c r="NH47" i="8"/>
  <c r="LV47" i="8"/>
  <c r="LU47" i="8"/>
  <c r="LT47" i="8"/>
  <c r="KH47" i="8"/>
  <c r="KG47" i="8"/>
  <c r="KF47" i="8"/>
  <c r="IT47" i="8"/>
  <c r="IS47" i="8"/>
  <c r="IR47" i="8"/>
  <c r="HF47" i="8"/>
  <c r="HE47" i="8"/>
  <c r="HD47" i="8"/>
  <c r="FR47" i="8"/>
  <c r="FQ47" i="8"/>
  <c r="FP47" i="8"/>
  <c r="EC47" i="8"/>
  <c r="CO47" i="8"/>
  <c r="OX46" i="8"/>
  <c r="OW46" i="8"/>
  <c r="OV46" i="8"/>
  <c r="NJ46" i="8"/>
  <c r="NI46" i="8"/>
  <c r="NH46" i="8"/>
  <c r="LV46" i="8"/>
  <c r="LU46" i="8"/>
  <c r="LT46" i="8"/>
  <c r="KH46" i="8"/>
  <c r="KG46" i="8"/>
  <c r="KF46" i="8"/>
  <c r="IT46" i="8"/>
  <c r="IS46" i="8"/>
  <c r="IR46" i="8"/>
  <c r="HF46" i="8"/>
  <c r="HE46" i="8"/>
  <c r="HD46" i="8"/>
  <c r="FR46" i="8"/>
  <c r="FQ46" i="8"/>
  <c r="FP46" i="8"/>
  <c r="OX45" i="8"/>
  <c r="NJ45" i="8"/>
  <c r="LV45" i="8"/>
  <c r="KH45" i="8"/>
  <c r="IT45" i="8"/>
  <c r="HF45" i="8"/>
  <c r="FR45" i="8"/>
  <c r="ED45" i="8"/>
  <c r="CP45" i="8"/>
  <c r="OX44" i="8"/>
  <c r="NJ44" i="8"/>
  <c r="LV44" i="8"/>
  <c r="KH44" i="8"/>
  <c r="IT44" i="8"/>
  <c r="HF44" i="8"/>
  <c r="FR44" i="8"/>
  <c r="ED44" i="8"/>
  <c r="CP44" i="8"/>
  <c r="OX43" i="8"/>
  <c r="NJ43" i="8"/>
  <c r="NI43" i="8"/>
  <c r="NH43" i="8"/>
  <c r="NL43" i="8" s="1"/>
  <c r="LV43" i="8"/>
  <c r="LU43" i="8"/>
  <c r="LT43" i="8"/>
  <c r="KH43" i="8"/>
  <c r="IT43" i="8"/>
  <c r="HF43" i="8"/>
  <c r="FR43" i="8"/>
  <c r="ED43" i="8"/>
  <c r="CP43" i="8"/>
  <c r="OX42" i="8"/>
  <c r="NK42" i="8"/>
  <c r="NJ42" i="8"/>
  <c r="LW42" i="8"/>
  <c r="LV42" i="8"/>
  <c r="KI42" i="8"/>
  <c r="KH42" i="8"/>
  <c r="IU42" i="8"/>
  <c r="IT42" i="8"/>
  <c r="HG42" i="8"/>
  <c r="HF42" i="8"/>
  <c r="FS42" i="8"/>
  <c r="FR42" i="8"/>
  <c r="EE42" i="8"/>
  <c r="CT42" i="8"/>
  <c r="ED42" i="8" s="1"/>
  <c r="CQ42" i="8"/>
  <c r="CM42" i="8"/>
  <c r="CJ42" i="8"/>
  <c r="CG42" i="8"/>
  <c r="CD42" i="8"/>
  <c r="CA42" i="8"/>
  <c r="BX42" i="8"/>
  <c r="BU42" i="8"/>
  <c r="BR42" i="8"/>
  <c r="BO42" i="8"/>
  <c r="BL42" i="8"/>
  <c r="BI42" i="8"/>
  <c r="BF42" i="8"/>
  <c r="OX41" i="8"/>
  <c r="OW41" i="8"/>
  <c r="OV41" i="8"/>
  <c r="NJ41" i="8"/>
  <c r="NI41" i="8"/>
  <c r="NH41" i="8"/>
  <c r="LV41" i="8"/>
  <c r="LU41" i="8"/>
  <c r="LT41" i="8"/>
  <c r="KH41" i="8"/>
  <c r="KG41" i="8"/>
  <c r="KF41" i="8"/>
  <c r="IT41" i="8"/>
  <c r="IS41" i="8"/>
  <c r="IR41" i="8"/>
  <c r="HF41" i="8"/>
  <c r="HE41" i="8"/>
  <c r="HD41" i="8"/>
  <c r="FR41" i="8"/>
  <c r="ED41" i="8"/>
  <c r="CP41" i="8"/>
  <c r="OX40" i="8"/>
  <c r="OW40" i="8"/>
  <c r="OV40" i="8"/>
  <c r="NJ40" i="8"/>
  <c r="NI40" i="8"/>
  <c r="NH40" i="8"/>
  <c r="LV40" i="8"/>
  <c r="LU40" i="8"/>
  <c r="LT40" i="8"/>
  <c r="KH40" i="8"/>
  <c r="KG40" i="8"/>
  <c r="KF40" i="8"/>
  <c r="IT40" i="8"/>
  <c r="IS40" i="8"/>
  <c r="IR40" i="8"/>
  <c r="HF40" i="8"/>
  <c r="HE40" i="8"/>
  <c r="HD40" i="8"/>
  <c r="FR40" i="8"/>
  <c r="ED40" i="8"/>
  <c r="BI40" i="8"/>
  <c r="OX39" i="8"/>
  <c r="OW39" i="8"/>
  <c r="OV39" i="8"/>
  <c r="NJ39" i="8"/>
  <c r="NI39" i="8"/>
  <c r="NH39" i="8"/>
  <c r="LV39" i="8"/>
  <c r="LU39" i="8"/>
  <c r="LT39" i="8"/>
  <c r="KH39" i="8"/>
  <c r="KG39" i="8"/>
  <c r="KF39" i="8"/>
  <c r="IT39" i="8"/>
  <c r="IS39" i="8"/>
  <c r="IR39" i="8"/>
  <c r="HF39" i="8"/>
  <c r="HE39" i="8"/>
  <c r="HD39" i="8"/>
  <c r="FR39" i="8"/>
  <c r="ED39" i="8"/>
  <c r="CQ39" i="8"/>
  <c r="CQ38" i="8" s="1"/>
  <c r="CP39" i="8"/>
  <c r="OX38" i="8"/>
  <c r="NK38" i="8"/>
  <c r="NJ38" i="8"/>
  <c r="LW38" i="8"/>
  <c r="LV38" i="8"/>
  <c r="KI38" i="8"/>
  <c r="KH38" i="8"/>
  <c r="IU38" i="8"/>
  <c r="IT38" i="8"/>
  <c r="HG38" i="8"/>
  <c r="HF38" i="8"/>
  <c r="FS38" i="8"/>
  <c r="FR38" i="8"/>
  <c r="EE38" i="8"/>
  <c r="CT38" i="8"/>
  <c r="ED38" i="8" s="1"/>
  <c r="CM38" i="8"/>
  <c r="CJ38" i="8"/>
  <c r="CG38" i="8"/>
  <c r="CD38" i="8"/>
  <c r="CA38" i="8"/>
  <c r="BX38" i="8"/>
  <c r="BU38" i="8"/>
  <c r="BR38" i="8"/>
  <c r="BO38" i="8"/>
  <c r="BL38" i="8"/>
  <c r="BF38" i="8"/>
  <c r="OX37" i="8"/>
  <c r="NJ37" i="8"/>
  <c r="LV37" i="8"/>
  <c r="KH37" i="8"/>
  <c r="IT37" i="8"/>
  <c r="HF37" i="8"/>
  <c r="FR37" i="8"/>
  <c r="ED37" i="8"/>
  <c r="CP37" i="8"/>
  <c r="OX36" i="8"/>
  <c r="NJ36" i="8"/>
  <c r="LV36" i="8"/>
  <c r="KH36" i="8"/>
  <c r="IT36" i="8"/>
  <c r="HF36" i="8"/>
  <c r="FS36" i="8"/>
  <c r="FR36" i="8"/>
  <c r="ED36" i="8"/>
  <c r="CP36" i="8"/>
  <c r="OX35" i="8"/>
  <c r="NJ35" i="8"/>
  <c r="LV35" i="8"/>
  <c r="KH35" i="8"/>
  <c r="IT35" i="8"/>
  <c r="HF35" i="8"/>
  <c r="FS35" i="8"/>
  <c r="FR35" i="8"/>
  <c r="ED35" i="8"/>
  <c r="CP35" i="8"/>
  <c r="OX34" i="8"/>
  <c r="NJ34" i="8"/>
  <c r="LV34" i="8"/>
  <c r="KH34" i="8"/>
  <c r="IT34" i="8"/>
  <c r="HF34" i="8"/>
  <c r="FR34" i="8"/>
  <c r="ED34" i="8"/>
  <c r="CP34" i="8"/>
  <c r="OX33" i="8"/>
  <c r="NK33" i="8"/>
  <c r="NJ33" i="8"/>
  <c r="LW33" i="8"/>
  <c r="LV33" i="8"/>
  <c r="KI33" i="8"/>
  <c r="KH33" i="8"/>
  <c r="IU33" i="8"/>
  <c r="IT33" i="8"/>
  <c r="HG33" i="8"/>
  <c r="HF33" i="8"/>
  <c r="FR33" i="8"/>
  <c r="EE33" i="8"/>
  <c r="CT33" i="8"/>
  <c r="ED33" i="8" s="1"/>
  <c r="CQ33" i="8"/>
  <c r="CM33" i="8"/>
  <c r="CJ33" i="8"/>
  <c r="CG33" i="8"/>
  <c r="CD33" i="8"/>
  <c r="CA33" i="8"/>
  <c r="BX33" i="8"/>
  <c r="BU33" i="8"/>
  <c r="BR33" i="8"/>
  <c r="BO33" i="8"/>
  <c r="BL33" i="8"/>
  <c r="BI33" i="8"/>
  <c r="BF33" i="8"/>
  <c r="OX32" i="8"/>
  <c r="NJ32" i="8"/>
  <c r="LV32" i="8"/>
  <c r="KH32" i="8"/>
  <c r="IT32" i="8"/>
  <c r="HF32" i="8"/>
  <c r="FR32" i="8"/>
  <c r="ED32" i="8"/>
  <c r="CP32" i="8"/>
  <c r="OX31" i="8"/>
  <c r="NJ31" i="8"/>
  <c r="LV31" i="8"/>
  <c r="KH31" i="8"/>
  <c r="IT31" i="8"/>
  <c r="HF31" i="8"/>
  <c r="FR31" i="8"/>
  <c r="ED31" i="8"/>
  <c r="CP31" i="8"/>
  <c r="OX30" i="8"/>
  <c r="NJ30" i="8"/>
  <c r="LV30" i="8"/>
  <c r="KH30" i="8"/>
  <c r="IT30" i="8"/>
  <c r="HF30" i="8"/>
  <c r="FR30" i="8"/>
  <c r="ED30" i="8"/>
  <c r="CP30" i="8"/>
  <c r="OX29" i="8"/>
  <c r="NJ29" i="8"/>
  <c r="LV29" i="8"/>
  <c r="KH29" i="8"/>
  <c r="IT29" i="8"/>
  <c r="HF29" i="8"/>
  <c r="FR29" i="8"/>
  <c r="ED29" i="8"/>
  <c r="CP29" i="8"/>
  <c r="OX28" i="8"/>
  <c r="NK28" i="8"/>
  <c r="NK27" i="8" s="1"/>
  <c r="NJ28" i="8"/>
  <c r="LW28" i="8"/>
  <c r="LW27" i="8" s="1"/>
  <c r="LV28" i="8"/>
  <c r="KI28" i="8"/>
  <c r="KI27" i="8" s="1"/>
  <c r="KH28" i="8"/>
  <c r="IU28" i="8"/>
  <c r="IU27" i="8" s="1"/>
  <c r="IT28" i="8"/>
  <c r="HG28" i="8"/>
  <c r="HG27" i="8" s="1"/>
  <c r="HF28" i="8"/>
  <c r="FS28" i="8"/>
  <c r="FS27" i="8" s="1"/>
  <c r="FR28" i="8"/>
  <c r="EE28" i="8"/>
  <c r="EE27" i="8" s="1"/>
  <c r="CT28" i="8"/>
  <c r="CQ28" i="8"/>
  <c r="CQ27" i="8" s="1"/>
  <c r="CM28" i="8"/>
  <c r="CM27" i="8" s="1"/>
  <c r="CJ28" i="8"/>
  <c r="CJ27" i="8" s="1"/>
  <c r="CG28" i="8"/>
  <c r="CG27" i="8" s="1"/>
  <c r="CD28" i="8"/>
  <c r="CD27" i="8" s="1"/>
  <c r="CA28" i="8"/>
  <c r="CA27" i="8" s="1"/>
  <c r="BX28" i="8"/>
  <c r="BX27" i="8" s="1"/>
  <c r="BU28" i="8"/>
  <c r="BU27" i="8" s="1"/>
  <c r="BR28" i="8"/>
  <c r="BR27" i="8" s="1"/>
  <c r="BO28" i="8"/>
  <c r="BO27" i="8" s="1"/>
  <c r="BL28" i="8"/>
  <c r="BL27" i="8" s="1"/>
  <c r="BI28" i="8"/>
  <c r="BI27" i="8" s="1"/>
  <c r="BF28" i="8"/>
  <c r="BF27" i="8" s="1"/>
  <c r="OX27" i="8"/>
  <c r="NJ27" i="8"/>
  <c r="LV27" i="8"/>
  <c r="KH27" i="8"/>
  <c r="IT27" i="8"/>
  <c r="HF27" i="8"/>
  <c r="FR27" i="8"/>
  <c r="OX26" i="8"/>
  <c r="OW26" i="8"/>
  <c r="OV26" i="8"/>
  <c r="NJ26" i="8"/>
  <c r="NI26" i="8"/>
  <c r="NH26" i="8"/>
  <c r="LV26" i="8"/>
  <c r="LU26" i="8"/>
  <c r="LT26" i="8"/>
  <c r="KH26" i="8"/>
  <c r="KG26" i="8"/>
  <c r="KF26" i="8"/>
  <c r="IT26" i="8"/>
  <c r="IS26" i="8"/>
  <c r="IR26" i="8"/>
  <c r="HF26" i="8"/>
  <c r="HE26" i="8"/>
  <c r="HD26" i="8"/>
  <c r="FR26" i="8"/>
  <c r="FQ26" i="8"/>
  <c r="FP26" i="8"/>
  <c r="EC26" i="8"/>
  <c r="CO26" i="8"/>
  <c r="OX25" i="8"/>
  <c r="OW25" i="8"/>
  <c r="OV25" i="8"/>
  <c r="NJ25" i="8"/>
  <c r="NI25" i="8"/>
  <c r="NH25" i="8"/>
  <c r="LV25" i="8"/>
  <c r="LU25" i="8"/>
  <c r="LT25" i="8"/>
  <c r="KH25" i="8"/>
  <c r="KG25" i="8"/>
  <c r="KF25" i="8"/>
  <c r="IT25" i="8"/>
  <c r="IS25" i="8"/>
  <c r="IR25" i="8"/>
  <c r="HF25" i="8"/>
  <c r="HE25" i="8"/>
  <c r="HD25" i="8"/>
  <c r="FR25" i="8"/>
  <c r="FQ25" i="8"/>
  <c r="FP25" i="8"/>
  <c r="CS25" i="8"/>
  <c r="EC25" i="8" s="1"/>
  <c r="CL25" i="8"/>
  <c r="CI25" i="8"/>
  <c r="CF25" i="8"/>
  <c r="CC25" i="8"/>
  <c r="BZ25" i="8"/>
  <c r="BW25" i="8"/>
  <c r="BT25" i="8"/>
  <c r="BQ25" i="8"/>
  <c r="BN25" i="8"/>
  <c r="BK25" i="8"/>
  <c r="BH25" i="8"/>
  <c r="BE25" i="8"/>
  <c r="OX24" i="8"/>
  <c r="OW24" i="8"/>
  <c r="OV24" i="8"/>
  <c r="NJ24" i="8"/>
  <c r="NI24" i="8"/>
  <c r="NH24" i="8"/>
  <c r="LV24" i="8"/>
  <c r="LU24" i="8"/>
  <c r="LT24" i="8"/>
  <c r="KH24" i="8"/>
  <c r="KG24" i="8"/>
  <c r="KF24" i="8"/>
  <c r="IT24" i="8"/>
  <c r="IS24" i="8"/>
  <c r="IR24" i="8"/>
  <c r="HF24" i="8"/>
  <c r="HE24" i="8"/>
  <c r="HD24" i="8"/>
  <c r="FR24" i="8"/>
  <c r="FQ24" i="8"/>
  <c r="FP24" i="8"/>
  <c r="PC23" i="8"/>
  <c r="OX23" i="8"/>
  <c r="OW23" i="8"/>
  <c r="OJ23" i="8"/>
  <c r="NJ23" i="8"/>
  <c r="NI23" i="8"/>
  <c r="NH23" i="8"/>
  <c r="LV23" i="8"/>
  <c r="LU23" i="8"/>
  <c r="LT23" i="8"/>
  <c r="KH23" i="8"/>
  <c r="KG23" i="8"/>
  <c r="KF23" i="8"/>
  <c r="IT23" i="8"/>
  <c r="IS23" i="8"/>
  <c r="IR23" i="8"/>
  <c r="HF23" i="8"/>
  <c r="HE23" i="8"/>
  <c r="HD23" i="8"/>
  <c r="FR23" i="8"/>
  <c r="FQ23" i="8"/>
  <c r="FP23" i="8"/>
  <c r="EC23" i="8"/>
  <c r="EB23" i="8"/>
  <c r="CT23" i="8"/>
  <c r="ED23" i="8" s="1"/>
  <c r="CO23" i="8"/>
  <c r="CM23" i="8"/>
  <c r="CJ23" i="8"/>
  <c r="CG23" i="8"/>
  <c r="CD23" i="8"/>
  <c r="CA23" i="8"/>
  <c r="BX23" i="8"/>
  <c r="BU23" i="8"/>
  <c r="BR23" i="8"/>
  <c r="BO23" i="8"/>
  <c r="BL23" i="8"/>
  <c r="BI23" i="8"/>
  <c r="BF23" i="8"/>
  <c r="OZ22" i="8"/>
  <c r="OX22" i="8"/>
  <c r="OW22" i="8"/>
  <c r="OV22" i="8"/>
  <c r="NJ22" i="8"/>
  <c r="NI22" i="8"/>
  <c r="NH22" i="8"/>
  <c r="LV22" i="8"/>
  <c r="LU22" i="8"/>
  <c r="LT22" i="8"/>
  <c r="KH22" i="8"/>
  <c r="KG22" i="8"/>
  <c r="KF22" i="8"/>
  <c r="IT22" i="8"/>
  <c r="IS22" i="8"/>
  <c r="IR22" i="8"/>
  <c r="HF22" i="8"/>
  <c r="HE22" i="8"/>
  <c r="HD22" i="8"/>
  <c r="FR22" i="8"/>
  <c r="FQ22" i="8"/>
  <c r="FP22" i="8"/>
  <c r="EC22" i="8"/>
  <c r="EB22" i="8"/>
  <c r="CT22" i="8"/>
  <c r="ED22" i="8" s="1"/>
  <c r="CN22" i="8"/>
  <c r="CM22" i="8"/>
  <c r="CJ22" i="8"/>
  <c r="CG22" i="8"/>
  <c r="CD22" i="8"/>
  <c r="CA22" i="8"/>
  <c r="BX22" i="8"/>
  <c r="BU22" i="8"/>
  <c r="BR22" i="8"/>
  <c r="BO22" i="8"/>
  <c r="BL22" i="8"/>
  <c r="BI22" i="8"/>
  <c r="BF22" i="8"/>
  <c r="OX21" i="8"/>
  <c r="OW21" i="8"/>
  <c r="OV21" i="8"/>
  <c r="NJ21" i="8"/>
  <c r="NI21" i="8"/>
  <c r="NH21" i="8"/>
  <c r="LV21" i="8"/>
  <c r="LU21" i="8"/>
  <c r="LT21" i="8"/>
  <c r="KH21" i="8"/>
  <c r="KG21" i="8"/>
  <c r="KF21" i="8"/>
  <c r="IT21" i="8"/>
  <c r="IS21" i="8"/>
  <c r="IR21" i="8"/>
  <c r="HF21" i="8"/>
  <c r="HE21" i="8"/>
  <c r="HD21" i="8"/>
  <c r="FR21" i="8"/>
  <c r="FQ21" i="8"/>
  <c r="FP21" i="8"/>
  <c r="EC21" i="8"/>
  <c r="EB21" i="8"/>
  <c r="CT21" i="8"/>
  <c r="ED21" i="8" s="1"/>
  <c r="CM21" i="8"/>
  <c r="CJ21" i="8"/>
  <c r="CG21" i="8"/>
  <c r="CD21" i="8"/>
  <c r="CA21" i="8"/>
  <c r="BX21" i="8"/>
  <c r="BU21" i="8"/>
  <c r="BR21" i="8"/>
  <c r="BO21" i="8"/>
  <c r="BJ21" i="8"/>
  <c r="BL21" i="8" s="1"/>
  <c r="BG21" i="8"/>
  <c r="BF21" i="8"/>
  <c r="OZ20" i="8"/>
  <c r="OX20" i="8"/>
  <c r="OW20" i="8"/>
  <c r="OV20" i="8"/>
  <c r="NJ20" i="8"/>
  <c r="NI20" i="8"/>
  <c r="NH20" i="8"/>
  <c r="LV20" i="8"/>
  <c r="LU20" i="8"/>
  <c r="LT20" i="8"/>
  <c r="KH20" i="8"/>
  <c r="KG20" i="8"/>
  <c r="KF20" i="8"/>
  <c r="IT20" i="8"/>
  <c r="IS20" i="8"/>
  <c r="IR20" i="8"/>
  <c r="HF20" i="8"/>
  <c r="HE20" i="8"/>
  <c r="HD20" i="8"/>
  <c r="FR20" i="8"/>
  <c r="FQ20" i="8"/>
  <c r="FP20" i="8"/>
  <c r="EC20" i="8"/>
  <c r="EB20" i="8"/>
  <c r="CT20" i="8"/>
  <c r="CO20" i="8"/>
  <c r="CM20" i="8"/>
  <c r="CJ20" i="8"/>
  <c r="CG20" i="8"/>
  <c r="CD20" i="8"/>
  <c r="CA20" i="8"/>
  <c r="BX20" i="8"/>
  <c r="BU20" i="8"/>
  <c r="BR20" i="8"/>
  <c r="BO20" i="8"/>
  <c r="BL20" i="8"/>
  <c r="BG20" i="8"/>
  <c r="CN20" i="8" s="1"/>
  <c r="BF20" i="8"/>
  <c r="OZ19" i="8"/>
  <c r="OX19" i="8"/>
  <c r="OW19" i="8"/>
  <c r="OV19" i="8"/>
  <c r="NK19" i="8"/>
  <c r="NJ19" i="8"/>
  <c r="NI19" i="8"/>
  <c r="NH19" i="8"/>
  <c r="LW19" i="8"/>
  <c r="LV19" i="8"/>
  <c r="LU19" i="8"/>
  <c r="LT19" i="8"/>
  <c r="KI19" i="8"/>
  <c r="KH19" i="8"/>
  <c r="KG19" i="8"/>
  <c r="KF19" i="8"/>
  <c r="IU19" i="8"/>
  <c r="IT19" i="8"/>
  <c r="IS19" i="8"/>
  <c r="IR19" i="8"/>
  <c r="HG19" i="8"/>
  <c r="HF19" i="8"/>
  <c r="HE19" i="8"/>
  <c r="HD19" i="8"/>
  <c r="FS19" i="8"/>
  <c r="FR19" i="8"/>
  <c r="FQ19" i="8"/>
  <c r="FP19" i="8"/>
  <c r="EE19" i="8"/>
  <c r="CS19" i="8"/>
  <c r="EC19" i="8" s="1"/>
  <c r="CR19" i="8"/>
  <c r="EB19" i="8" s="1"/>
  <c r="CQ19" i="8"/>
  <c r="CL19" i="8"/>
  <c r="CK19" i="8"/>
  <c r="CI19" i="8"/>
  <c r="CH19" i="8"/>
  <c r="CF19" i="8"/>
  <c r="CE19" i="8"/>
  <c r="CC19" i="8"/>
  <c r="CB19" i="8"/>
  <c r="BZ19" i="8"/>
  <c r="BY19" i="8"/>
  <c r="BW19" i="8"/>
  <c r="BV19" i="8"/>
  <c r="BT19" i="8"/>
  <c r="BS19" i="8"/>
  <c r="BQ19" i="8"/>
  <c r="BP19" i="8"/>
  <c r="BN19" i="8"/>
  <c r="BM19" i="8"/>
  <c r="BK19" i="8"/>
  <c r="BH19" i="8"/>
  <c r="BE19" i="8"/>
  <c r="BD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F19" i="8"/>
  <c r="E19" i="8"/>
  <c r="D19" i="8"/>
  <c r="OX18" i="8"/>
  <c r="OW18" i="8"/>
  <c r="OV18" i="8"/>
  <c r="NJ18" i="8"/>
  <c r="NI18" i="8"/>
  <c r="NH18" i="8"/>
  <c r="LV18" i="8"/>
  <c r="LU18" i="8"/>
  <c r="LT18" i="8"/>
  <c r="KH18" i="8"/>
  <c r="KG18" i="8"/>
  <c r="KF18" i="8"/>
  <c r="IT18" i="8"/>
  <c r="IS18" i="8"/>
  <c r="IR18" i="8"/>
  <c r="HF18" i="8"/>
  <c r="HE18" i="8"/>
  <c r="HD18" i="8"/>
  <c r="FR18" i="8"/>
  <c r="FQ18" i="8"/>
  <c r="FP18" i="8"/>
  <c r="EC18" i="8"/>
  <c r="EB18" i="8"/>
  <c r="CT18" i="8"/>
  <c r="ED18" i="8" s="1"/>
  <c r="CN18" i="8"/>
  <c r="CM18" i="8"/>
  <c r="CJ18" i="8"/>
  <c r="CG18" i="8"/>
  <c r="CD18" i="8"/>
  <c r="CA18" i="8"/>
  <c r="BX18" i="8"/>
  <c r="BU18" i="8"/>
  <c r="BR18" i="8"/>
  <c r="BO18" i="8"/>
  <c r="BL18" i="8"/>
  <c r="BI18" i="8"/>
  <c r="BF18" i="8"/>
  <c r="OX17" i="8"/>
  <c r="OW17" i="8"/>
  <c r="OV17" i="8"/>
  <c r="NJ17" i="8"/>
  <c r="NI17" i="8"/>
  <c r="NH17" i="8"/>
  <c r="LW17" i="8"/>
  <c r="LV17" i="8"/>
  <c r="LU17" i="8"/>
  <c r="LT17" i="8"/>
  <c r="KH17" i="8"/>
  <c r="KG17" i="8"/>
  <c r="KF17" i="8"/>
  <c r="IT17" i="8"/>
  <c r="IS17" i="8"/>
  <c r="IR17" i="8"/>
  <c r="HF17" i="8"/>
  <c r="HE17" i="8"/>
  <c r="HD17" i="8"/>
  <c r="FR17" i="8"/>
  <c r="FQ17" i="8"/>
  <c r="FP17" i="8"/>
  <c r="EC17" i="8"/>
  <c r="EB17" i="8"/>
  <c r="CT17" i="8"/>
  <c r="ED17" i="8" s="1"/>
  <c r="CN17" i="8"/>
  <c r="CM17" i="8"/>
  <c r="CJ17" i="8"/>
  <c r="CG17" i="8"/>
  <c r="CD17" i="8"/>
  <c r="CA17" i="8"/>
  <c r="BX17" i="8"/>
  <c r="BU17" i="8"/>
  <c r="BR17" i="8"/>
  <c r="BO17" i="8"/>
  <c r="BL17" i="8"/>
  <c r="BI17" i="8"/>
  <c r="BF17" i="8"/>
  <c r="OX16" i="8"/>
  <c r="OW16" i="8"/>
  <c r="OV16" i="8"/>
  <c r="NJ16" i="8"/>
  <c r="NI16" i="8"/>
  <c r="NH16" i="8"/>
  <c r="LV16" i="8"/>
  <c r="LU16" i="8"/>
  <c r="LT16" i="8"/>
  <c r="KH16" i="8"/>
  <c r="KG16" i="8"/>
  <c r="KF16" i="8"/>
  <c r="IT16" i="8"/>
  <c r="IS16" i="8"/>
  <c r="IR16" i="8"/>
  <c r="HF16" i="8"/>
  <c r="HE16" i="8"/>
  <c r="HD16" i="8"/>
  <c r="FR16" i="8"/>
  <c r="FQ16" i="8"/>
  <c r="FP16" i="8"/>
  <c r="EC16" i="8"/>
  <c r="EB16" i="8"/>
  <c r="CT16" i="8"/>
  <c r="ED16" i="8" s="1"/>
  <c r="CN16" i="8"/>
  <c r="CM16" i="8"/>
  <c r="CJ16" i="8"/>
  <c r="CG16" i="8"/>
  <c r="CD16" i="8"/>
  <c r="CA16" i="8"/>
  <c r="BX16" i="8"/>
  <c r="BU16" i="8"/>
  <c r="BR16" i="8"/>
  <c r="BO16" i="8"/>
  <c r="BL16" i="8"/>
  <c r="BI16" i="8"/>
  <c r="BF16" i="8"/>
  <c r="OX15" i="8"/>
  <c r="OW15" i="8"/>
  <c r="OV15" i="8"/>
  <c r="NJ15" i="8"/>
  <c r="NI15" i="8"/>
  <c r="NH15" i="8"/>
  <c r="LV15" i="8"/>
  <c r="LU15" i="8"/>
  <c r="LT15" i="8"/>
  <c r="KH15" i="8"/>
  <c r="KG15" i="8"/>
  <c r="KF15" i="8"/>
  <c r="IT15" i="8"/>
  <c r="IS15" i="8"/>
  <c r="IR15" i="8"/>
  <c r="HF15" i="8"/>
  <c r="HE15" i="8"/>
  <c r="HD15" i="8"/>
  <c r="FR15" i="8"/>
  <c r="FQ15" i="8"/>
  <c r="FP15" i="8"/>
  <c r="EC15" i="8"/>
  <c r="EB15" i="8"/>
  <c r="CT15" i="8"/>
  <c r="ED15" i="8" s="1"/>
  <c r="CN15" i="8"/>
  <c r="CM15" i="8"/>
  <c r="CJ15" i="8"/>
  <c r="CG15" i="8"/>
  <c r="CD15" i="8"/>
  <c r="CA15" i="8"/>
  <c r="BX15" i="8"/>
  <c r="BU15" i="8"/>
  <c r="BR15" i="8"/>
  <c r="BO15" i="8"/>
  <c r="BL15" i="8"/>
  <c r="BI15" i="8"/>
  <c r="BF15" i="8"/>
  <c r="OX14" i="8"/>
  <c r="OW14" i="8"/>
  <c r="OV14" i="8"/>
  <c r="NJ14" i="8"/>
  <c r="NI14" i="8"/>
  <c r="NH14" i="8"/>
  <c r="LV14" i="8"/>
  <c r="LU14" i="8"/>
  <c r="LT14" i="8"/>
  <c r="KH14" i="8"/>
  <c r="KG14" i="8"/>
  <c r="KF14" i="8"/>
  <c r="IT14" i="8"/>
  <c r="IS14" i="8"/>
  <c r="IR14" i="8"/>
  <c r="HF14" i="8"/>
  <c r="HE14" i="8"/>
  <c r="HD14" i="8"/>
  <c r="FR14" i="8"/>
  <c r="FQ14" i="8"/>
  <c r="FP14" i="8"/>
  <c r="EC14" i="8"/>
  <c r="EB14" i="8"/>
  <c r="CT14" i="8"/>
  <c r="ED14" i="8" s="1"/>
  <c r="CN14" i="8"/>
  <c r="CM14" i="8"/>
  <c r="CJ14" i="8"/>
  <c r="CG14" i="8"/>
  <c r="CD14" i="8"/>
  <c r="CA14" i="8"/>
  <c r="BX14" i="8"/>
  <c r="BU14" i="8"/>
  <c r="BR14" i="8"/>
  <c r="BO14" i="8"/>
  <c r="BL14" i="8"/>
  <c r="BI14" i="8"/>
  <c r="BF14" i="8"/>
  <c r="OX13" i="8"/>
  <c r="OW13" i="8"/>
  <c r="OV13" i="8"/>
  <c r="NK13" i="8"/>
  <c r="NJ13" i="8"/>
  <c r="NI13" i="8"/>
  <c r="NH13" i="8"/>
  <c r="LW13" i="8"/>
  <c r="LV13" i="8"/>
  <c r="LU13" i="8"/>
  <c r="LT13" i="8"/>
  <c r="KI13" i="8"/>
  <c r="KH13" i="8"/>
  <c r="KG13" i="8"/>
  <c r="KF13" i="8"/>
  <c r="IU13" i="8"/>
  <c r="IT13" i="8"/>
  <c r="IS13" i="8"/>
  <c r="IR13" i="8"/>
  <c r="HG13" i="8"/>
  <c r="HF13" i="8"/>
  <c r="HE13" i="8"/>
  <c r="HD13" i="8"/>
  <c r="FS13" i="8"/>
  <c r="FR13" i="8"/>
  <c r="FQ13" i="8"/>
  <c r="FP13" i="8"/>
  <c r="EE13" i="8"/>
  <c r="CS13" i="8"/>
  <c r="EC13" i="8" s="1"/>
  <c r="CR13" i="8"/>
  <c r="CQ13" i="8"/>
  <c r="CL13" i="8"/>
  <c r="CK13" i="8"/>
  <c r="CI13" i="8"/>
  <c r="CH13" i="8"/>
  <c r="CF13" i="8"/>
  <c r="CE13" i="8"/>
  <c r="CC13" i="8"/>
  <c r="CB13" i="8"/>
  <c r="BZ13" i="8"/>
  <c r="BY13" i="8"/>
  <c r="BW13" i="8"/>
  <c r="BV13" i="8"/>
  <c r="BT13" i="8"/>
  <c r="BS13" i="8"/>
  <c r="BQ13" i="8"/>
  <c r="BP13" i="8"/>
  <c r="BN13" i="8"/>
  <c r="BM13" i="8"/>
  <c r="BK13" i="8"/>
  <c r="BJ13" i="8"/>
  <c r="BH13" i="8"/>
  <c r="BG13" i="8"/>
  <c r="BE13" i="8"/>
  <c r="BD13" i="8"/>
  <c r="OX12" i="8"/>
  <c r="OW12" i="8"/>
  <c r="OV12" i="8"/>
  <c r="NJ12" i="8"/>
  <c r="NI12" i="8"/>
  <c r="NH12" i="8"/>
  <c r="LV12" i="8"/>
  <c r="LU12" i="8"/>
  <c r="LT12" i="8"/>
  <c r="KH12" i="8"/>
  <c r="KG12" i="8"/>
  <c r="KF12" i="8"/>
  <c r="IT12" i="8"/>
  <c r="IS12" i="8"/>
  <c r="IR12" i="8"/>
  <c r="HF12" i="8"/>
  <c r="HE12" i="8"/>
  <c r="HD12" i="8"/>
  <c r="FR12" i="8"/>
  <c r="FQ12" i="8"/>
  <c r="FP12" i="8"/>
  <c r="EC12" i="8"/>
  <c r="EB12" i="8"/>
  <c r="CT12" i="8"/>
  <c r="CN12" i="8"/>
  <c r="CM12" i="8"/>
  <c r="CJ12" i="8"/>
  <c r="CG12" i="8"/>
  <c r="CD12" i="8"/>
  <c r="CA12" i="8"/>
  <c r="BX12" i="8"/>
  <c r="BU12" i="8"/>
  <c r="BR12" i="8"/>
  <c r="BO12" i="8"/>
  <c r="BL12" i="8"/>
  <c r="BI12" i="8"/>
  <c r="BF12" i="8"/>
  <c r="OX11" i="8"/>
  <c r="OW11" i="8"/>
  <c r="OV11" i="8"/>
  <c r="NJ11" i="8"/>
  <c r="NI11" i="8"/>
  <c r="NH11" i="8"/>
  <c r="LV11" i="8"/>
  <c r="LU11" i="8"/>
  <c r="LT11" i="8"/>
  <c r="KH11" i="8"/>
  <c r="KG11" i="8"/>
  <c r="KF11" i="8"/>
  <c r="IT11" i="8"/>
  <c r="IS11" i="8"/>
  <c r="IR11" i="8"/>
  <c r="HF11" i="8"/>
  <c r="HE11" i="8"/>
  <c r="HD11" i="8"/>
  <c r="FR11" i="8"/>
  <c r="FQ11" i="8"/>
  <c r="FP11" i="8"/>
  <c r="EC11" i="8"/>
  <c r="EB11" i="8"/>
  <c r="CT11" i="8"/>
  <c r="ED11" i="8" s="1"/>
  <c r="CN11" i="8"/>
  <c r="CM11" i="8"/>
  <c r="CJ11" i="8"/>
  <c r="CG11" i="8"/>
  <c r="CD11" i="8"/>
  <c r="CA11" i="8"/>
  <c r="BX11" i="8"/>
  <c r="BU11" i="8"/>
  <c r="BR11" i="8"/>
  <c r="BO11" i="8"/>
  <c r="BL11" i="8"/>
  <c r="BI11" i="8"/>
  <c r="BF11" i="8"/>
  <c r="OX10" i="8"/>
  <c r="OW10" i="8"/>
  <c r="OV10" i="8"/>
  <c r="NK10" i="8"/>
  <c r="NJ10" i="8"/>
  <c r="NI10" i="8"/>
  <c r="NH10" i="8"/>
  <c r="LW10" i="8"/>
  <c r="LV10" i="8"/>
  <c r="LU10" i="8"/>
  <c r="LT10" i="8"/>
  <c r="KI10" i="8"/>
  <c r="KH10" i="8"/>
  <c r="KG10" i="8"/>
  <c r="KF10" i="8"/>
  <c r="IU10" i="8"/>
  <c r="IT10" i="8"/>
  <c r="IS10" i="8"/>
  <c r="IR10" i="8"/>
  <c r="HG10" i="8"/>
  <c r="HF10" i="8"/>
  <c r="HE10" i="8"/>
  <c r="HD10" i="8"/>
  <c r="FS10" i="8"/>
  <c r="FR10" i="8"/>
  <c r="FQ10" i="8"/>
  <c r="FP10" i="8"/>
  <c r="EE10" i="8"/>
  <c r="CS10" i="8"/>
  <c r="CR10" i="8"/>
  <c r="EB10" i="8" s="1"/>
  <c r="CQ10" i="8"/>
  <c r="CL10" i="8"/>
  <c r="CK10" i="8"/>
  <c r="CI10" i="8"/>
  <c r="CH10" i="8"/>
  <c r="CF10" i="8"/>
  <c r="CE10" i="8"/>
  <c r="CC10" i="8"/>
  <c r="CB10" i="8"/>
  <c r="BZ10" i="8"/>
  <c r="BY10" i="8"/>
  <c r="BW10" i="8"/>
  <c r="BV10" i="8"/>
  <c r="BT10" i="8"/>
  <c r="BS10" i="8"/>
  <c r="BQ10" i="8"/>
  <c r="BP10" i="8"/>
  <c r="BN10" i="8"/>
  <c r="BM10" i="8"/>
  <c r="BK10" i="8"/>
  <c r="BJ10" i="8"/>
  <c r="BH10" i="8"/>
  <c r="BG10" i="8"/>
  <c r="BE10" i="8"/>
  <c r="BD10" i="8"/>
  <c r="OX9" i="8"/>
  <c r="OW9" i="8"/>
  <c r="OV9" i="8"/>
  <c r="NJ9" i="8"/>
  <c r="NI9" i="8"/>
  <c r="NH9" i="8"/>
  <c r="LV9" i="8"/>
  <c r="LU9" i="8"/>
  <c r="LT9" i="8"/>
  <c r="KH9" i="8"/>
  <c r="KG9" i="8"/>
  <c r="KF9" i="8"/>
  <c r="IT9" i="8"/>
  <c r="IS9" i="8"/>
  <c r="IR9" i="8"/>
  <c r="HF9" i="8"/>
  <c r="HE9" i="8"/>
  <c r="HD9" i="8"/>
  <c r="FR9" i="8"/>
  <c r="FQ9" i="8"/>
  <c r="FP9" i="8"/>
  <c r="OX8" i="8"/>
  <c r="OV8" i="8"/>
  <c r="OK8" i="8"/>
  <c r="OK57" i="8" s="1"/>
  <c r="OH8" i="8"/>
  <c r="OH57" i="8" s="1"/>
  <c r="NY8" i="8"/>
  <c r="NY57" i="8" s="1"/>
  <c r="NV8" i="8"/>
  <c r="NS8" i="8"/>
  <c r="NJ8" i="8"/>
  <c r="NI8" i="8"/>
  <c r="NH8" i="8"/>
  <c r="LV8" i="8"/>
  <c r="LU8" i="8"/>
  <c r="LT8" i="8"/>
  <c r="KH8" i="8"/>
  <c r="KG8" i="8"/>
  <c r="KF8" i="8"/>
  <c r="IT8" i="8"/>
  <c r="IS8" i="8"/>
  <c r="IR8" i="8"/>
  <c r="HF8" i="8"/>
  <c r="HE8" i="8"/>
  <c r="HD8" i="8"/>
  <c r="FR8" i="8"/>
  <c r="FQ8" i="8"/>
  <c r="FP8" i="8"/>
  <c r="KC6" i="8"/>
  <c r="LQ6" i="8" s="1"/>
  <c r="JZ6" i="8"/>
  <c r="LN6" i="8" s="1"/>
  <c r="JW6" i="8"/>
  <c r="LK6" i="8" s="1"/>
  <c r="JT6" i="8"/>
  <c r="LH6" i="8" s="1"/>
  <c r="JQ6" i="8"/>
  <c r="LE6" i="8" s="1"/>
  <c r="JN6" i="8"/>
  <c r="LB6" i="8" s="1"/>
  <c r="JK6" i="8"/>
  <c r="KY6" i="8" s="1"/>
  <c r="JH6" i="8"/>
  <c r="KV6" i="8" s="1"/>
  <c r="JE6" i="8"/>
  <c r="KS6" i="8" s="1"/>
  <c r="JB6" i="8"/>
  <c r="KP6" i="8" s="1"/>
  <c r="IY6" i="8"/>
  <c r="KM6" i="8" s="1"/>
  <c r="MA6" i="8" s="1"/>
  <c r="IV6" i="8"/>
  <c r="KJ6" i="8" s="1"/>
  <c r="LX6" i="8" s="1"/>
  <c r="IR6" i="8"/>
  <c r="KF6" i="8" s="1"/>
  <c r="LT6" i="8" s="1"/>
  <c r="NH6" i="8" s="1"/>
  <c r="OV6" i="8" s="1"/>
  <c r="QJ6" i="8" s="1"/>
  <c r="RX6" i="8" s="1"/>
  <c r="TL6" i="8" s="1"/>
  <c r="VF5" i="8"/>
  <c r="VF6" i="8" s="1"/>
  <c r="HU47" i="7"/>
  <c r="FP47" i="7"/>
  <c r="FB47" i="7"/>
  <c r="EN47" i="7"/>
  <c r="DZ47" i="7"/>
  <c r="DL47" i="7"/>
  <c r="CX47" i="7"/>
  <c r="CJ47" i="7"/>
  <c r="DZ46" i="7"/>
  <c r="DL46" i="7"/>
  <c r="CX46" i="7"/>
  <c r="CJ46" i="7"/>
  <c r="BV46" i="7"/>
  <c r="EV45" i="7"/>
  <c r="EU45" i="7"/>
  <c r="ET45" i="7"/>
  <c r="ES45" i="7"/>
  <c r="ER45" i="7"/>
  <c r="EQ45" i="7"/>
  <c r="EP45" i="7"/>
  <c r="EN45" i="7"/>
  <c r="DZ45" i="7"/>
  <c r="DL45" i="7"/>
  <c r="CX45" i="7"/>
  <c r="CJ45" i="7"/>
  <c r="BV45" i="7"/>
  <c r="FP44" i="7"/>
  <c r="FB44" i="7"/>
  <c r="EN44" i="7"/>
  <c r="DZ44" i="7"/>
  <c r="DM44" i="7"/>
  <c r="DM41" i="7" s="1"/>
  <c r="DL44" i="7"/>
  <c r="CX44" i="7"/>
  <c r="CJ44" i="7"/>
  <c r="BV44" i="7"/>
  <c r="BH44" i="7"/>
  <c r="AT44" i="7"/>
  <c r="DZ43" i="7"/>
  <c r="DL43" i="7"/>
  <c r="CX43" i="7"/>
  <c r="CJ43" i="7"/>
  <c r="BV43" i="7"/>
  <c r="AT43" i="7"/>
  <c r="HU42" i="7"/>
  <c r="FP42" i="7"/>
  <c r="FB42" i="7"/>
  <c r="EN42" i="7"/>
  <c r="DZ42" i="7"/>
  <c r="DL42" i="7"/>
  <c r="CX42" i="7"/>
  <c r="CJ42" i="7"/>
  <c r="BV42" i="7"/>
  <c r="BH42" i="7"/>
  <c r="AT42" i="7"/>
  <c r="FP41" i="7"/>
  <c r="FB41" i="7"/>
  <c r="EN41" i="7"/>
  <c r="EA41" i="7"/>
  <c r="DZ41" i="7"/>
  <c r="DL41" i="7"/>
  <c r="CY41" i="7"/>
  <c r="CX41" i="7"/>
  <c r="CK41" i="7"/>
  <c r="CJ41" i="7"/>
  <c r="BW41" i="7"/>
  <c r="BJ41" i="7"/>
  <c r="BV41" i="7" s="1"/>
  <c r="BI41" i="7"/>
  <c r="BG41" i="7"/>
  <c r="BF41" i="7"/>
  <c r="BE41" i="7"/>
  <c r="BD41" i="7"/>
  <c r="BC41" i="7"/>
  <c r="BB41" i="7"/>
  <c r="BA41" i="7"/>
  <c r="AZ41" i="7"/>
  <c r="AY41" i="7"/>
  <c r="AX41" i="7"/>
  <c r="AW41" i="7"/>
  <c r="AV41" i="7"/>
  <c r="FP40" i="7"/>
  <c r="FB40" i="7"/>
  <c r="EN40" i="7"/>
  <c r="EA40" i="7"/>
  <c r="DZ40" i="7"/>
  <c r="DL40" i="7"/>
  <c r="CX40" i="7"/>
  <c r="CJ40" i="7"/>
  <c r="BW40" i="7"/>
  <c r="BV40" i="7"/>
  <c r="BH40" i="7"/>
  <c r="FP39" i="7"/>
  <c r="FB39" i="7"/>
  <c r="EN39" i="7"/>
  <c r="EA39" i="7"/>
  <c r="DZ39" i="7"/>
  <c r="DL39" i="7"/>
  <c r="CX39" i="7"/>
  <c r="CJ39" i="7"/>
  <c r="BW39" i="7"/>
  <c r="BV39" i="7"/>
  <c r="BH39" i="7"/>
  <c r="HV38" i="7"/>
  <c r="FP38" i="7"/>
  <c r="FC38" i="7"/>
  <c r="FC37" i="7" s="1"/>
  <c r="FB38" i="7"/>
  <c r="EN38" i="7"/>
  <c r="EA38" i="7"/>
  <c r="DZ38" i="7"/>
  <c r="DM38" i="7"/>
  <c r="DL38" i="7"/>
  <c r="CY38" i="7"/>
  <c r="CX38" i="7"/>
  <c r="CK38" i="7"/>
  <c r="CJ38" i="7"/>
  <c r="BJ38" i="7"/>
  <c r="BV38" i="7" s="1"/>
  <c r="BI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FP37" i="7"/>
  <c r="FB37" i="7"/>
  <c r="EO37" i="7"/>
  <c r="EN37" i="7"/>
  <c r="DZ37" i="7"/>
  <c r="DL37" i="7"/>
  <c r="CX37" i="7"/>
  <c r="CJ37" i="7"/>
  <c r="FP36" i="7"/>
  <c r="FB36" i="7"/>
  <c r="EN36" i="7"/>
  <c r="DZ36" i="7"/>
  <c r="DL36" i="7"/>
  <c r="CX36" i="7"/>
  <c r="CJ36" i="7"/>
  <c r="BV36" i="7"/>
  <c r="FP35" i="7"/>
  <c r="FB35" i="7"/>
  <c r="EN35" i="7"/>
  <c r="DZ35" i="7"/>
  <c r="DL35" i="7"/>
  <c r="CX35" i="7"/>
  <c r="CJ35" i="7"/>
  <c r="BV35" i="7"/>
  <c r="BH35" i="7"/>
  <c r="FP34" i="7"/>
  <c r="FC34" i="7"/>
  <c r="FC33" i="7" s="1"/>
  <c r="FB34" i="7"/>
  <c r="EN34" i="7"/>
  <c r="EA34" i="7"/>
  <c r="EA33" i="7" s="1"/>
  <c r="DZ34" i="7"/>
  <c r="DL34" i="7"/>
  <c r="CX34" i="7"/>
  <c r="CJ34" i="7"/>
  <c r="BW34" i="7"/>
  <c r="BW33" i="7" s="1"/>
  <c r="BV34" i="7"/>
  <c r="BH34" i="7"/>
  <c r="FP33" i="7"/>
  <c r="FB33" i="7"/>
  <c r="EN33" i="7"/>
  <c r="DZ33" i="7"/>
  <c r="DM33" i="7"/>
  <c r="DL33" i="7"/>
  <c r="CY33" i="7"/>
  <c r="CX33" i="7"/>
  <c r="CK33" i="7"/>
  <c r="CJ33" i="7"/>
  <c r="BJ33" i="7"/>
  <c r="BV33" i="7" s="1"/>
  <c r="BI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FP32" i="7"/>
  <c r="FC32" i="7"/>
  <c r="FB32" i="7"/>
  <c r="EN32" i="7"/>
  <c r="EA32" i="7"/>
  <c r="DZ32" i="7"/>
  <c r="DL32" i="7"/>
  <c r="CY32" i="7"/>
  <c r="CY29" i="7" s="1"/>
  <c r="CX32" i="7"/>
  <c r="CJ32" i="7"/>
  <c r="BV32" i="7"/>
  <c r="BH32" i="7"/>
  <c r="AT32" i="7"/>
  <c r="FP31" i="7"/>
  <c r="FC31" i="7"/>
  <c r="FB31" i="7"/>
  <c r="EN31" i="7"/>
  <c r="EA31" i="7"/>
  <c r="DZ31" i="7"/>
  <c r="DL31" i="7"/>
  <c r="CX31" i="7"/>
  <c r="CJ31" i="7"/>
  <c r="BV31" i="7"/>
  <c r="BH31" i="7"/>
  <c r="AT31" i="7"/>
  <c r="FP30" i="7"/>
  <c r="FC30" i="7"/>
  <c r="FB30" i="7"/>
  <c r="EN30" i="7"/>
  <c r="EA30" i="7"/>
  <c r="DZ30" i="7"/>
  <c r="DL30" i="7"/>
  <c r="CX30" i="7"/>
  <c r="CJ30" i="7"/>
  <c r="BV30" i="7"/>
  <c r="BH30" i="7"/>
  <c r="AT30" i="7"/>
  <c r="FP29" i="7"/>
  <c r="FB29" i="7"/>
  <c r="EO29" i="7"/>
  <c r="EN29" i="7"/>
  <c r="DZ29" i="7"/>
  <c r="DM29" i="7"/>
  <c r="DL29" i="7"/>
  <c r="CX29" i="7"/>
  <c r="CK29" i="7"/>
  <c r="CJ29" i="7"/>
  <c r="BW29" i="7"/>
  <c r="BJ29" i="7"/>
  <c r="BV29" i="7" s="1"/>
  <c r="BI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FP28" i="7"/>
  <c r="FB28" i="7"/>
  <c r="EN28" i="7"/>
  <c r="DZ28" i="7"/>
  <c r="DL28" i="7"/>
  <c r="CX28" i="7"/>
  <c r="CJ28" i="7"/>
  <c r="BV28" i="7"/>
  <c r="FP27" i="7"/>
  <c r="FB27" i="7"/>
  <c r="EN27" i="7"/>
  <c r="DZ27" i="7"/>
  <c r="DL27" i="7"/>
  <c r="CX27" i="7"/>
  <c r="CJ27" i="7"/>
  <c r="BV27" i="7"/>
  <c r="FP26" i="7"/>
  <c r="FC26" i="7"/>
  <c r="FC25" i="7" s="1"/>
  <c r="FB26" i="7"/>
  <c r="EN26" i="7"/>
  <c r="EA26" i="7"/>
  <c r="EA25" i="7" s="1"/>
  <c r="DZ26" i="7"/>
  <c r="DL26" i="7"/>
  <c r="CX26" i="7"/>
  <c r="CJ26" i="7"/>
  <c r="BV26" i="7"/>
  <c r="BH26" i="7"/>
  <c r="FP25" i="7"/>
  <c r="FB25" i="7"/>
  <c r="EO25" i="7"/>
  <c r="EN25" i="7"/>
  <c r="DZ25" i="7"/>
  <c r="DM25" i="7"/>
  <c r="DL25" i="7"/>
  <c r="CY25" i="7"/>
  <c r="CX25" i="7"/>
  <c r="CK25" i="7"/>
  <c r="CJ25" i="7"/>
  <c r="BW25" i="7"/>
  <c r="BJ25" i="7"/>
  <c r="BV25" i="7" s="1"/>
  <c r="BI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FP24" i="7"/>
  <c r="FB24" i="7"/>
  <c r="EN24" i="7"/>
  <c r="DZ24" i="7"/>
  <c r="DL24" i="7"/>
  <c r="CX24" i="7"/>
  <c r="CJ24" i="7"/>
  <c r="BV24" i="7"/>
  <c r="BH24" i="7"/>
  <c r="FP23" i="7"/>
  <c r="FC23" i="7"/>
  <c r="FB23" i="7"/>
  <c r="EN23" i="7"/>
  <c r="EA23" i="7"/>
  <c r="DZ23" i="7"/>
  <c r="DL23" i="7"/>
  <c r="CX23" i="7"/>
  <c r="CJ23" i="7"/>
  <c r="BW23" i="7"/>
  <c r="BV23" i="7"/>
  <c r="BH23" i="7"/>
  <c r="FP22" i="7"/>
  <c r="FB22" i="7"/>
  <c r="EN22" i="7"/>
  <c r="EA22" i="7"/>
  <c r="DZ22" i="7"/>
  <c r="DL22" i="7"/>
  <c r="CX22" i="7"/>
  <c r="CJ22" i="7"/>
  <c r="BV22" i="7"/>
  <c r="BH22" i="7"/>
  <c r="FP21" i="7"/>
  <c r="FB21" i="7"/>
  <c r="EN21" i="7"/>
  <c r="EA21" i="7"/>
  <c r="DZ21" i="7"/>
  <c r="DL21" i="7"/>
  <c r="CX21" i="7"/>
  <c r="CJ21" i="7"/>
  <c r="BW21" i="7"/>
  <c r="BV21" i="7"/>
  <c r="BH21" i="7"/>
  <c r="FP20" i="7"/>
  <c r="FC20" i="7"/>
  <c r="FB20" i="7"/>
  <c r="EN20" i="7"/>
  <c r="EA20" i="7"/>
  <c r="DZ20" i="7"/>
  <c r="DM20" i="7"/>
  <c r="DM19" i="7" s="1"/>
  <c r="DL20" i="7"/>
  <c r="CY20" i="7"/>
  <c r="CY19" i="7" s="1"/>
  <c r="CX20" i="7"/>
  <c r="CK20" i="7"/>
  <c r="CK19" i="7" s="1"/>
  <c r="CJ20" i="7"/>
  <c r="BW20" i="7"/>
  <c r="BJ20" i="7"/>
  <c r="BV20" i="7" s="1"/>
  <c r="BI20" i="7"/>
  <c r="BI19" i="7" s="1"/>
  <c r="BG20" i="7"/>
  <c r="BG19" i="7" s="1"/>
  <c r="BF20" i="7"/>
  <c r="BF19" i="7" s="1"/>
  <c r="BE20" i="7"/>
  <c r="BE19" i="7" s="1"/>
  <c r="BD20" i="7"/>
  <c r="BD19" i="7" s="1"/>
  <c r="BC20" i="7"/>
  <c r="BC19" i="7" s="1"/>
  <c r="BB20" i="7"/>
  <c r="BB19" i="7" s="1"/>
  <c r="BA20" i="7"/>
  <c r="BA19" i="7" s="1"/>
  <c r="AZ20" i="7"/>
  <c r="AZ19" i="7" s="1"/>
  <c r="AY20" i="7"/>
  <c r="AY19" i="7" s="1"/>
  <c r="AX20" i="7"/>
  <c r="AX19" i="7" s="1"/>
  <c r="AW20" i="7"/>
  <c r="AW19" i="7" s="1"/>
  <c r="AV20" i="7"/>
  <c r="AV19" i="7" s="1"/>
  <c r="FP19" i="7"/>
  <c r="FB19" i="7"/>
  <c r="EO19" i="7"/>
  <c r="EN19" i="7"/>
  <c r="DZ19" i="7"/>
  <c r="DL19" i="7"/>
  <c r="CX19" i="7"/>
  <c r="CJ19" i="7"/>
  <c r="FP18" i="7"/>
  <c r="FB18" i="7"/>
  <c r="EN18" i="7"/>
  <c r="DZ18" i="7"/>
  <c r="DL18" i="7"/>
  <c r="CX18" i="7"/>
  <c r="CJ18" i="7"/>
  <c r="FP17" i="7"/>
  <c r="FB17" i="7"/>
  <c r="EN17" i="7"/>
  <c r="DZ17" i="7"/>
  <c r="DL17" i="7"/>
  <c r="CX17" i="7"/>
  <c r="CJ17" i="7"/>
  <c r="DL16" i="7"/>
  <c r="CX16" i="7"/>
  <c r="CJ16" i="7"/>
  <c r="FP15" i="7"/>
  <c r="FB15" i="7"/>
  <c r="EN15" i="7"/>
  <c r="DZ15" i="7"/>
  <c r="DL15" i="7"/>
  <c r="CX15" i="7"/>
  <c r="CJ15" i="7"/>
  <c r="BV15" i="7"/>
  <c r="BH15" i="7"/>
  <c r="FP14" i="7"/>
  <c r="FB14" i="7"/>
  <c r="EN14" i="7"/>
  <c r="DZ14" i="7"/>
  <c r="DL14" i="7"/>
  <c r="CX14" i="7"/>
  <c r="CJ14" i="7"/>
  <c r="BV14" i="7"/>
  <c r="BH14" i="7"/>
  <c r="AT14" i="7"/>
  <c r="FP13" i="7"/>
  <c r="FB13" i="7"/>
  <c r="EN13" i="7"/>
  <c r="EA13" i="7"/>
  <c r="DZ13" i="7"/>
  <c r="DL13" i="7"/>
  <c r="CX13" i="7"/>
  <c r="CJ13" i="7"/>
  <c r="BV13" i="7"/>
  <c r="BH13" i="7"/>
  <c r="AT13" i="7"/>
  <c r="FP12" i="7"/>
  <c r="FB12" i="7"/>
  <c r="EN12" i="7"/>
  <c r="EA12" i="7"/>
  <c r="DZ12" i="7"/>
  <c r="DL12" i="7"/>
  <c r="CX12" i="7"/>
  <c r="CJ12" i="7"/>
  <c r="BV12" i="7"/>
  <c r="BH12" i="7"/>
  <c r="AT12" i="7"/>
  <c r="FP11" i="7"/>
  <c r="FC11" i="7"/>
  <c r="FC7" i="7" s="1"/>
  <c r="FB11" i="7"/>
  <c r="EO11" i="7"/>
  <c r="EO7" i="7" s="1"/>
  <c r="EN11" i="7"/>
  <c r="DZ11" i="7"/>
  <c r="DM11" i="7"/>
  <c r="DM7" i="7" s="1"/>
  <c r="DL11" i="7"/>
  <c r="CY11" i="7"/>
  <c r="CY7" i="7" s="1"/>
  <c r="CX11" i="7"/>
  <c r="CK11" i="7"/>
  <c r="CK7" i="7" s="1"/>
  <c r="CJ11" i="7"/>
  <c r="BW11" i="7"/>
  <c r="BW7" i="7" s="1"/>
  <c r="BJ11" i="7"/>
  <c r="BJ7" i="7" s="1"/>
  <c r="BI11" i="7"/>
  <c r="BI7" i="7" s="1"/>
  <c r="BG11" i="7"/>
  <c r="BG7" i="7" s="1"/>
  <c r="BF11" i="7"/>
  <c r="BF7" i="7" s="1"/>
  <c r="BE11" i="7"/>
  <c r="BE7" i="7" s="1"/>
  <c r="BD11" i="7"/>
  <c r="BD7" i="7" s="1"/>
  <c r="BC11" i="7"/>
  <c r="BC7" i="7" s="1"/>
  <c r="BB11" i="7"/>
  <c r="BB7" i="7" s="1"/>
  <c r="BA11" i="7"/>
  <c r="BA7" i="7" s="1"/>
  <c r="AZ11" i="7"/>
  <c r="AZ7" i="7" s="1"/>
  <c r="AY11" i="7"/>
  <c r="AY7" i="7" s="1"/>
  <c r="AX11" i="7"/>
  <c r="AX7" i="7" s="1"/>
  <c r="AW11" i="7"/>
  <c r="AW7" i="7" s="1"/>
  <c r="AV11" i="7"/>
  <c r="AV7" i="7" s="1"/>
  <c r="AS11" i="7"/>
  <c r="AR11" i="7"/>
  <c r="AQ11" i="7"/>
  <c r="AP11" i="7"/>
  <c r="AO11" i="7"/>
  <c r="AN11" i="7"/>
  <c r="AM11" i="7"/>
  <c r="AL11" i="7"/>
  <c r="AK11" i="7"/>
  <c r="AJ11" i="7"/>
  <c r="AI11" i="7"/>
  <c r="AH11" i="7"/>
  <c r="FP10" i="7"/>
  <c r="FB10" i="7"/>
  <c r="EN10" i="7"/>
  <c r="DZ10" i="7"/>
  <c r="DL10" i="7"/>
  <c r="CX10" i="7"/>
  <c r="CJ10" i="7"/>
  <c r="BV10" i="7"/>
  <c r="BH10" i="7"/>
  <c r="FP9" i="7"/>
  <c r="FB9" i="7"/>
  <c r="EN9" i="7"/>
  <c r="DZ9" i="7"/>
  <c r="DL9" i="7"/>
  <c r="CX9" i="7"/>
  <c r="CJ9" i="7"/>
  <c r="BV9" i="7"/>
  <c r="BH9" i="7"/>
  <c r="FP8" i="7"/>
  <c r="FB8" i="7"/>
  <c r="EN8" i="7"/>
  <c r="DZ8" i="7"/>
  <c r="DL8" i="7"/>
  <c r="CX8" i="7"/>
  <c r="CJ8" i="7"/>
  <c r="BV8" i="7"/>
  <c r="BH8" i="7"/>
  <c r="FP7" i="7"/>
  <c r="FB7" i="7"/>
  <c r="EN7" i="7"/>
  <c r="DZ7" i="7"/>
  <c r="DL7" i="7"/>
  <c r="CX7" i="7"/>
  <c r="CJ7" i="7"/>
  <c r="HS6" i="7"/>
  <c r="HT6" i="7" s="1"/>
  <c r="DY6" i="7"/>
  <c r="EM6" i="7" s="1"/>
  <c r="FA6" i="7" s="1"/>
  <c r="DX6" i="7"/>
  <c r="EL6" i="7" s="1"/>
  <c r="EZ6" i="7" s="1"/>
  <c r="DW6" i="7"/>
  <c r="EK6" i="7" s="1"/>
  <c r="EY6" i="7" s="1"/>
  <c r="DV6" i="7"/>
  <c r="EJ6" i="7" s="1"/>
  <c r="EX6" i="7" s="1"/>
  <c r="DU6" i="7"/>
  <c r="EI6" i="7" s="1"/>
  <c r="EW6" i="7" s="1"/>
  <c r="DT6" i="7"/>
  <c r="EH6" i="7" s="1"/>
  <c r="EV6" i="7" s="1"/>
  <c r="DS6" i="7"/>
  <c r="EG6" i="7" s="1"/>
  <c r="EU6" i="7" s="1"/>
  <c r="DR6" i="7"/>
  <c r="EF6" i="7" s="1"/>
  <c r="ET6" i="7" s="1"/>
  <c r="DQ6" i="7"/>
  <c r="EE6" i="7" s="1"/>
  <c r="ES6" i="7" s="1"/>
  <c r="DP6" i="7"/>
  <c r="ED6" i="7" s="1"/>
  <c r="ER6" i="7" s="1"/>
  <c r="DO6" i="7"/>
  <c r="EC6" i="7" s="1"/>
  <c r="EQ6" i="7" s="1"/>
  <c r="DN6" i="7"/>
  <c r="EB6" i="7" s="1"/>
  <c r="EP6" i="7" s="1"/>
  <c r="DL6" i="7"/>
  <c r="DZ6" i="7" s="1"/>
  <c r="EN6" i="7" s="1"/>
  <c r="FB6" i="7" s="1"/>
  <c r="FP6" i="7" s="1"/>
  <c r="GD6" i="7" s="1"/>
  <c r="GR6" i="7" s="1"/>
  <c r="HF6" i="7" s="1"/>
  <c r="HV5" i="7"/>
  <c r="HW42" i="6"/>
  <c r="FR42" i="6"/>
  <c r="FD42" i="6"/>
  <c r="EP42" i="6"/>
  <c r="EB42" i="6"/>
  <c r="DN42" i="6"/>
  <c r="CZ42" i="6"/>
  <c r="CL42" i="6"/>
  <c r="EB41" i="6"/>
  <c r="DN41" i="6"/>
  <c r="CZ41" i="6"/>
  <c r="CL41" i="6"/>
  <c r="BX41" i="6"/>
  <c r="FR40" i="6"/>
  <c r="FD40" i="6"/>
  <c r="EP40" i="6"/>
  <c r="EB40" i="6"/>
  <c r="DN40" i="6"/>
  <c r="CZ40" i="6"/>
  <c r="CL40" i="6"/>
  <c r="BX40" i="6"/>
  <c r="BJ40" i="6"/>
  <c r="FR39" i="6"/>
  <c r="FD39" i="6"/>
  <c r="EP39" i="6"/>
  <c r="EB39" i="6"/>
  <c r="DN39" i="6"/>
  <c r="CZ39" i="6"/>
  <c r="CL39" i="6"/>
  <c r="BX39" i="6"/>
  <c r="BJ39" i="6"/>
  <c r="FR38" i="6"/>
  <c r="FD38" i="6"/>
  <c r="EP38" i="6"/>
  <c r="EB38" i="6"/>
  <c r="DO38" i="6"/>
  <c r="DO37" i="6" s="1"/>
  <c r="DN38" i="6"/>
  <c r="DA38" i="6"/>
  <c r="DA37" i="6" s="1"/>
  <c r="CZ38" i="6"/>
  <c r="CM38" i="6"/>
  <c r="CM37" i="6" s="1"/>
  <c r="CL38" i="6"/>
  <c r="BY38" i="6"/>
  <c r="BY37" i="6" s="1"/>
  <c r="BL38" i="6"/>
  <c r="BX38" i="6" s="1"/>
  <c r="BK38" i="6"/>
  <c r="BK37" i="6" s="1"/>
  <c r="BI38" i="6"/>
  <c r="BI37" i="6" s="1"/>
  <c r="BH38" i="6"/>
  <c r="BH37" i="6" s="1"/>
  <c r="BG38" i="6"/>
  <c r="BG37" i="6" s="1"/>
  <c r="BF38" i="6"/>
  <c r="BF37" i="6" s="1"/>
  <c r="BE38" i="6"/>
  <c r="BE37" i="6" s="1"/>
  <c r="BD38" i="6"/>
  <c r="BD37" i="6" s="1"/>
  <c r="BC38" i="6"/>
  <c r="BC37" i="6" s="1"/>
  <c r="BB38" i="6"/>
  <c r="BB37" i="6" s="1"/>
  <c r="BA38" i="6"/>
  <c r="BA37" i="6" s="1"/>
  <c r="AZ38" i="6"/>
  <c r="AZ37" i="6" s="1"/>
  <c r="AY38" i="6"/>
  <c r="AY37" i="6" s="1"/>
  <c r="AX38" i="6"/>
  <c r="AX37" i="6" s="1"/>
  <c r="FR37" i="6"/>
  <c r="FE37" i="6"/>
  <c r="FD37" i="6"/>
  <c r="EQ37" i="6"/>
  <c r="EP37" i="6"/>
  <c r="EC37" i="6"/>
  <c r="EB37" i="6"/>
  <c r="DN37" i="6"/>
  <c r="CZ37" i="6"/>
  <c r="CL37" i="6"/>
  <c r="FR36" i="6"/>
  <c r="FD36" i="6"/>
  <c r="EP36" i="6"/>
  <c r="EB36" i="6"/>
  <c r="DN36" i="6"/>
  <c r="CZ36" i="6"/>
  <c r="CL36" i="6"/>
  <c r="BX36" i="6"/>
  <c r="BJ36" i="6"/>
  <c r="FR35" i="6"/>
  <c r="FD35" i="6"/>
  <c r="EP35" i="6"/>
  <c r="EB35" i="6"/>
  <c r="DN35" i="6"/>
  <c r="FR34" i="6"/>
  <c r="FD34" i="6"/>
  <c r="EP34" i="6"/>
  <c r="EB34" i="6"/>
  <c r="DN34" i="6"/>
  <c r="FR33" i="6"/>
  <c r="FE33" i="6"/>
  <c r="FD33" i="6"/>
  <c r="EQ33" i="6"/>
  <c r="EP33" i="6"/>
  <c r="EC33" i="6"/>
  <c r="EB33" i="6"/>
  <c r="DO33" i="6"/>
  <c r="DN33" i="6"/>
  <c r="DA33" i="6"/>
  <c r="DA30" i="6" s="1"/>
  <c r="CZ33" i="6"/>
  <c r="CL33" i="6"/>
  <c r="BX33" i="6"/>
  <c r="BJ33" i="6"/>
  <c r="FR32" i="6"/>
  <c r="FD32" i="6"/>
  <c r="EP32" i="6"/>
  <c r="EB32" i="6"/>
  <c r="DN32" i="6"/>
  <c r="FR31" i="6"/>
  <c r="FD31" i="6"/>
  <c r="EP31" i="6"/>
  <c r="EB31" i="6"/>
  <c r="DN31" i="6"/>
  <c r="CZ31" i="6"/>
  <c r="CL31" i="6"/>
  <c r="BX31" i="6"/>
  <c r="BJ31" i="6"/>
  <c r="FR30" i="6"/>
  <c r="FD30" i="6"/>
  <c r="EP30" i="6"/>
  <c r="EB30" i="6"/>
  <c r="DN30" i="6"/>
  <c r="CZ30" i="6"/>
  <c r="CM30" i="6"/>
  <c r="CL30" i="6"/>
  <c r="BY30" i="6"/>
  <c r="BL30" i="6"/>
  <c r="BX30" i="6" s="1"/>
  <c r="BK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FR29" i="6"/>
  <c r="FD29" i="6"/>
  <c r="EP29" i="6"/>
  <c r="EB29" i="6"/>
  <c r="DN29" i="6"/>
  <c r="CZ29" i="6"/>
  <c r="CL29" i="6"/>
  <c r="BX29" i="6"/>
  <c r="BJ29" i="6"/>
  <c r="FR28" i="6"/>
  <c r="FD28" i="6"/>
  <c r="EP28" i="6"/>
  <c r="EB28" i="6"/>
  <c r="DN28" i="6"/>
  <c r="CZ28" i="6"/>
  <c r="CL28" i="6"/>
  <c r="BX28" i="6"/>
  <c r="BJ28" i="6"/>
  <c r="FR27" i="6"/>
  <c r="FD27" i="6"/>
  <c r="EP27" i="6"/>
  <c r="EB27" i="6"/>
  <c r="DN27" i="6"/>
  <c r="CZ27" i="6"/>
  <c r="CL27" i="6"/>
  <c r="BX27" i="6"/>
  <c r="BJ27" i="6"/>
  <c r="FR26" i="6"/>
  <c r="FE26" i="6"/>
  <c r="FD26" i="6"/>
  <c r="EQ26" i="6"/>
  <c r="EP26" i="6"/>
  <c r="EC26" i="6"/>
  <c r="EB26" i="6"/>
  <c r="DO26" i="6"/>
  <c r="DN26" i="6"/>
  <c r="DA26" i="6"/>
  <c r="CZ26" i="6"/>
  <c r="CM26" i="6"/>
  <c r="CL26" i="6"/>
  <c r="BY26" i="6"/>
  <c r="BL26" i="6"/>
  <c r="BX26" i="6" s="1"/>
  <c r="BK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FR25" i="6"/>
  <c r="FD25" i="6"/>
  <c r="EP25" i="6"/>
  <c r="EB25" i="6"/>
  <c r="DN25" i="6"/>
  <c r="CZ25" i="6"/>
  <c r="CL25" i="6"/>
  <c r="BX25" i="6"/>
  <c r="FR24" i="6"/>
  <c r="FD24" i="6"/>
  <c r="EP24" i="6"/>
  <c r="EB24" i="6"/>
  <c r="DN24" i="6"/>
  <c r="CZ24" i="6"/>
  <c r="CL24" i="6"/>
  <c r="BX24" i="6"/>
  <c r="BJ24" i="6"/>
  <c r="FR23" i="6"/>
  <c r="FE23" i="6"/>
  <c r="FD23" i="6"/>
  <c r="EQ23" i="6"/>
  <c r="EP23" i="6"/>
  <c r="EC23" i="6"/>
  <c r="EB23" i="6"/>
  <c r="DO23" i="6"/>
  <c r="DN23" i="6"/>
  <c r="DA23" i="6"/>
  <c r="CZ23" i="6"/>
  <c r="CM23" i="6"/>
  <c r="CL23" i="6"/>
  <c r="BY23" i="6"/>
  <c r="BL23" i="6"/>
  <c r="BK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FR22" i="6"/>
  <c r="FD22" i="6"/>
  <c r="EP22" i="6"/>
  <c r="EB22" i="6"/>
  <c r="DN22" i="6"/>
  <c r="CZ22" i="6"/>
  <c r="CL22" i="6"/>
  <c r="BX22" i="6"/>
  <c r="FR21" i="6"/>
  <c r="FD21" i="6"/>
  <c r="EP21" i="6"/>
  <c r="EB21" i="6"/>
  <c r="DN21" i="6"/>
  <c r="CZ21" i="6"/>
  <c r="CL21" i="6"/>
  <c r="BX21" i="6"/>
  <c r="BJ21" i="6"/>
  <c r="FR20" i="6"/>
  <c r="FE20" i="6"/>
  <c r="FD20" i="6"/>
  <c r="EQ20" i="6"/>
  <c r="EP20" i="6"/>
  <c r="EC20" i="6"/>
  <c r="EB20" i="6"/>
  <c r="DN20" i="6"/>
  <c r="CZ20" i="6"/>
  <c r="CL20" i="6"/>
  <c r="BY20" i="6"/>
  <c r="BX20" i="6"/>
  <c r="BJ20" i="6"/>
  <c r="FR19" i="6"/>
  <c r="FD19" i="6"/>
  <c r="EP19" i="6"/>
  <c r="EB19" i="6"/>
  <c r="DN19" i="6"/>
  <c r="CZ19" i="6"/>
  <c r="CL19" i="6"/>
  <c r="BX19" i="6"/>
  <c r="BJ19" i="6"/>
  <c r="FR18" i="6"/>
  <c r="FD18" i="6"/>
  <c r="EP18" i="6"/>
  <c r="EB18" i="6"/>
  <c r="DO18" i="6"/>
  <c r="DO17" i="6" s="1"/>
  <c r="DN18" i="6"/>
  <c r="DA18" i="6"/>
  <c r="DA17" i="6" s="1"/>
  <c r="CZ18" i="6"/>
  <c r="CM18" i="6"/>
  <c r="CM17" i="6" s="1"/>
  <c r="CL18" i="6"/>
  <c r="BL18" i="6"/>
  <c r="BK18" i="6"/>
  <c r="BK17" i="6" s="1"/>
  <c r="BI18" i="6"/>
  <c r="BI17" i="6" s="1"/>
  <c r="BH18" i="6"/>
  <c r="BH17" i="6" s="1"/>
  <c r="BG18" i="6"/>
  <c r="BG17" i="6" s="1"/>
  <c r="BF18" i="6"/>
  <c r="BF17" i="6" s="1"/>
  <c r="BE18" i="6"/>
  <c r="BE17" i="6" s="1"/>
  <c r="BD18" i="6"/>
  <c r="BD17" i="6" s="1"/>
  <c r="BC18" i="6"/>
  <c r="BC17" i="6" s="1"/>
  <c r="BB18" i="6"/>
  <c r="BB17" i="6" s="1"/>
  <c r="BA18" i="6"/>
  <c r="BA17" i="6" s="1"/>
  <c r="AZ18" i="6"/>
  <c r="AZ17" i="6" s="1"/>
  <c r="AY18" i="6"/>
  <c r="AY17" i="6" s="1"/>
  <c r="AX18" i="6"/>
  <c r="AX17" i="6" s="1"/>
  <c r="FR17" i="6"/>
  <c r="FE17" i="6"/>
  <c r="FD17" i="6"/>
  <c r="EQ17" i="6"/>
  <c r="EP17" i="6"/>
  <c r="EC17" i="6"/>
  <c r="EB17" i="6"/>
  <c r="DN17" i="6"/>
  <c r="CZ17" i="6"/>
  <c r="CL17" i="6"/>
  <c r="BY17" i="6"/>
  <c r="FR16" i="6"/>
  <c r="FD16" i="6"/>
  <c r="EP16" i="6"/>
  <c r="EB16" i="6"/>
  <c r="DN16" i="6"/>
  <c r="CZ16" i="6"/>
  <c r="CL16" i="6"/>
  <c r="FR15" i="6"/>
  <c r="FD15" i="6"/>
  <c r="EP15" i="6"/>
  <c r="EB15" i="6"/>
  <c r="DN15" i="6"/>
  <c r="CZ15" i="6"/>
  <c r="CL15" i="6"/>
  <c r="DN14" i="6"/>
  <c r="CZ14" i="6"/>
  <c r="CL14" i="6"/>
  <c r="BX14" i="6"/>
  <c r="FR13" i="6"/>
  <c r="FD13" i="6"/>
  <c r="EP13" i="6"/>
  <c r="EB13" i="6"/>
  <c r="DN13" i="6"/>
  <c r="CZ13" i="6"/>
  <c r="CL13" i="6"/>
  <c r="BX13" i="6"/>
  <c r="FR12" i="6"/>
  <c r="FD12" i="6"/>
  <c r="EP12" i="6"/>
  <c r="EB12" i="6"/>
  <c r="DN12" i="6"/>
  <c r="CZ12" i="6"/>
  <c r="FR11" i="6"/>
  <c r="FD11" i="6"/>
  <c r="EP11" i="6"/>
  <c r="EB11" i="6"/>
  <c r="DN11" i="6"/>
  <c r="CZ11" i="6"/>
  <c r="CL11" i="6"/>
  <c r="BX11" i="6"/>
  <c r="BJ11" i="6"/>
  <c r="FR10" i="6"/>
  <c r="FD10" i="6"/>
  <c r="EP10" i="6"/>
  <c r="EB10" i="6"/>
  <c r="DN10" i="6"/>
  <c r="CZ10" i="6"/>
  <c r="CL10" i="6"/>
  <c r="BX10" i="6"/>
  <c r="BJ10" i="6"/>
  <c r="FR9" i="6"/>
  <c r="FD9" i="6"/>
  <c r="EP9" i="6"/>
  <c r="EB9" i="6"/>
  <c r="DN9" i="6"/>
  <c r="CZ9" i="6"/>
  <c r="CL9" i="6"/>
  <c r="BX9" i="6"/>
  <c r="BJ9" i="6"/>
  <c r="FR8" i="6"/>
  <c r="FD8" i="6"/>
  <c r="EP8" i="6"/>
  <c r="EB8" i="6"/>
  <c r="DN8" i="6"/>
  <c r="CZ8" i="6"/>
  <c r="CL8" i="6"/>
  <c r="BX8" i="6"/>
  <c r="BJ8" i="6"/>
  <c r="FR7" i="6"/>
  <c r="FE7" i="6"/>
  <c r="FD7" i="6"/>
  <c r="EQ7" i="6"/>
  <c r="EP7" i="6"/>
  <c r="EC7" i="6"/>
  <c r="EB7" i="6"/>
  <c r="DO7" i="6"/>
  <c r="DN7" i="6"/>
  <c r="DA7" i="6"/>
  <c r="CZ7" i="6"/>
  <c r="CM7" i="6"/>
  <c r="CL7" i="6"/>
  <c r="BY7" i="6"/>
  <c r="BL7" i="6"/>
  <c r="BX7" i="6" s="1"/>
  <c r="BK7" i="6"/>
  <c r="BI7" i="6"/>
  <c r="BH7" i="6"/>
  <c r="BG7" i="6"/>
  <c r="BF7" i="6"/>
  <c r="BE7" i="6"/>
  <c r="BD7" i="6"/>
  <c r="BC7" i="6"/>
  <c r="BB7" i="6"/>
  <c r="BA7" i="6"/>
  <c r="AZ7" i="6"/>
  <c r="AY7" i="6"/>
  <c r="AX7" i="6"/>
  <c r="HU6" i="6"/>
  <c r="HV6" i="6" s="1"/>
  <c r="FR6" i="6"/>
  <c r="FD6" i="6"/>
  <c r="EP6" i="6"/>
  <c r="EB6" i="6"/>
  <c r="EA6" i="6"/>
  <c r="DZ6" i="6"/>
  <c r="DY6" i="6"/>
  <c r="DX6" i="6"/>
  <c r="DW6" i="6"/>
  <c r="DV6" i="6"/>
  <c r="DU6" i="6"/>
  <c r="DT6" i="6"/>
  <c r="DS6" i="6"/>
  <c r="DR6" i="6"/>
  <c r="DQ6" i="6"/>
  <c r="DP6" i="6"/>
  <c r="DN6" i="6"/>
  <c r="HX5" i="6"/>
  <c r="EB5" i="6"/>
  <c r="DN5" i="6"/>
  <c r="WC73" i="5"/>
  <c r="PP73" i="5"/>
  <c r="PO73" i="5"/>
  <c r="OJ73" i="5"/>
  <c r="OD73" i="5"/>
  <c r="NZ73" i="5"/>
  <c r="NY73" i="5"/>
  <c r="NX73" i="5"/>
  <c r="MJ73" i="5"/>
  <c r="MI73" i="5"/>
  <c r="MH73" i="5"/>
  <c r="KT73" i="5"/>
  <c r="KS73" i="5"/>
  <c r="KR73" i="5"/>
  <c r="JD73" i="5"/>
  <c r="JC73" i="5"/>
  <c r="JB73" i="5"/>
  <c r="HN73" i="5"/>
  <c r="HM73" i="5"/>
  <c r="HL73" i="5"/>
  <c r="FX73" i="5"/>
  <c r="FW73" i="5"/>
  <c r="FV73" i="5"/>
  <c r="BC73" i="5"/>
  <c r="NZ72" i="5"/>
  <c r="NY72" i="5"/>
  <c r="NX72" i="5"/>
  <c r="MJ72" i="5"/>
  <c r="MI72" i="5"/>
  <c r="MH72" i="5"/>
  <c r="KT72" i="5"/>
  <c r="KS72" i="5"/>
  <c r="KR72" i="5"/>
  <c r="JD72" i="5"/>
  <c r="JC72" i="5"/>
  <c r="JB72" i="5"/>
  <c r="HN72" i="5"/>
  <c r="HM72" i="5"/>
  <c r="HL72" i="5"/>
  <c r="FX72" i="5"/>
  <c r="FW72" i="5"/>
  <c r="FV72" i="5"/>
  <c r="EH72" i="5"/>
  <c r="EG72" i="5"/>
  <c r="EF72" i="5"/>
  <c r="PP71" i="5"/>
  <c r="PO71" i="5"/>
  <c r="OJ71" i="5"/>
  <c r="OA71" i="5"/>
  <c r="NZ71" i="5"/>
  <c r="NY71" i="5"/>
  <c r="NX71" i="5"/>
  <c r="MK71" i="5"/>
  <c r="MJ71" i="5"/>
  <c r="MI71" i="5"/>
  <c r="MH71" i="5"/>
  <c r="KU71" i="5"/>
  <c r="KT71" i="5"/>
  <c r="KS71" i="5"/>
  <c r="KR71" i="5"/>
  <c r="JE71" i="5"/>
  <c r="JD71" i="5"/>
  <c r="JC71" i="5"/>
  <c r="JB71" i="5"/>
  <c r="HO71" i="5"/>
  <c r="HN71" i="5"/>
  <c r="HM71" i="5"/>
  <c r="HL71" i="5"/>
  <c r="FX71" i="5"/>
  <c r="FW71" i="5"/>
  <c r="FV71" i="5"/>
  <c r="EG71" i="5"/>
  <c r="EF71" i="5"/>
  <c r="CX71" i="5"/>
  <c r="EH71" i="5" s="1"/>
  <c r="CR71" i="5"/>
  <c r="CQ71" i="5"/>
  <c r="CP71" i="5"/>
  <c r="PP70" i="5"/>
  <c r="PO70" i="5"/>
  <c r="OJ70" i="5"/>
  <c r="OC70" i="5"/>
  <c r="DK68" i="4" s="1"/>
  <c r="NZ70" i="5"/>
  <c r="NY70" i="5"/>
  <c r="NX70" i="5"/>
  <c r="MM70" i="5"/>
  <c r="MJ70" i="5"/>
  <c r="MI70" i="5"/>
  <c r="MH70" i="5"/>
  <c r="KW70" i="5"/>
  <c r="KT70" i="5"/>
  <c r="KS70" i="5"/>
  <c r="KR70" i="5"/>
  <c r="JG70" i="5"/>
  <c r="JE70" i="5" s="1"/>
  <c r="JD70" i="5"/>
  <c r="JC70" i="5"/>
  <c r="JB70" i="5"/>
  <c r="HO70" i="5"/>
  <c r="HN70" i="5"/>
  <c r="HM70" i="5"/>
  <c r="HL70" i="5"/>
  <c r="FY70" i="5"/>
  <c r="FX70" i="5"/>
  <c r="FW70" i="5"/>
  <c r="FV70" i="5"/>
  <c r="EK70" i="5"/>
  <c r="EG70" i="5"/>
  <c r="EF70" i="5"/>
  <c r="CX70" i="5"/>
  <c r="EH70" i="5" s="1"/>
  <c r="CS70" i="5"/>
  <c r="CQ70" i="5"/>
  <c r="CP70" i="5"/>
  <c r="CO70" i="5"/>
  <c r="CL70" i="5"/>
  <c r="CI70" i="5"/>
  <c r="CF70" i="5"/>
  <c r="CC70" i="5"/>
  <c r="BZ70" i="5"/>
  <c r="BW70" i="5"/>
  <c r="BT70" i="5"/>
  <c r="BQ70" i="5"/>
  <c r="BN70" i="5"/>
  <c r="BK70" i="5"/>
  <c r="BH70" i="5"/>
  <c r="BC70" i="5"/>
  <c r="AL70" i="5"/>
  <c r="PP69" i="5"/>
  <c r="PO69" i="5"/>
  <c r="OJ69" i="5"/>
  <c r="OC69" i="5"/>
  <c r="DK67" i="4" s="1"/>
  <c r="NZ69" i="5"/>
  <c r="NY69" i="5"/>
  <c r="NX69" i="5"/>
  <c r="MM69" i="5"/>
  <c r="MJ69" i="5"/>
  <c r="MI69" i="5"/>
  <c r="MH69" i="5"/>
  <c r="KW69" i="5"/>
  <c r="CI67" i="4" s="1"/>
  <c r="KT69" i="5"/>
  <c r="KS69" i="5"/>
  <c r="KR69" i="5"/>
  <c r="JG69" i="5"/>
  <c r="JD69" i="5"/>
  <c r="JC69" i="5"/>
  <c r="JB69" i="5"/>
  <c r="HO69" i="5"/>
  <c r="HN69" i="5"/>
  <c r="HM69" i="5"/>
  <c r="HL69" i="5"/>
  <c r="FY69" i="5"/>
  <c r="FX69" i="5"/>
  <c r="FW69" i="5"/>
  <c r="FV69" i="5"/>
  <c r="EK69" i="5"/>
  <c r="EI69" i="5" s="1"/>
  <c r="EG69" i="5"/>
  <c r="EF69" i="5"/>
  <c r="CX69" i="5"/>
  <c r="EH69" i="5" s="1"/>
  <c r="CU69" i="5"/>
  <c r="CQ69" i="5"/>
  <c r="CP69" i="5"/>
  <c r="CO69" i="5"/>
  <c r="CL69" i="5"/>
  <c r="CI69" i="5"/>
  <c r="CF69" i="5"/>
  <c r="CC69" i="5"/>
  <c r="BZ69" i="5"/>
  <c r="BW69" i="5"/>
  <c r="BT69" i="5"/>
  <c r="BQ69" i="5"/>
  <c r="BN69" i="5"/>
  <c r="BK69" i="5"/>
  <c r="BH69" i="5"/>
  <c r="BC69" i="5"/>
  <c r="AL69" i="5"/>
  <c r="PP68" i="5"/>
  <c r="PO68" i="5"/>
  <c r="OJ68" i="5"/>
  <c r="OA68" i="5"/>
  <c r="NZ68" i="5"/>
  <c r="NY68" i="5"/>
  <c r="NX68" i="5"/>
  <c r="MK68" i="5"/>
  <c r="MJ68" i="5"/>
  <c r="MI68" i="5"/>
  <c r="MH68" i="5"/>
  <c r="KU68" i="5"/>
  <c r="KT68" i="5"/>
  <c r="KS68" i="5"/>
  <c r="KR68" i="5"/>
  <c r="JE68" i="5"/>
  <c r="JD68" i="5"/>
  <c r="JC68" i="5"/>
  <c r="JB68" i="5"/>
  <c r="HO68" i="5"/>
  <c r="HN68" i="5"/>
  <c r="HM68" i="5"/>
  <c r="HL68" i="5"/>
  <c r="FY68" i="5"/>
  <c r="FX68" i="5"/>
  <c r="FW68" i="5"/>
  <c r="FV68" i="5"/>
  <c r="EI68" i="5"/>
  <c r="EG68" i="5"/>
  <c r="EF68" i="5"/>
  <c r="CX68" i="5"/>
  <c r="EH68" i="5" s="1"/>
  <c r="CS68" i="5"/>
  <c r="CQ68" i="5"/>
  <c r="CP68" i="5"/>
  <c r="CO68" i="5"/>
  <c r="CL68" i="5"/>
  <c r="CI68" i="5"/>
  <c r="CF68" i="5"/>
  <c r="CC68" i="5"/>
  <c r="BZ68" i="5"/>
  <c r="BW68" i="5"/>
  <c r="BT68" i="5"/>
  <c r="BQ68" i="5"/>
  <c r="BN68" i="5"/>
  <c r="BK68" i="5"/>
  <c r="BH68" i="5"/>
  <c r="PP67" i="5"/>
  <c r="PO67" i="5"/>
  <c r="OJ67" i="5"/>
  <c r="OB67" i="5"/>
  <c r="OB62" i="5" s="1"/>
  <c r="NZ67" i="5"/>
  <c r="NY67" i="5"/>
  <c r="NX67" i="5"/>
  <c r="ML67" i="5"/>
  <c r="ML62" i="5" s="1"/>
  <c r="MJ67" i="5"/>
  <c r="MI67" i="5"/>
  <c r="MH67" i="5"/>
  <c r="KV67" i="5"/>
  <c r="KV62" i="5" s="1"/>
  <c r="KT67" i="5"/>
  <c r="KS67" i="5"/>
  <c r="KR67" i="5"/>
  <c r="JD67" i="5"/>
  <c r="JC67" i="5"/>
  <c r="JB67" i="5"/>
  <c r="HQ67" i="5"/>
  <c r="HO67" i="5" s="1"/>
  <c r="HN67" i="5"/>
  <c r="HM67" i="5"/>
  <c r="HL67" i="5"/>
  <c r="GA67" i="5"/>
  <c r="FX67" i="5"/>
  <c r="FW67" i="5"/>
  <c r="FV67" i="5"/>
  <c r="EJ67" i="5"/>
  <c r="EJ62" i="5" s="1"/>
  <c r="CW67" i="5"/>
  <c r="CV67" i="5"/>
  <c r="CT67" i="5"/>
  <c r="CN67" i="5"/>
  <c r="CM67" i="5"/>
  <c r="CK67" i="5"/>
  <c r="CJ67" i="5"/>
  <c r="CH67" i="5"/>
  <c r="CG67" i="5"/>
  <c r="CE67" i="5"/>
  <c r="CD67" i="5"/>
  <c r="CB67" i="5"/>
  <c r="CB62" i="5" s="1"/>
  <c r="CA67" i="5"/>
  <c r="CA62" i="5" s="1"/>
  <c r="BY67" i="5"/>
  <c r="BY62" i="5" s="1"/>
  <c r="BX67" i="5"/>
  <c r="BX62" i="5" s="1"/>
  <c r="BV67" i="5"/>
  <c r="BV62" i="5" s="1"/>
  <c r="BU67" i="5"/>
  <c r="BU62" i="5" s="1"/>
  <c r="BS67" i="5"/>
  <c r="BS62" i="5" s="1"/>
  <c r="BR67" i="5"/>
  <c r="BR62" i="5" s="1"/>
  <c r="BP67" i="5"/>
  <c r="BP62" i="5" s="1"/>
  <c r="BO67" i="5"/>
  <c r="BO62" i="5" s="1"/>
  <c r="BM67" i="5"/>
  <c r="BM62" i="5" s="1"/>
  <c r="BJ67" i="5"/>
  <c r="BJ62" i="5" s="1"/>
  <c r="BG67" i="5"/>
  <c r="BF67" i="5"/>
  <c r="BF62" i="5" s="1"/>
  <c r="BC67" i="5"/>
  <c r="OA66" i="5"/>
  <c r="NZ66" i="5"/>
  <c r="NY66" i="5"/>
  <c r="NX66" i="5"/>
  <c r="MK66" i="5"/>
  <c r="MJ66" i="5"/>
  <c r="MI66" i="5"/>
  <c r="MH66" i="5"/>
  <c r="KU66" i="5"/>
  <c r="KT66" i="5"/>
  <c r="KS66" i="5"/>
  <c r="KR66" i="5"/>
  <c r="JE66" i="5"/>
  <c r="JD66" i="5"/>
  <c r="JC66" i="5"/>
  <c r="JB66" i="5"/>
  <c r="HO66" i="5"/>
  <c r="FX66" i="5"/>
  <c r="PP65" i="5"/>
  <c r="PO65" i="5"/>
  <c r="OJ65" i="5"/>
  <c r="OA65" i="5"/>
  <c r="NZ65" i="5"/>
  <c r="NY65" i="5"/>
  <c r="NX65" i="5"/>
  <c r="MK65" i="5"/>
  <c r="MJ65" i="5"/>
  <c r="MI65" i="5"/>
  <c r="MH65" i="5"/>
  <c r="KU65" i="5"/>
  <c r="KT65" i="5"/>
  <c r="KS65" i="5"/>
  <c r="KR65" i="5"/>
  <c r="JE65" i="5"/>
  <c r="JD65" i="5"/>
  <c r="JC65" i="5"/>
  <c r="JB65" i="5"/>
  <c r="HO65" i="5"/>
  <c r="HN65" i="5"/>
  <c r="HM65" i="5"/>
  <c r="HL65" i="5"/>
  <c r="FY65" i="5"/>
  <c r="FX65" i="5"/>
  <c r="FW65" i="5"/>
  <c r="FV65" i="5"/>
  <c r="EI65" i="5"/>
  <c r="EG65" i="5"/>
  <c r="EF65" i="5"/>
  <c r="CX65" i="5"/>
  <c r="EH65" i="5" s="1"/>
  <c r="CS65" i="5"/>
  <c r="CQ65" i="5"/>
  <c r="CP65" i="5"/>
  <c r="CO65" i="5"/>
  <c r="CL65" i="5"/>
  <c r="CI65" i="5"/>
  <c r="CF65" i="5"/>
  <c r="BC65" i="5"/>
  <c r="PP64" i="5"/>
  <c r="PO64" i="5"/>
  <c r="OJ64" i="5"/>
  <c r="OA64" i="5"/>
  <c r="NZ64" i="5"/>
  <c r="NY64" i="5"/>
  <c r="NX64" i="5"/>
  <c r="MK64" i="5"/>
  <c r="MJ64" i="5"/>
  <c r="MI64" i="5"/>
  <c r="MH64" i="5"/>
  <c r="KU64" i="5"/>
  <c r="KT64" i="5"/>
  <c r="KS64" i="5"/>
  <c r="KR64" i="5"/>
  <c r="JF64" i="5"/>
  <c r="JE64" i="5" s="1"/>
  <c r="JD64" i="5"/>
  <c r="JC64" i="5"/>
  <c r="JB64" i="5"/>
  <c r="HP64" i="5"/>
  <c r="HO64" i="5" s="1"/>
  <c r="HN64" i="5"/>
  <c r="HM64" i="5"/>
  <c r="HL64" i="5"/>
  <c r="FZ64" i="5"/>
  <c r="FY64" i="5" s="1"/>
  <c r="FX64" i="5"/>
  <c r="FW64" i="5"/>
  <c r="FV64" i="5"/>
  <c r="EI64" i="5"/>
  <c r="EG64" i="5"/>
  <c r="EF64" i="5"/>
  <c r="CX64" i="5"/>
  <c r="CS64" i="5"/>
  <c r="CQ64" i="5"/>
  <c r="CP64" i="5"/>
  <c r="CO64" i="5"/>
  <c r="CL64" i="5"/>
  <c r="CI64" i="5"/>
  <c r="CF64" i="5"/>
  <c r="BC64" i="5"/>
  <c r="PP63" i="5"/>
  <c r="PO63" i="5"/>
  <c r="OJ63" i="5"/>
  <c r="OC63" i="5"/>
  <c r="DK62" i="4" s="1"/>
  <c r="NZ63" i="5"/>
  <c r="NY63" i="5"/>
  <c r="NX63" i="5"/>
  <c r="MM63" i="5"/>
  <c r="CW62" i="4" s="1"/>
  <c r="MJ63" i="5"/>
  <c r="MI63" i="5"/>
  <c r="MH63" i="5"/>
  <c r="KW63" i="5"/>
  <c r="KT63" i="5"/>
  <c r="KS63" i="5"/>
  <c r="KR63" i="5"/>
  <c r="JG63" i="5"/>
  <c r="JE63" i="5" s="1"/>
  <c r="JD63" i="5"/>
  <c r="JC63" i="5"/>
  <c r="JB63" i="5"/>
  <c r="HQ63" i="5"/>
  <c r="HN63" i="5"/>
  <c r="HM63" i="5"/>
  <c r="HL63" i="5"/>
  <c r="GA63" i="5"/>
  <c r="FY63" i="5" s="1"/>
  <c r="FX63" i="5"/>
  <c r="FW63" i="5"/>
  <c r="FV63" i="5"/>
  <c r="EK63" i="5"/>
  <c r="EI63" i="5" s="1"/>
  <c r="CW63" i="5"/>
  <c r="EG63" i="5" s="1"/>
  <c r="CV63" i="5"/>
  <c r="EF63" i="5" s="1"/>
  <c r="CU63" i="5"/>
  <c r="CT63" i="5"/>
  <c r="CN63" i="5"/>
  <c r="CM63" i="5"/>
  <c r="CK63" i="5"/>
  <c r="CJ63" i="5"/>
  <c r="CH63" i="5"/>
  <c r="CG63" i="5"/>
  <c r="CE63" i="5"/>
  <c r="CD63" i="5"/>
  <c r="CC63" i="5"/>
  <c r="BZ63" i="5"/>
  <c r="BW63" i="5"/>
  <c r="BT63" i="5"/>
  <c r="BQ63" i="5"/>
  <c r="BN63" i="5"/>
  <c r="BK63" i="5"/>
  <c r="BH63" i="5"/>
  <c r="BC63" i="5"/>
  <c r="PP62" i="5"/>
  <c r="PO62" i="5"/>
  <c r="OJ62" i="5"/>
  <c r="NZ62" i="5"/>
  <c r="NY62" i="5"/>
  <c r="NX62" i="5"/>
  <c r="MJ62" i="5"/>
  <c r="MI62" i="5"/>
  <c r="MH62" i="5"/>
  <c r="KT62" i="5"/>
  <c r="KS62" i="5"/>
  <c r="KR62" i="5"/>
  <c r="JF62" i="5"/>
  <c r="JD62" i="5"/>
  <c r="JC62" i="5"/>
  <c r="JB62" i="5"/>
  <c r="HP62" i="5"/>
  <c r="HN62" i="5"/>
  <c r="HM62" i="5"/>
  <c r="HL62" i="5"/>
  <c r="FZ62" i="5"/>
  <c r="FX62" i="5"/>
  <c r="FW62" i="5"/>
  <c r="FV62" i="5"/>
  <c r="BL62" i="5"/>
  <c r="BI62" i="5"/>
  <c r="BC62" i="5"/>
  <c r="PP61" i="5"/>
  <c r="PO61" i="5"/>
  <c r="OJ61" i="5"/>
  <c r="OA61" i="5"/>
  <c r="NZ61" i="5"/>
  <c r="NY61" i="5"/>
  <c r="NX61" i="5"/>
  <c r="MK61" i="5"/>
  <c r="MJ61" i="5"/>
  <c r="MI61" i="5"/>
  <c r="MH61" i="5"/>
  <c r="KU61" i="5"/>
  <c r="KT61" i="5"/>
  <c r="KS61" i="5"/>
  <c r="KR61" i="5"/>
  <c r="JE61" i="5"/>
  <c r="JD61" i="5"/>
  <c r="JC61" i="5"/>
  <c r="JB61" i="5"/>
  <c r="HO61" i="5"/>
  <c r="HN61" i="5"/>
  <c r="HM61" i="5"/>
  <c r="HL61" i="5"/>
  <c r="FY61" i="5"/>
  <c r="FX61" i="5"/>
  <c r="FW61" i="5"/>
  <c r="FV61" i="5"/>
  <c r="EI61" i="5"/>
  <c r="EG61" i="5"/>
  <c r="EF61" i="5"/>
  <c r="CX61" i="5"/>
  <c r="EH61" i="5" s="1"/>
  <c r="CS61" i="5"/>
  <c r="CQ61" i="5"/>
  <c r="CP61" i="5"/>
  <c r="CO61" i="5"/>
  <c r="CL61" i="5"/>
  <c r="CI61" i="5"/>
  <c r="CF61" i="5"/>
  <c r="CC61" i="5"/>
  <c r="BZ61" i="5"/>
  <c r="BW61" i="5"/>
  <c r="BT61" i="5"/>
  <c r="BQ61" i="5"/>
  <c r="BN61" i="5"/>
  <c r="BK61" i="5"/>
  <c r="BH61" i="5"/>
  <c r="BC61" i="5"/>
  <c r="PP60" i="5"/>
  <c r="PO60" i="5"/>
  <c r="OJ60" i="5"/>
  <c r="OA60" i="5"/>
  <c r="NZ60" i="5"/>
  <c r="NY60" i="5"/>
  <c r="NX60" i="5"/>
  <c r="MK60" i="5"/>
  <c r="MJ60" i="5"/>
  <c r="MI60" i="5"/>
  <c r="MH60" i="5"/>
  <c r="KU60" i="5"/>
  <c r="KT60" i="5"/>
  <c r="KS60" i="5"/>
  <c r="KR60" i="5"/>
  <c r="JE60" i="5"/>
  <c r="JD60" i="5"/>
  <c r="JC60" i="5"/>
  <c r="JB60" i="5"/>
  <c r="HO60" i="5"/>
  <c r="HN60" i="5"/>
  <c r="HM60" i="5"/>
  <c r="HL60" i="5"/>
  <c r="FY60" i="5"/>
  <c r="FX60" i="5"/>
  <c r="FW60" i="5"/>
  <c r="FV60" i="5"/>
  <c r="EI60" i="5"/>
  <c r="EG60" i="5"/>
  <c r="EF60" i="5"/>
  <c r="CX60" i="5"/>
  <c r="EH60" i="5" s="1"/>
  <c r="CS60" i="5"/>
  <c r="CQ60" i="5"/>
  <c r="CP60" i="5"/>
  <c r="CO60" i="5"/>
  <c r="CL60" i="5"/>
  <c r="CI60" i="5"/>
  <c r="CF60" i="5"/>
  <c r="CC60" i="5"/>
  <c r="BZ60" i="5"/>
  <c r="BW60" i="5"/>
  <c r="BT60" i="5"/>
  <c r="BQ60" i="5"/>
  <c r="BN60" i="5"/>
  <c r="BK60" i="5"/>
  <c r="BH60" i="5"/>
  <c r="BC60" i="5"/>
  <c r="PP59" i="5"/>
  <c r="PO59" i="5"/>
  <c r="OJ59" i="5"/>
  <c r="OC59" i="5"/>
  <c r="OB59" i="5"/>
  <c r="NZ59" i="5"/>
  <c r="NY59" i="5"/>
  <c r="NX59" i="5"/>
  <c r="MM59" i="5"/>
  <c r="ML59" i="5"/>
  <c r="MJ59" i="5"/>
  <c r="MI59" i="5"/>
  <c r="MH59" i="5"/>
  <c r="KW59" i="5"/>
  <c r="KV59" i="5"/>
  <c r="KT59" i="5"/>
  <c r="KS59" i="5"/>
  <c r="KR59" i="5"/>
  <c r="JG59" i="5"/>
  <c r="JE59" i="5" s="1"/>
  <c r="JD59" i="5"/>
  <c r="JC59" i="5"/>
  <c r="JB59" i="5"/>
  <c r="HQ59" i="5"/>
  <c r="HO59" i="5" s="1"/>
  <c r="HN59" i="5"/>
  <c r="HM59" i="5"/>
  <c r="HL59" i="5"/>
  <c r="GA59" i="5"/>
  <c r="FY59" i="5" s="1"/>
  <c r="FX59" i="5"/>
  <c r="FW59" i="5"/>
  <c r="FV59" i="5"/>
  <c r="EI59" i="5"/>
  <c r="EG59" i="5"/>
  <c r="EF59" i="5"/>
  <c r="CX59" i="5"/>
  <c r="EH59" i="5" s="1"/>
  <c r="CS59" i="5"/>
  <c r="CQ59" i="5"/>
  <c r="CP59" i="5"/>
  <c r="CO59" i="5"/>
  <c r="CL59" i="5"/>
  <c r="CI59" i="5"/>
  <c r="CF59" i="5"/>
  <c r="CC59" i="5"/>
  <c r="BZ59" i="5"/>
  <c r="BW59" i="5"/>
  <c r="BT59" i="5"/>
  <c r="BQ59" i="5"/>
  <c r="BN59" i="5"/>
  <c r="BK59" i="5"/>
  <c r="BH59" i="5"/>
  <c r="BC59" i="5"/>
  <c r="AZ59" i="5"/>
  <c r="PP58" i="5"/>
  <c r="PO58" i="5"/>
  <c r="OJ58" i="5"/>
  <c r="OA58" i="5"/>
  <c r="NZ58" i="5"/>
  <c r="NY58" i="5"/>
  <c r="NX58" i="5"/>
  <c r="MK58" i="5"/>
  <c r="MJ58" i="5"/>
  <c r="MI58" i="5"/>
  <c r="MH58" i="5"/>
  <c r="KU58" i="5"/>
  <c r="KT58" i="5"/>
  <c r="KS58" i="5"/>
  <c r="KR58" i="5"/>
  <c r="JE58" i="5"/>
  <c r="JD58" i="5"/>
  <c r="JC58" i="5"/>
  <c r="JB58" i="5"/>
  <c r="HO58" i="5"/>
  <c r="HN58" i="5"/>
  <c r="HM58" i="5"/>
  <c r="HL58" i="5"/>
  <c r="FY58" i="5"/>
  <c r="FX58" i="5"/>
  <c r="FW58" i="5"/>
  <c r="FV58" i="5"/>
  <c r="EI58" i="5"/>
  <c r="EG58" i="5"/>
  <c r="EF58" i="5"/>
  <c r="CX58" i="5"/>
  <c r="CS58" i="5"/>
  <c r="CQ58" i="5"/>
  <c r="CP58" i="5"/>
  <c r="CO58" i="5"/>
  <c r="CL58" i="5"/>
  <c r="CI58" i="5"/>
  <c r="CF58" i="5"/>
  <c r="CC58" i="5"/>
  <c r="BZ58" i="5"/>
  <c r="BW58" i="5"/>
  <c r="BT58" i="5"/>
  <c r="BQ58" i="5"/>
  <c r="BN58" i="5"/>
  <c r="BK58" i="5"/>
  <c r="BH58" i="5"/>
  <c r="BC58" i="5"/>
  <c r="AZ58" i="5"/>
  <c r="PP57" i="5"/>
  <c r="PO57" i="5"/>
  <c r="OJ57" i="5"/>
  <c r="OA57" i="5"/>
  <c r="NZ57" i="5"/>
  <c r="NY57" i="5"/>
  <c r="NX57" i="5"/>
  <c r="MK57" i="5"/>
  <c r="MJ57" i="5"/>
  <c r="MI57" i="5"/>
  <c r="MH57" i="5"/>
  <c r="KU57" i="5"/>
  <c r="KT57" i="5"/>
  <c r="KS57" i="5"/>
  <c r="KR57" i="5"/>
  <c r="JF57" i="5"/>
  <c r="JE57" i="5" s="1"/>
  <c r="JD57" i="5"/>
  <c r="JC57" i="5"/>
  <c r="JB57" i="5"/>
  <c r="HP57" i="5"/>
  <c r="HO57" i="5" s="1"/>
  <c r="HN57" i="5"/>
  <c r="HM57" i="5"/>
  <c r="HL57" i="5"/>
  <c r="FZ57" i="5"/>
  <c r="FY57" i="5" s="1"/>
  <c r="FX57" i="5"/>
  <c r="FW57" i="5"/>
  <c r="FV57" i="5"/>
  <c r="EK57" i="5"/>
  <c r="EJ57" i="5"/>
  <c r="CW57" i="5"/>
  <c r="EG57" i="5" s="1"/>
  <c r="CV57" i="5"/>
  <c r="EF57" i="5" s="1"/>
  <c r="CU57" i="5"/>
  <c r="CT57" i="5"/>
  <c r="CN57" i="5"/>
  <c r="CM57" i="5"/>
  <c r="CK57" i="5"/>
  <c r="CJ57" i="5"/>
  <c r="CH57" i="5"/>
  <c r="CG57" i="5"/>
  <c r="CE57" i="5"/>
  <c r="CD57" i="5"/>
  <c r="CB57" i="5"/>
  <c r="CA57" i="5"/>
  <c r="BY57" i="5"/>
  <c r="BX57" i="5"/>
  <c r="BV57" i="5"/>
  <c r="BU57" i="5"/>
  <c r="BS57" i="5"/>
  <c r="BR57" i="5"/>
  <c r="BP57" i="5"/>
  <c r="BO57" i="5"/>
  <c r="BM57" i="5"/>
  <c r="BL57" i="5"/>
  <c r="BJ57" i="5"/>
  <c r="BI57" i="5"/>
  <c r="BC57" i="5"/>
  <c r="PP56" i="5"/>
  <c r="PO56" i="5"/>
  <c r="OJ56" i="5"/>
  <c r="OB56" i="5"/>
  <c r="NZ56" i="5"/>
  <c r="NY56" i="5"/>
  <c r="NX56" i="5"/>
  <c r="MM56" i="5"/>
  <c r="CW55" i="4" s="1"/>
  <c r="ML56" i="5"/>
  <c r="ML53" i="5" s="1"/>
  <c r="ML41" i="5" s="1"/>
  <c r="MJ56" i="5"/>
  <c r="MI56" i="5"/>
  <c r="MH56" i="5"/>
  <c r="KW56" i="5"/>
  <c r="CI55" i="4" s="1"/>
  <c r="KV56" i="5"/>
  <c r="KT56" i="5"/>
  <c r="KS56" i="5"/>
  <c r="KR56" i="5"/>
  <c r="JG56" i="5"/>
  <c r="JE56" i="5" s="1"/>
  <c r="JD56" i="5"/>
  <c r="JC56" i="5"/>
  <c r="JB56" i="5"/>
  <c r="HO56" i="5"/>
  <c r="HN56" i="5"/>
  <c r="HM56" i="5"/>
  <c r="HL56" i="5"/>
  <c r="FY56" i="5"/>
  <c r="FX56" i="5"/>
  <c r="FW56" i="5"/>
  <c r="FV56" i="5"/>
  <c r="EK56" i="5"/>
  <c r="EG56" i="5"/>
  <c r="EF56" i="5"/>
  <c r="CX56" i="5"/>
  <c r="EH56" i="5" s="1"/>
  <c r="CU56" i="5"/>
  <c r="CS56" i="5" s="1"/>
  <c r="CQ56" i="5"/>
  <c r="CP56" i="5"/>
  <c r="CO56" i="5"/>
  <c r="CL56" i="5"/>
  <c r="CI56" i="5"/>
  <c r="CF56" i="5"/>
  <c r="CC56" i="5"/>
  <c r="BZ56" i="5"/>
  <c r="BW56" i="5"/>
  <c r="BT56" i="5"/>
  <c r="BQ56" i="5"/>
  <c r="BN56" i="5"/>
  <c r="BK56" i="5"/>
  <c r="BH56" i="5"/>
  <c r="BC56" i="5"/>
  <c r="PP55" i="5"/>
  <c r="PO55" i="5"/>
  <c r="OJ55" i="5"/>
  <c r="OA55" i="5"/>
  <c r="NZ55" i="5"/>
  <c r="NY55" i="5"/>
  <c r="NX55" i="5"/>
  <c r="MM55" i="5"/>
  <c r="MJ55" i="5"/>
  <c r="MI55" i="5"/>
  <c r="MH55" i="5"/>
  <c r="KW55" i="5"/>
  <c r="CI54" i="4" s="1"/>
  <c r="KT55" i="5"/>
  <c r="KS55" i="5"/>
  <c r="KR55" i="5"/>
  <c r="JG55" i="5"/>
  <c r="JE55" i="5" s="1"/>
  <c r="JD55" i="5"/>
  <c r="JC55" i="5"/>
  <c r="JB55" i="5"/>
  <c r="HO55" i="5"/>
  <c r="HN55" i="5"/>
  <c r="HM55" i="5"/>
  <c r="HL55" i="5"/>
  <c r="FY55" i="5"/>
  <c r="FX55" i="5"/>
  <c r="FW55" i="5"/>
  <c r="FV55" i="5"/>
  <c r="EK55" i="5"/>
  <c r="EI55" i="5" s="1"/>
  <c r="EG55" i="5"/>
  <c r="EF55" i="5"/>
  <c r="CX55" i="5"/>
  <c r="EH55" i="5" s="1"/>
  <c r="CU55" i="5"/>
  <c r="CQ55" i="5"/>
  <c r="CP55" i="5"/>
  <c r="CO55" i="5"/>
  <c r="CL55" i="5"/>
  <c r="CI55" i="5"/>
  <c r="CF55" i="5"/>
  <c r="CC55" i="5"/>
  <c r="BZ55" i="5"/>
  <c r="BW55" i="5"/>
  <c r="BT55" i="5"/>
  <c r="BQ55" i="5"/>
  <c r="BN55" i="5"/>
  <c r="BK55" i="5"/>
  <c r="BH55" i="5"/>
  <c r="BC55" i="5"/>
  <c r="PP54" i="5"/>
  <c r="PO54" i="5"/>
  <c r="OJ54" i="5"/>
  <c r="OA54" i="5"/>
  <c r="NZ54" i="5"/>
  <c r="NY54" i="5"/>
  <c r="NX54" i="5"/>
  <c r="MM54" i="5"/>
  <c r="MK54" i="5" s="1"/>
  <c r="MJ54" i="5"/>
  <c r="MI54" i="5"/>
  <c r="MH54" i="5"/>
  <c r="KU54" i="5"/>
  <c r="KT54" i="5"/>
  <c r="KS54" i="5"/>
  <c r="KR54" i="5"/>
  <c r="JG54" i="5"/>
  <c r="JD54" i="5"/>
  <c r="JC54" i="5"/>
  <c r="JB54" i="5"/>
  <c r="HO54" i="5"/>
  <c r="HN54" i="5"/>
  <c r="HM54" i="5"/>
  <c r="HL54" i="5"/>
  <c r="GA54" i="5"/>
  <c r="FY54" i="5" s="1"/>
  <c r="FX54" i="5"/>
  <c r="FW54" i="5"/>
  <c r="FV54" i="5"/>
  <c r="EI54" i="5"/>
  <c r="EG54" i="5"/>
  <c r="EF54" i="5"/>
  <c r="CX54" i="5"/>
  <c r="EH54" i="5" s="1"/>
  <c r="CS54" i="5"/>
  <c r="CQ54" i="5"/>
  <c r="CP54" i="5"/>
  <c r="CO54" i="5"/>
  <c r="CL54" i="5"/>
  <c r="CI54" i="5"/>
  <c r="CF54" i="5"/>
  <c r="CC54" i="5"/>
  <c r="BZ54" i="5"/>
  <c r="BW54" i="5"/>
  <c r="BT54" i="5"/>
  <c r="BQ54" i="5"/>
  <c r="BN54" i="5"/>
  <c r="BK54" i="5"/>
  <c r="BH54" i="5"/>
  <c r="BC54" i="5"/>
  <c r="PP53" i="5"/>
  <c r="PO53" i="5"/>
  <c r="OJ53" i="5"/>
  <c r="NZ53" i="5"/>
  <c r="NY53" i="5"/>
  <c r="NX53" i="5"/>
  <c r="MJ53" i="5"/>
  <c r="MI53" i="5"/>
  <c r="MH53" i="5"/>
  <c r="KT53" i="5"/>
  <c r="KS53" i="5"/>
  <c r="KR53" i="5"/>
  <c r="JF53" i="5"/>
  <c r="JD53" i="5"/>
  <c r="JC53" i="5"/>
  <c r="JB53" i="5"/>
  <c r="HQ53" i="5"/>
  <c r="HP53" i="5"/>
  <c r="HN53" i="5"/>
  <c r="HM53" i="5"/>
  <c r="HL53" i="5"/>
  <c r="FZ53" i="5"/>
  <c r="FX53" i="5"/>
  <c r="FW53" i="5"/>
  <c r="FV53" i="5"/>
  <c r="EJ53" i="5"/>
  <c r="CW53" i="5"/>
  <c r="EG53" i="5" s="1"/>
  <c r="CV53" i="5"/>
  <c r="EF53" i="5" s="1"/>
  <c r="CT53" i="5"/>
  <c r="CN53" i="5"/>
  <c r="CM53" i="5"/>
  <c r="CK53" i="5"/>
  <c r="CJ53" i="5"/>
  <c r="CH53" i="5"/>
  <c r="CG53" i="5"/>
  <c r="CE53" i="5"/>
  <c r="CD53" i="5"/>
  <c r="CB53" i="5"/>
  <c r="CA53" i="5"/>
  <c r="BY53" i="5"/>
  <c r="BX53" i="5"/>
  <c r="BV53" i="5"/>
  <c r="BU53" i="5"/>
  <c r="BS53" i="5"/>
  <c r="BR53" i="5"/>
  <c r="BP53" i="5"/>
  <c r="BO53" i="5"/>
  <c r="BM53" i="5"/>
  <c r="BL53" i="5"/>
  <c r="BJ53" i="5"/>
  <c r="BI53" i="5"/>
  <c r="BG53" i="5"/>
  <c r="BF53" i="5"/>
  <c r="BC53" i="5"/>
  <c r="PP52" i="5"/>
  <c r="PO52" i="5"/>
  <c r="OJ52" i="5"/>
  <c r="OA52" i="5"/>
  <c r="NZ52" i="5"/>
  <c r="NY52" i="5"/>
  <c r="NX52" i="5"/>
  <c r="MK52" i="5"/>
  <c r="MJ52" i="5"/>
  <c r="MI52" i="5"/>
  <c r="MH52" i="5"/>
  <c r="KU52" i="5"/>
  <c r="KT52" i="5"/>
  <c r="KS52" i="5"/>
  <c r="KR52" i="5"/>
  <c r="JE52" i="5"/>
  <c r="JD52" i="5"/>
  <c r="JC52" i="5"/>
  <c r="JB52" i="5"/>
  <c r="HO52" i="5"/>
  <c r="HN52" i="5"/>
  <c r="HM52" i="5"/>
  <c r="HL52" i="5"/>
  <c r="FY52" i="5"/>
  <c r="FX52" i="5"/>
  <c r="FW52" i="5"/>
  <c r="FV52" i="5"/>
  <c r="EI52" i="5"/>
  <c r="EG52" i="5"/>
  <c r="EF52" i="5"/>
  <c r="CX52" i="5"/>
  <c r="EH52" i="5" s="1"/>
  <c r="CS52" i="5"/>
  <c r="BC52" i="5"/>
  <c r="PP51" i="5"/>
  <c r="PO51" i="5"/>
  <c r="OJ51" i="5"/>
  <c r="OA51" i="5"/>
  <c r="NZ51" i="5"/>
  <c r="NY51" i="5"/>
  <c r="NX51" i="5"/>
  <c r="MK51" i="5"/>
  <c r="MJ51" i="5"/>
  <c r="MI51" i="5"/>
  <c r="MH51" i="5"/>
  <c r="KU51" i="5"/>
  <c r="KT51" i="5"/>
  <c r="KS51" i="5"/>
  <c r="KR51" i="5"/>
  <c r="JE51" i="5"/>
  <c r="JD51" i="5"/>
  <c r="JC51" i="5"/>
  <c r="JB51" i="5"/>
  <c r="HO51" i="5"/>
  <c r="HN51" i="5"/>
  <c r="HM51" i="5"/>
  <c r="HL51" i="5"/>
  <c r="FY51" i="5"/>
  <c r="FX51" i="5"/>
  <c r="FW51" i="5"/>
  <c r="FV51" i="5"/>
  <c r="EI51" i="5"/>
  <c r="EG51" i="5"/>
  <c r="EF51" i="5"/>
  <c r="CX51" i="5"/>
  <c r="CS51" i="5"/>
  <c r="CQ51" i="5"/>
  <c r="CP51" i="5"/>
  <c r="CO51" i="5"/>
  <c r="CL51" i="5"/>
  <c r="CI51" i="5"/>
  <c r="CF51" i="5"/>
  <c r="WC50" i="5"/>
  <c r="PP50" i="5"/>
  <c r="PO50" i="5"/>
  <c r="OJ50" i="5"/>
  <c r="OA50" i="5"/>
  <c r="NZ50" i="5"/>
  <c r="NY50" i="5"/>
  <c r="NX50" i="5"/>
  <c r="MK50" i="5"/>
  <c r="MJ50" i="5"/>
  <c r="MI50" i="5"/>
  <c r="MH50" i="5"/>
  <c r="KU50" i="5"/>
  <c r="KT50" i="5"/>
  <c r="KS50" i="5"/>
  <c r="KR50" i="5"/>
  <c r="JE50" i="5"/>
  <c r="JD50" i="5"/>
  <c r="JC50" i="5"/>
  <c r="JB50" i="5"/>
  <c r="HO50" i="5"/>
  <c r="HN50" i="5"/>
  <c r="HM50" i="5"/>
  <c r="HL50" i="5"/>
  <c r="FY50" i="5"/>
  <c r="FX50" i="5"/>
  <c r="FW50" i="5"/>
  <c r="FV50" i="5"/>
  <c r="EI50" i="5"/>
  <c r="EG50" i="5"/>
  <c r="EF50" i="5"/>
  <c r="CX50" i="5"/>
  <c r="EH50" i="5" s="1"/>
  <c r="CS50" i="5"/>
  <c r="CQ50" i="5"/>
  <c r="CP50" i="5"/>
  <c r="CO50" i="5"/>
  <c r="CL50" i="5"/>
  <c r="CI50" i="5"/>
  <c r="CF50" i="5"/>
  <c r="PP49" i="5"/>
  <c r="PO49" i="5"/>
  <c r="OJ49" i="5"/>
  <c r="OA49" i="5"/>
  <c r="NZ49" i="5"/>
  <c r="NY49" i="5"/>
  <c r="NX49" i="5"/>
  <c r="ML49" i="5"/>
  <c r="MK49" i="5" s="1"/>
  <c r="MJ49" i="5"/>
  <c r="MI49" i="5"/>
  <c r="MH49" i="5"/>
  <c r="KV49" i="5"/>
  <c r="KU49" i="5" s="1"/>
  <c r="KT49" i="5"/>
  <c r="KS49" i="5"/>
  <c r="KR49" i="5"/>
  <c r="JE49" i="5"/>
  <c r="JD49" i="5"/>
  <c r="JC49" i="5"/>
  <c r="JB49" i="5"/>
  <c r="HO49" i="5"/>
  <c r="HN49" i="5"/>
  <c r="HM49" i="5"/>
  <c r="HL49" i="5"/>
  <c r="FY49" i="5"/>
  <c r="FX49" i="5"/>
  <c r="FW49" i="5"/>
  <c r="FV49" i="5"/>
  <c r="EI49" i="5"/>
  <c r="EG49" i="5"/>
  <c r="EF49" i="5"/>
  <c r="CX49" i="5"/>
  <c r="EH49" i="5" s="1"/>
  <c r="CS49" i="5"/>
  <c r="CQ49" i="5"/>
  <c r="CP49" i="5"/>
  <c r="CO49" i="5"/>
  <c r="CL49" i="5"/>
  <c r="CI49" i="5"/>
  <c r="CF49" i="5"/>
  <c r="PP48" i="5"/>
  <c r="PO48" i="5"/>
  <c r="OJ48" i="5"/>
  <c r="OA48" i="5"/>
  <c r="NZ48" i="5"/>
  <c r="NY48" i="5"/>
  <c r="NX48" i="5"/>
  <c r="MM48" i="5"/>
  <c r="MK48" i="5" s="1"/>
  <c r="MJ48" i="5"/>
  <c r="MI48" i="5"/>
  <c r="MH48" i="5"/>
  <c r="KW48" i="5"/>
  <c r="KU48" i="5" s="1"/>
  <c r="KT48" i="5"/>
  <c r="KS48" i="5"/>
  <c r="KR48" i="5"/>
  <c r="JG48" i="5"/>
  <c r="JF48" i="5"/>
  <c r="JD48" i="5"/>
  <c r="JC48" i="5"/>
  <c r="JB48" i="5"/>
  <c r="HQ48" i="5"/>
  <c r="HP48" i="5"/>
  <c r="HN48" i="5"/>
  <c r="HM48" i="5"/>
  <c r="HL48" i="5"/>
  <c r="GA48" i="5"/>
  <c r="FZ48" i="5"/>
  <c r="FX48" i="5"/>
  <c r="FW48" i="5"/>
  <c r="FV48" i="5"/>
  <c r="EK48" i="5"/>
  <c r="EJ48" i="5"/>
  <c r="CW48" i="5"/>
  <c r="CV48" i="5"/>
  <c r="EF48" i="5" s="1"/>
  <c r="CU48" i="5"/>
  <c r="CT48" i="5"/>
  <c r="CN48" i="5"/>
  <c r="CM48" i="5"/>
  <c r="CK48" i="5"/>
  <c r="CJ48" i="5"/>
  <c r="CH48" i="5"/>
  <c r="CG48" i="5"/>
  <c r="CE48" i="5"/>
  <c r="CD48" i="5"/>
  <c r="CC48" i="5"/>
  <c r="BZ48" i="5"/>
  <c r="BW48" i="5"/>
  <c r="BT48" i="5"/>
  <c r="BQ48" i="5"/>
  <c r="BN48" i="5"/>
  <c r="BK48" i="5"/>
  <c r="BH48" i="5"/>
  <c r="BC48" i="5"/>
  <c r="PP47" i="5"/>
  <c r="PO47" i="5"/>
  <c r="OJ47" i="5"/>
  <c r="OA47" i="5"/>
  <c r="NZ47" i="5"/>
  <c r="NY47" i="5"/>
  <c r="NX47" i="5"/>
  <c r="MK47" i="5"/>
  <c r="MJ47" i="5"/>
  <c r="MI47" i="5"/>
  <c r="MH47" i="5"/>
  <c r="KU47" i="5"/>
  <c r="KT47" i="5"/>
  <c r="KS47" i="5"/>
  <c r="KR47" i="5"/>
  <c r="JE47" i="5"/>
  <c r="JD47" i="5"/>
  <c r="JC47" i="5"/>
  <c r="JB47" i="5"/>
  <c r="HO47" i="5"/>
  <c r="HN47" i="5"/>
  <c r="HM47" i="5"/>
  <c r="HL47" i="5"/>
  <c r="FY47" i="5"/>
  <c r="FX47" i="5"/>
  <c r="FW47" i="5"/>
  <c r="FV47" i="5"/>
  <c r="EI47" i="5"/>
  <c r="EG47" i="5"/>
  <c r="EF47" i="5"/>
  <c r="CX47" i="5"/>
  <c r="CS47" i="5"/>
  <c r="CQ47" i="5"/>
  <c r="CP47" i="5"/>
  <c r="CO47" i="5"/>
  <c r="CL47" i="5"/>
  <c r="CI47" i="5"/>
  <c r="CF47" i="5"/>
  <c r="CC47" i="5"/>
  <c r="BZ47" i="5"/>
  <c r="BW47" i="5"/>
  <c r="BT47" i="5"/>
  <c r="BQ47" i="5"/>
  <c r="BN47" i="5"/>
  <c r="BK47" i="5"/>
  <c r="BH47" i="5"/>
  <c r="BC47" i="5"/>
  <c r="PP46" i="5"/>
  <c r="PO46" i="5"/>
  <c r="OJ46" i="5"/>
  <c r="OA46" i="5"/>
  <c r="NZ46" i="5"/>
  <c r="NY46" i="5"/>
  <c r="NX46" i="5"/>
  <c r="MK46" i="5"/>
  <c r="MJ46" i="5"/>
  <c r="MI46" i="5"/>
  <c r="MH46" i="5"/>
  <c r="KU46" i="5"/>
  <c r="KT46" i="5"/>
  <c r="KS46" i="5"/>
  <c r="KR46" i="5"/>
  <c r="JE46" i="5"/>
  <c r="JD46" i="5"/>
  <c r="JC46" i="5"/>
  <c r="JB46" i="5"/>
  <c r="HO46" i="5"/>
  <c r="HN46" i="5"/>
  <c r="HM46" i="5"/>
  <c r="HL46" i="5"/>
  <c r="FY46" i="5"/>
  <c r="FX46" i="5"/>
  <c r="FW46" i="5"/>
  <c r="FV46" i="5"/>
  <c r="EI46" i="5"/>
  <c r="EG46" i="5"/>
  <c r="EF46" i="5"/>
  <c r="CX46" i="5"/>
  <c r="EH46" i="5" s="1"/>
  <c r="CS46" i="5"/>
  <c r="CQ46" i="5"/>
  <c r="CP46" i="5"/>
  <c r="CO46" i="5"/>
  <c r="CL46" i="5"/>
  <c r="CI46" i="5"/>
  <c r="CF46" i="5"/>
  <c r="CC46" i="5"/>
  <c r="BZ46" i="5"/>
  <c r="BW46" i="5"/>
  <c r="BT46" i="5"/>
  <c r="BQ46" i="5"/>
  <c r="BN46" i="5"/>
  <c r="BK46" i="5"/>
  <c r="BH46" i="5"/>
  <c r="BC46" i="5"/>
  <c r="PP45" i="5"/>
  <c r="PO45" i="5"/>
  <c r="OJ45" i="5"/>
  <c r="OC45" i="5"/>
  <c r="NZ45" i="5"/>
  <c r="NY45" i="5"/>
  <c r="NX45" i="5"/>
  <c r="MM45" i="5"/>
  <c r="ML45" i="5"/>
  <c r="MJ45" i="5"/>
  <c r="MI45" i="5"/>
  <c r="MH45" i="5"/>
  <c r="KW45" i="5"/>
  <c r="KV45" i="5"/>
  <c r="KT45" i="5"/>
  <c r="KS45" i="5"/>
  <c r="KR45" i="5"/>
  <c r="JF45" i="5"/>
  <c r="JE45" i="5" s="1"/>
  <c r="JD45" i="5"/>
  <c r="JC45" i="5"/>
  <c r="JB45" i="5"/>
  <c r="HP45" i="5"/>
  <c r="HO45" i="5" s="1"/>
  <c r="HN45" i="5"/>
  <c r="HM45" i="5"/>
  <c r="HL45" i="5"/>
  <c r="GA45" i="5"/>
  <c r="FZ45" i="5"/>
  <c r="FX45" i="5"/>
  <c r="FW45" i="5"/>
  <c r="FV45" i="5"/>
  <c r="EK45" i="5"/>
  <c r="EJ45" i="5"/>
  <c r="EG45" i="5"/>
  <c r="EF45" i="5"/>
  <c r="CX45" i="5"/>
  <c r="CS45" i="5"/>
  <c r="CQ45" i="5"/>
  <c r="CP45" i="5"/>
  <c r="CO45" i="5"/>
  <c r="CL45" i="5"/>
  <c r="CI45" i="5"/>
  <c r="CF45" i="5"/>
  <c r="CC45" i="5"/>
  <c r="BZ45" i="5"/>
  <c r="BW45" i="5"/>
  <c r="BT45" i="5"/>
  <c r="BQ45" i="5"/>
  <c r="BN45" i="5"/>
  <c r="BK45" i="5"/>
  <c r="BH45" i="5"/>
  <c r="BC45" i="5"/>
  <c r="AK45" i="5"/>
  <c r="AJ45" i="5"/>
  <c r="PP44" i="5"/>
  <c r="PO44" i="5"/>
  <c r="OJ44" i="5"/>
  <c r="OA44" i="5"/>
  <c r="NZ44" i="5"/>
  <c r="NY44" i="5"/>
  <c r="NX44" i="5"/>
  <c r="MK44" i="5"/>
  <c r="MJ44" i="5"/>
  <c r="MI44" i="5"/>
  <c r="MH44" i="5"/>
  <c r="KU44" i="5"/>
  <c r="KT44" i="5"/>
  <c r="KS44" i="5"/>
  <c r="KR44" i="5"/>
  <c r="JE44" i="5"/>
  <c r="JD44" i="5"/>
  <c r="JC44" i="5"/>
  <c r="JB44" i="5"/>
  <c r="HO44" i="5"/>
  <c r="HN44" i="5"/>
  <c r="HM44" i="5"/>
  <c r="HL44" i="5"/>
  <c r="FY44" i="5"/>
  <c r="FX44" i="5"/>
  <c r="FW44" i="5"/>
  <c r="FV44" i="5"/>
  <c r="EI44" i="5"/>
  <c r="EG44" i="5"/>
  <c r="EF44" i="5"/>
  <c r="CX44" i="5"/>
  <c r="EH44" i="5" s="1"/>
  <c r="CS44" i="5"/>
  <c r="CQ44" i="5"/>
  <c r="CP44" i="5"/>
  <c r="CO44" i="5"/>
  <c r="CL44" i="5"/>
  <c r="CI44" i="5"/>
  <c r="CF44" i="5"/>
  <c r="CC44" i="5"/>
  <c r="BZ44" i="5"/>
  <c r="BW44" i="5"/>
  <c r="BT44" i="5"/>
  <c r="BQ44" i="5"/>
  <c r="BN44" i="5"/>
  <c r="BK44" i="5"/>
  <c r="BH44" i="5"/>
  <c r="BC44" i="5"/>
  <c r="PP43" i="5"/>
  <c r="PO43" i="5"/>
  <c r="OJ43" i="5"/>
  <c r="OA43" i="5"/>
  <c r="NZ43" i="5"/>
  <c r="NY43" i="5"/>
  <c r="NX43" i="5"/>
  <c r="MK43" i="5"/>
  <c r="MJ43" i="5"/>
  <c r="MI43" i="5"/>
  <c r="MH43" i="5"/>
  <c r="KU43" i="5"/>
  <c r="KT43" i="5"/>
  <c r="KS43" i="5"/>
  <c r="KR43" i="5"/>
  <c r="JE43" i="5"/>
  <c r="JD43" i="5"/>
  <c r="JC43" i="5"/>
  <c r="JB43" i="5"/>
  <c r="HQ43" i="5"/>
  <c r="HO43" i="5" s="1"/>
  <c r="HN43" i="5"/>
  <c r="HM43" i="5"/>
  <c r="HL43" i="5"/>
  <c r="FY43" i="5"/>
  <c r="FX43" i="5"/>
  <c r="FW43" i="5"/>
  <c r="FV43" i="5"/>
  <c r="EI43" i="5"/>
  <c r="CW43" i="5"/>
  <c r="EG43" i="5" s="1"/>
  <c r="CV43" i="5"/>
  <c r="EF43" i="5" s="1"/>
  <c r="CU43" i="5"/>
  <c r="CT43" i="5"/>
  <c r="CT42" i="5" s="1"/>
  <c r="CN43" i="5"/>
  <c r="CN42" i="5" s="1"/>
  <c r="CM43" i="5"/>
  <c r="CM42" i="5" s="1"/>
  <c r="CK43" i="5"/>
  <c r="CK42" i="5" s="1"/>
  <c r="CJ43" i="5"/>
  <c r="CJ42" i="5" s="1"/>
  <c r="CH43" i="5"/>
  <c r="CH42" i="5" s="1"/>
  <c r="CG43" i="5"/>
  <c r="CG42" i="5" s="1"/>
  <c r="CE43" i="5"/>
  <c r="CE42" i="5" s="1"/>
  <c r="CD43" i="5"/>
  <c r="CD42" i="5" s="1"/>
  <c r="CB43" i="5"/>
  <c r="CB42" i="5" s="1"/>
  <c r="CA43" i="5"/>
  <c r="CA42" i="5" s="1"/>
  <c r="BY43" i="5"/>
  <c r="BY42" i="5" s="1"/>
  <c r="BX43" i="5"/>
  <c r="BX42" i="5" s="1"/>
  <c r="BV43" i="5"/>
  <c r="BV42" i="5" s="1"/>
  <c r="BU43" i="5"/>
  <c r="BU42" i="5" s="1"/>
  <c r="BS43" i="5"/>
  <c r="BS42" i="5" s="1"/>
  <c r="BR43" i="5"/>
  <c r="BR42" i="5" s="1"/>
  <c r="BP43" i="5"/>
  <c r="BP42" i="5" s="1"/>
  <c r="BO43" i="5"/>
  <c r="BO42" i="5" s="1"/>
  <c r="BM43" i="5"/>
  <c r="BM42" i="5" s="1"/>
  <c r="BL43" i="5"/>
  <c r="BL42" i="5" s="1"/>
  <c r="BJ43" i="5"/>
  <c r="BJ42" i="5" s="1"/>
  <c r="BI43" i="5"/>
  <c r="BI42" i="5" s="1"/>
  <c r="BG43" i="5"/>
  <c r="BG42" i="5" s="1"/>
  <c r="BF43" i="5"/>
  <c r="BF42" i="5" s="1"/>
  <c r="BC43" i="5"/>
  <c r="PP42" i="5"/>
  <c r="PO42" i="5"/>
  <c r="OJ42" i="5"/>
  <c r="OC42" i="5"/>
  <c r="NZ42" i="5"/>
  <c r="NY42" i="5"/>
  <c r="NX42" i="5"/>
  <c r="MM42" i="5"/>
  <c r="MJ42" i="5"/>
  <c r="MI42" i="5"/>
  <c r="MH42" i="5"/>
  <c r="KW42" i="5"/>
  <c r="KV42" i="5"/>
  <c r="KT42" i="5"/>
  <c r="KS42" i="5"/>
  <c r="KR42" i="5"/>
  <c r="JG42" i="5"/>
  <c r="JF42" i="5"/>
  <c r="JD42" i="5"/>
  <c r="JC42" i="5"/>
  <c r="JB42" i="5"/>
  <c r="HP42" i="5"/>
  <c r="HN42" i="5"/>
  <c r="HM42" i="5"/>
  <c r="HL42" i="5"/>
  <c r="GA42" i="5"/>
  <c r="FZ42" i="5"/>
  <c r="FX42" i="5"/>
  <c r="FW42" i="5"/>
  <c r="FV42" i="5"/>
  <c r="EK42" i="5"/>
  <c r="EJ42" i="5"/>
  <c r="BC42" i="5"/>
  <c r="PP41" i="5"/>
  <c r="PO41" i="5"/>
  <c r="OJ41" i="5"/>
  <c r="NZ41" i="5"/>
  <c r="NY41" i="5"/>
  <c r="NX41" i="5"/>
  <c r="MJ41" i="5"/>
  <c r="MI41" i="5"/>
  <c r="MH41" i="5"/>
  <c r="KT41" i="5"/>
  <c r="KS41" i="5"/>
  <c r="KR41" i="5"/>
  <c r="JD41" i="5"/>
  <c r="JC41" i="5"/>
  <c r="JB41" i="5"/>
  <c r="HN41" i="5"/>
  <c r="HM41" i="5"/>
  <c r="HL41" i="5"/>
  <c r="FX41" i="5"/>
  <c r="FW41" i="5"/>
  <c r="FV41" i="5"/>
  <c r="BC41" i="5"/>
  <c r="PP40" i="5"/>
  <c r="PO40" i="5"/>
  <c r="OJ40" i="5"/>
  <c r="OD40" i="5"/>
  <c r="NZ40" i="5"/>
  <c r="NY40" i="5"/>
  <c r="NX40" i="5"/>
  <c r="MJ40" i="5"/>
  <c r="MI40" i="5"/>
  <c r="MH40" i="5"/>
  <c r="KT40" i="5"/>
  <c r="KS40" i="5"/>
  <c r="KR40" i="5"/>
  <c r="JD40" i="5"/>
  <c r="JC40" i="5"/>
  <c r="JB40" i="5"/>
  <c r="HN40" i="5"/>
  <c r="HM40" i="5"/>
  <c r="HL40" i="5"/>
  <c r="FX40" i="5"/>
  <c r="FW40" i="5"/>
  <c r="FV40" i="5"/>
  <c r="BC40" i="5"/>
  <c r="NZ39" i="5"/>
  <c r="NY39" i="5"/>
  <c r="NX39" i="5"/>
  <c r="MJ39" i="5"/>
  <c r="MI39" i="5"/>
  <c r="MH39" i="5"/>
  <c r="KT39" i="5"/>
  <c r="KS39" i="5"/>
  <c r="KR39" i="5"/>
  <c r="JD39" i="5"/>
  <c r="JC39" i="5"/>
  <c r="JB39" i="5"/>
  <c r="HN39" i="5"/>
  <c r="HM39" i="5"/>
  <c r="HL39" i="5"/>
  <c r="FX39" i="5"/>
  <c r="FW39" i="5"/>
  <c r="FV39" i="5"/>
  <c r="EH39" i="5"/>
  <c r="EG39" i="5"/>
  <c r="EF39" i="5"/>
  <c r="PP38" i="5"/>
  <c r="PO38" i="5"/>
  <c r="PN38" i="5"/>
  <c r="NZ38" i="5"/>
  <c r="NY38" i="5"/>
  <c r="NX38" i="5"/>
  <c r="MJ38" i="5"/>
  <c r="MI38" i="5"/>
  <c r="MH38" i="5"/>
  <c r="KT38" i="5"/>
  <c r="KS38" i="5"/>
  <c r="KR38" i="5"/>
  <c r="JD38" i="5"/>
  <c r="JC38" i="5"/>
  <c r="JB38" i="5"/>
  <c r="HN38" i="5"/>
  <c r="HM38" i="5"/>
  <c r="HL38" i="5"/>
  <c r="FY38" i="5"/>
  <c r="FX38" i="5"/>
  <c r="FW38" i="5"/>
  <c r="FV38" i="5"/>
  <c r="EI38" i="5"/>
  <c r="EG38" i="5"/>
  <c r="EF38" i="5"/>
  <c r="CX38" i="5"/>
  <c r="EH38" i="5" s="1"/>
  <c r="CS38" i="5"/>
  <c r="CQ38" i="5"/>
  <c r="CP38" i="5"/>
  <c r="CO38" i="5"/>
  <c r="CL38" i="5"/>
  <c r="CI38" i="5"/>
  <c r="CF38" i="5"/>
  <c r="CC38" i="5"/>
  <c r="BZ38" i="5"/>
  <c r="BW38" i="5"/>
  <c r="BT38" i="5"/>
  <c r="BQ38" i="5"/>
  <c r="BN38" i="5"/>
  <c r="BK38" i="5"/>
  <c r="BH38" i="5"/>
  <c r="BC38" i="5"/>
  <c r="AK38" i="5"/>
  <c r="PP37" i="5"/>
  <c r="PO37" i="5"/>
  <c r="PN37" i="5"/>
  <c r="OA37" i="5"/>
  <c r="NZ37" i="5"/>
  <c r="NY37" i="5"/>
  <c r="NX37" i="5"/>
  <c r="MK37" i="5"/>
  <c r="MJ37" i="5"/>
  <c r="MI37" i="5"/>
  <c r="MH37" i="5"/>
  <c r="KU37" i="5"/>
  <c r="KT37" i="5"/>
  <c r="KS37" i="5"/>
  <c r="KR37" i="5"/>
  <c r="JE37" i="5"/>
  <c r="JD37" i="5"/>
  <c r="JC37" i="5"/>
  <c r="JB37" i="5"/>
  <c r="HO37" i="5"/>
  <c r="HN37" i="5"/>
  <c r="HM37" i="5"/>
  <c r="HL37" i="5"/>
  <c r="FY37" i="5"/>
  <c r="FX37" i="5"/>
  <c r="FW37" i="5"/>
  <c r="FV37" i="5"/>
  <c r="EI37" i="5"/>
  <c r="EG37" i="5"/>
  <c r="EF37" i="5"/>
  <c r="CX37" i="5"/>
  <c r="EH37" i="5" s="1"/>
  <c r="CS37" i="5"/>
  <c r="CQ37" i="5"/>
  <c r="CP37" i="5"/>
  <c r="CO37" i="5"/>
  <c r="CL37" i="5"/>
  <c r="CI37" i="5"/>
  <c r="CF37" i="5"/>
  <c r="CC37" i="5"/>
  <c r="BZ37" i="5"/>
  <c r="BW37" i="5"/>
  <c r="BT37" i="5"/>
  <c r="BQ37" i="5"/>
  <c r="BN37" i="5"/>
  <c r="BK37" i="5"/>
  <c r="BH37" i="5"/>
  <c r="BC37" i="5"/>
  <c r="BB37" i="5"/>
  <c r="PP36" i="5"/>
  <c r="PO36" i="5"/>
  <c r="PN36" i="5"/>
  <c r="OA36" i="5"/>
  <c r="NZ36" i="5"/>
  <c r="NY36" i="5"/>
  <c r="NX36" i="5"/>
  <c r="MK36" i="5"/>
  <c r="MJ36" i="5"/>
  <c r="MI36" i="5"/>
  <c r="MH36" i="5"/>
  <c r="KU36" i="5"/>
  <c r="KT36" i="5"/>
  <c r="KS36" i="5"/>
  <c r="KR36" i="5"/>
  <c r="JE36" i="5"/>
  <c r="JD36" i="5"/>
  <c r="JC36" i="5"/>
  <c r="JB36" i="5"/>
  <c r="HO36" i="5"/>
  <c r="HN36" i="5"/>
  <c r="HM36" i="5"/>
  <c r="HL36" i="5"/>
  <c r="FY36" i="5"/>
  <c r="FX36" i="5"/>
  <c r="FW36" i="5"/>
  <c r="FV36" i="5"/>
  <c r="EI36" i="5"/>
  <c r="EG36" i="5"/>
  <c r="EF36" i="5"/>
  <c r="CX36" i="5"/>
  <c r="EH36" i="5" s="1"/>
  <c r="CS36" i="5"/>
  <c r="CQ36" i="5"/>
  <c r="CP36" i="5"/>
  <c r="CO36" i="5"/>
  <c r="CL36" i="5"/>
  <c r="CI36" i="5"/>
  <c r="CF36" i="5"/>
  <c r="CC36" i="5"/>
  <c r="BZ36" i="5"/>
  <c r="BW36" i="5"/>
  <c r="BT36" i="5"/>
  <c r="BQ36" i="5"/>
  <c r="BN36" i="5"/>
  <c r="BK36" i="5"/>
  <c r="BH36" i="5"/>
  <c r="BC36" i="5"/>
  <c r="BB36" i="5"/>
  <c r="PP35" i="5"/>
  <c r="PO35" i="5"/>
  <c r="PN35" i="5"/>
  <c r="OA35" i="5"/>
  <c r="NZ35" i="5"/>
  <c r="NY35" i="5"/>
  <c r="NX35" i="5"/>
  <c r="MK35" i="5"/>
  <c r="MJ35" i="5"/>
  <c r="MI35" i="5"/>
  <c r="MH35" i="5"/>
  <c r="KU35" i="5"/>
  <c r="KT35" i="5"/>
  <c r="KS35" i="5"/>
  <c r="KR35" i="5"/>
  <c r="JE35" i="5"/>
  <c r="JD35" i="5"/>
  <c r="JC35" i="5"/>
  <c r="JB35" i="5"/>
  <c r="HO35" i="5"/>
  <c r="HN35" i="5"/>
  <c r="HM35" i="5"/>
  <c r="HL35" i="5"/>
  <c r="FX35" i="5"/>
  <c r="FW35" i="5"/>
  <c r="FV35" i="5"/>
  <c r="EG35" i="5"/>
  <c r="EF35" i="5"/>
  <c r="CX35" i="5"/>
  <c r="EH35" i="5" s="1"/>
  <c r="CQ35" i="5"/>
  <c r="CP35" i="5"/>
  <c r="CO35" i="5"/>
  <c r="CL35" i="5"/>
  <c r="CI35" i="5"/>
  <c r="CF35" i="5"/>
  <c r="CC35" i="5"/>
  <c r="BZ35" i="5"/>
  <c r="BW35" i="5"/>
  <c r="BT35" i="5"/>
  <c r="BQ35" i="5"/>
  <c r="BN35" i="5"/>
  <c r="BK35" i="5"/>
  <c r="BH35" i="5"/>
  <c r="PP34" i="5"/>
  <c r="PO34" i="5"/>
  <c r="PN34" i="5"/>
  <c r="OB34" i="5"/>
  <c r="NZ34" i="5"/>
  <c r="NY34" i="5"/>
  <c r="NX34" i="5"/>
  <c r="MK34" i="5"/>
  <c r="MJ34" i="5"/>
  <c r="MI34" i="5"/>
  <c r="MH34" i="5"/>
  <c r="KW34" i="5"/>
  <c r="KV34" i="5"/>
  <c r="KV8" i="5" s="1"/>
  <c r="KT34" i="5"/>
  <c r="KS34" i="5"/>
  <c r="KR34" i="5"/>
  <c r="JG34" i="5"/>
  <c r="JF34" i="5"/>
  <c r="JF8" i="5" s="1"/>
  <c r="JD34" i="5"/>
  <c r="JC34" i="5"/>
  <c r="JB34" i="5"/>
  <c r="HQ34" i="5"/>
  <c r="HP34" i="5"/>
  <c r="HP8" i="5" s="1"/>
  <c r="HN34" i="5"/>
  <c r="HM34" i="5"/>
  <c r="HL34" i="5"/>
  <c r="GA34" i="5"/>
  <c r="FZ34" i="5"/>
  <c r="FZ8" i="5" s="1"/>
  <c r="FX34" i="5"/>
  <c r="FW34" i="5"/>
  <c r="FV34" i="5"/>
  <c r="EK34" i="5"/>
  <c r="EJ34" i="5"/>
  <c r="EJ8" i="5" s="1"/>
  <c r="CW34" i="5"/>
  <c r="EG34" i="5" s="1"/>
  <c r="CV34" i="5"/>
  <c r="EF34" i="5" s="1"/>
  <c r="CU34" i="5"/>
  <c r="CT34" i="5"/>
  <c r="CT8" i="5" s="1"/>
  <c r="CN34" i="5"/>
  <c r="CM34" i="5"/>
  <c r="CK34" i="5"/>
  <c r="CJ34" i="5"/>
  <c r="CH34" i="5"/>
  <c r="CG34" i="5"/>
  <c r="CE34" i="5"/>
  <c r="CD34" i="5"/>
  <c r="CB34" i="5"/>
  <c r="CA34" i="5"/>
  <c r="BY34" i="5"/>
  <c r="BX34" i="5"/>
  <c r="BV34" i="5"/>
  <c r="BU34" i="5"/>
  <c r="BS34" i="5"/>
  <c r="BR34" i="5"/>
  <c r="BP34" i="5"/>
  <c r="BO34" i="5"/>
  <c r="BM34" i="5"/>
  <c r="BL34" i="5"/>
  <c r="BJ34" i="5"/>
  <c r="BI34" i="5"/>
  <c r="BG34" i="5"/>
  <c r="BF34" i="5"/>
  <c r="BC34" i="5"/>
  <c r="AK34" i="5"/>
  <c r="AJ34" i="5"/>
  <c r="PP33" i="5"/>
  <c r="PO33" i="5"/>
  <c r="PN33" i="5"/>
  <c r="OA33" i="5"/>
  <c r="NZ33" i="5"/>
  <c r="NY33" i="5"/>
  <c r="NX33" i="5"/>
  <c r="MK33" i="5"/>
  <c r="MJ33" i="5"/>
  <c r="MI33" i="5"/>
  <c r="MH33" i="5"/>
  <c r="KU33" i="5"/>
  <c r="KT33" i="5"/>
  <c r="KS33" i="5"/>
  <c r="KR33" i="5"/>
  <c r="JE33" i="5"/>
  <c r="JD33" i="5"/>
  <c r="JC33" i="5"/>
  <c r="JB33" i="5"/>
  <c r="HO33" i="5"/>
  <c r="HN33" i="5"/>
  <c r="HM33" i="5"/>
  <c r="HL33" i="5"/>
  <c r="FY33" i="5"/>
  <c r="FX33" i="5"/>
  <c r="FW33" i="5"/>
  <c r="FV33" i="5"/>
  <c r="EI33" i="5"/>
  <c r="EG33" i="5"/>
  <c r="EF33" i="5"/>
  <c r="CX33" i="5"/>
  <c r="EH33" i="5" s="1"/>
  <c r="CS33" i="5"/>
  <c r="CQ33" i="5"/>
  <c r="CP33" i="5"/>
  <c r="CO33" i="5"/>
  <c r="CL33" i="5"/>
  <c r="CI33" i="5"/>
  <c r="CF33" i="5"/>
  <c r="CC33" i="5"/>
  <c r="BZ33" i="5"/>
  <c r="BW33" i="5"/>
  <c r="BT33" i="5"/>
  <c r="BQ33" i="5"/>
  <c r="BN33" i="5"/>
  <c r="BK33" i="5"/>
  <c r="BH33" i="5"/>
  <c r="BC33" i="5"/>
  <c r="PP32" i="5"/>
  <c r="PO32" i="5"/>
  <c r="PN32" i="5"/>
  <c r="OA32" i="5"/>
  <c r="NZ32" i="5"/>
  <c r="NY32" i="5"/>
  <c r="NX32" i="5"/>
  <c r="MK32" i="5"/>
  <c r="MJ32" i="5"/>
  <c r="MI32" i="5"/>
  <c r="MH32" i="5"/>
  <c r="KU32" i="5"/>
  <c r="KT32" i="5"/>
  <c r="KS32" i="5"/>
  <c r="KR32" i="5"/>
  <c r="JE32" i="5"/>
  <c r="JD32" i="5"/>
  <c r="JC32" i="5"/>
  <c r="JB32" i="5"/>
  <c r="HO32" i="5"/>
  <c r="HN32" i="5"/>
  <c r="HM32" i="5"/>
  <c r="HL32" i="5"/>
  <c r="FY32" i="5"/>
  <c r="FX32" i="5"/>
  <c r="FW32" i="5"/>
  <c r="FV32" i="5"/>
  <c r="EI32" i="5"/>
  <c r="EG32" i="5"/>
  <c r="EF32" i="5"/>
  <c r="CX32" i="5"/>
  <c r="EH32" i="5" s="1"/>
  <c r="CS32" i="5"/>
  <c r="CQ32" i="5"/>
  <c r="CP32" i="5"/>
  <c r="CO32" i="5"/>
  <c r="CL32" i="5"/>
  <c r="CI32" i="5"/>
  <c r="CF32" i="5"/>
  <c r="CC32" i="5"/>
  <c r="BZ32" i="5"/>
  <c r="BW32" i="5"/>
  <c r="BT32" i="5"/>
  <c r="BQ32" i="5"/>
  <c r="BN32" i="5"/>
  <c r="BK32" i="5"/>
  <c r="BH32" i="5"/>
  <c r="BC32" i="5"/>
  <c r="AJ32" i="5"/>
  <c r="PP31" i="5"/>
  <c r="PO31" i="5"/>
  <c r="PN31" i="5"/>
  <c r="OA31" i="5"/>
  <c r="NZ31" i="5"/>
  <c r="NY31" i="5"/>
  <c r="NX31" i="5"/>
  <c r="MJ31" i="5"/>
  <c r="MI31" i="5"/>
  <c r="MH31" i="5"/>
  <c r="PP30" i="5"/>
  <c r="PO30" i="5"/>
  <c r="PN30" i="5"/>
  <c r="OA30" i="5"/>
  <c r="NZ30" i="5"/>
  <c r="NY30" i="5"/>
  <c r="NX30" i="5"/>
  <c r="MK30" i="5"/>
  <c r="MJ30" i="5"/>
  <c r="MI30" i="5"/>
  <c r="MH30" i="5"/>
  <c r="KU30" i="5"/>
  <c r="KT30" i="5"/>
  <c r="KS30" i="5"/>
  <c r="KR30" i="5"/>
  <c r="JE30" i="5"/>
  <c r="JD30" i="5"/>
  <c r="JC30" i="5"/>
  <c r="JB30" i="5"/>
  <c r="HO30" i="5"/>
  <c r="HN30" i="5"/>
  <c r="HM30" i="5"/>
  <c r="HL30" i="5"/>
  <c r="FY30" i="5"/>
  <c r="FX30" i="5"/>
  <c r="FW30" i="5"/>
  <c r="FV30" i="5"/>
  <c r="EI30" i="5"/>
  <c r="EG30" i="5"/>
  <c r="EF30" i="5"/>
  <c r="CX30" i="5"/>
  <c r="EH30" i="5" s="1"/>
  <c r="CS30" i="5"/>
  <c r="CQ30" i="5"/>
  <c r="CP30" i="5"/>
  <c r="CO30" i="5"/>
  <c r="CL30" i="5"/>
  <c r="CI30" i="5"/>
  <c r="CF30" i="5"/>
  <c r="CC30" i="5"/>
  <c r="BZ30" i="5"/>
  <c r="BW30" i="5"/>
  <c r="BT30" i="5"/>
  <c r="BQ30" i="5"/>
  <c r="BN30" i="5"/>
  <c r="BK30" i="5"/>
  <c r="BH30" i="5"/>
  <c r="BC30" i="5"/>
  <c r="AJ30" i="5"/>
  <c r="PP29" i="5"/>
  <c r="PO29" i="5"/>
  <c r="PN29" i="5"/>
  <c r="OA29" i="5"/>
  <c r="NZ29" i="5"/>
  <c r="NY29" i="5"/>
  <c r="NX29" i="5"/>
  <c r="MK29" i="5"/>
  <c r="MJ29" i="5"/>
  <c r="MI29" i="5"/>
  <c r="MH29" i="5"/>
  <c r="KU29" i="5"/>
  <c r="KT29" i="5"/>
  <c r="KS29" i="5"/>
  <c r="KR29" i="5"/>
  <c r="JE29" i="5"/>
  <c r="JD29" i="5"/>
  <c r="JC29" i="5"/>
  <c r="JB29" i="5"/>
  <c r="HO29" i="5"/>
  <c r="HN29" i="5"/>
  <c r="HM29" i="5"/>
  <c r="HL29" i="5"/>
  <c r="FY29" i="5"/>
  <c r="FX29" i="5"/>
  <c r="FW29" i="5"/>
  <c r="FV29" i="5"/>
  <c r="EI29" i="5"/>
  <c r="EG29" i="5"/>
  <c r="EF29" i="5"/>
  <c r="CX29" i="5"/>
  <c r="EH29" i="5" s="1"/>
  <c r="CS29" i="5"/>
  <c r="CQ29" i="5"/>
  <c r="CP29" i="5"/>
  <c r="CO29" i="5"/>
  <c r="CL29" i="5"/>
  <c r="CI29" i="5"/>
  <c r="CF29" i="5"/>
  <c r="CC29" i="5"/>
  <c r="BZ29" i="5"/>
  <c r="BW29" i="5"/>
  <c r="BT29" i="5"/>
  <c r="BQ29" i="5"/>
  <c r="BN29" i="5"/>
  <c r="BK29" i="5"/>
  <c r="BH29" i="5"/>
  <c r="AJ29" i="5"/>
  <c r="PP28" i="5"/>
  <c r="PO28" i="5"/>
  <c r="PN28" i="5"/>
  <c r="OA28" i="5"/>
  <c r="NZ28" i="5"/>
  <c r="NY28" i="5"/>
  <c r="NX28" i="5"/>
  <c r="MK28" i="5"/>
  <c r="MJ28" i="5"/>
  <c r="MI28" i="5"/>
  <c r="MH28" i="5"/>
  <c r="KU28" i="5"/>
  <c r="KT28" i="5"/>
  <c r="KS28" i="5"/>
  <c r="KR28" i="5"/>
  <c r="JE28" i="5"/>
  <c r="JD28" i="5"/>
  <c r="JC28" i="5"/>
  <c r="JB28" i="5"/>
  <c r="HO28" i="5"/>
  <c r="HN28" i="5"/>
  <c r="HM28" i="5"/>
  <c r="HL28" i="5"/>
  <c r="FY28" i="5"/>
  <c r="FX28" i="5"/>
  <c r="FW28" i="5"/>
  <c r="FV28" i="5"/>
  <c r="EI28" i="5"/>
  <c r="EG28" i="5"/>
  <c r="EF28" i="5"/>
  <c r="CX28" i="5"/>
  <c r="EH28" i="5" s="1"/>
  <c r="CS28" i="5"/>
  <c r="CQ28" i="5"/>
  <c r="CP28" i="5"/>
  <c r="CO28" i="5"/>
  <c r="CL28" i="5"/>
  <c r="CI28" i="5"/>
  <c r="CF28" i="5"/>
  <c r="CC28" i="5"/>
  <c r="BZ28" i="5"/>
  <c r="BW28" i="5"/>
  <c r="BT28" i="5"/>
  <c r="BQ28" i="5"/>
  <c r="BN28" i="5"/>
  <c r="BK28" i="5"/>
  <c r="BH28" i="5"/>
  <c r="BC28" i="5"/>
  <c r="AJ28" i="5"/>
  <c r="PP27" i="5"/>
  <c r="PO27" i="5"/>
  <c r="PN27" i="5"/>
  <c r="OA27" i="5"/>
  <c r="NZ27" i="5"/>
  <c r="NY27" i="5"/>
  <c r="NX27" i="5"/>
  <c r="MK27" i="5"/>
  <c r="MJ27" i="5"/>
  <c r="MI27" i="5"/>
  <c r="MH27" i="5"/>
  <c r="KU27" i="5"/>
  <c r="KT27" i="5"/>
  <c r="KS27" i="5"/>
  <c r="KR27" i="5"/>
  <c r="JE27" i="5"/>
  <c r="JD27" i="5"/>
  <c r="JC27" i="5"/>
  <c r="JB27" i="5"/>
  <c r="HO27" i="5"/>
  <c r="HN27" i="5"/>
  <c r="HM27" i="5"/>
  <c r="HL27" i="5"/>
  <c r="FY27" i="5"/>
  <c r="FX27" i="5"/>
  <c r="FW27" i="5"/>
  <c r="FV27" i="5"/>
  <c r="EI27" i="5"/>
  <c r="EG27" i="5"/>
  <c r="EF27" i="5"/>
  <c r="CX27" i="5"/>
  <c r="EH27" i="5" s="1"/>
  <c r="CS27" i="5"/>
  <c r="CQ27" i="5"/>
  <c r="CP27" i="5"/>
  <c r="CO27" i="5"/>
  <c r="CL27" i="5"/>
  <c r="CI27" i="5"/>
  <c r="CF27" i="5"/>
  <c r="CC27" i="5"/>
  <c r="BZ27" i="5"/>
  <c r="BW27" i="5"/>
  <c r="BT27" i="5"/>
  <c r="BQ27" i="5"/>
  <c r="BN27" i="5"/>
  <c r="BK27" i="5"/>
  <c r="BH27" i="5"/>
  <c r="BC27" i="5"/>
  <c r="AJ27" i="5"/>
  <c r="PP26" i="5"/>
  <c r="PO26" i="5"/>
  <c r="PN26" i="5"/>
  <c r="OA26" i="5"/>
  <c r="NZ26" i="5"/>
  <c r="NY26" i="5"/>
  <c r="NX26" i="5"/>
  <c r="MK26" i="5"/>
  <c r="MJ26" i="5"/>
  <c r="MI26" i="5"/>
  <c r="MH26" i="5"/>
  <c r="KU26" i="5"/>
  <c r="KT26" i="5"/>
  <c r="KS26" i="5"/>
  <c r="KR26" i="5"/>
  <c r="JE26" i="5"/>
  <c r="JD26" i="5"/>
  <c r="JC26" i="5"/>
  <c r="JB26" i="5"/>
  <c r="HO26" i="5"/>
  <c r="HN26" i="5"/>
  <c r="HM26" i="5"/>
  <c r="HL26" i="5"/>
  <c r="FY26" i="5"/>
  <c r="FX26" i="5"/>
  <c r="FW26" i="5"/>
  <c r="FV26" i="5"/>
  <c r="EI26" i="5"/>
  <c r="EG26" i="5"/>
  <c r="EF26" i="5"/>
  <c r="CX26" i="5"/>
  <c r="EH26" i="5" s="1"/>
  <c r="CS26" i="5"/>
  <c r="CQ26" i="5"/>
  <c r="CP26" i="5"/>
  <c r="CO26" i="5"/>
  <c r="CL26" i="5"/>
  <c r="CI26" i="5"/>
  <c r="CF26" i="5"/>
  <c r="CC26" i="5"/>
  <c r="BZ26" i="5"/>
  <c r="BW26" i="5"/>
  <c r="BT26" i="5"/>
  <c r="BQ26" i="5"/>
  <c r="BN26" i="5"/>
  <c r="BK26" i="5"/>
  <c r="BH26" i="5"/>
  <c r="BC26" i="5"/>
  <c r="AJ26" i="5"/>
  <c r="PP25" i="5"/>
  <c r="PO25" i="5"/>
  <c r="PN25" i="5"/>
  <c r="OA25" i="5"/>
  <c r="NZ25" i="5"/>
  <c r="NY25" i="5"/>
  <c r="NX25" i="5"/>
  <c r="MK25" i="5"/>
  <c r="MJ25" i="5"/>
  <c r="MI25" i="5"/>
  <c r="MH25" i="5"/>
  <c r="KU25" i="5"/>
  <c r="KT25" i="5"/>
  <c r="KS25" i="5"/>
  <c r="KR25" i="5"/>
  <c r="JE25" i="5"/>
  <c r="JD25" i="5"/>
  <c r="JC25" i="5"/>
  <c r="JB25" i="5"/>
  <c r="HO25" i="5"/>
  <c r="HN25" i="5"/>
  <c r="HM25" i="5"/>
  <c r="HL25" i="5"/>
  <c r="FY25" i="5"/>
  <c r="FX25" i="5"/>
  <c r="FW25" i="5"/>
  <c r="FV25" i="5"/>
  <c r="EI25" i="5"/>
  <c r="EG25" i="5"/>
  <c r="EF25" i="5"/>
  <c r="CX25" i="5"/>
  <c r="EH25" i="5" s="1"/>
  <c r="CS25" i="5"/>
  <c r="CQ25" i="5"/>
  <c r="CP25" i="5"/>
  <c r="CO25" i="5"/>
  <c r="CL25" i="5"/>
  <c r="CI25" i="5"/>
  <c r="CF25" i="5"/>
  <c r="CC25" i="5"/>
  <c r="BZ25" i="5"/>
  <c r="BW25" i="5"/>
  <c r="BT25" i="5"/>
  <c r="BQ25" i="5"/>
  <c r="BN25" i="5"/>
  <c r="BK25" i="5"/>
  <c r="BH25" i="5"/>
  <c r="BC25" i="5"/>
  <c r="AJ25" i="5"/>
  <c r="PP24" i="5"/>
  <c r="PO24" i="5"/>
  <c r="PN24" i="5"/>
  <c r="OA24" i="5"/>
  <c r="NZ24" i="5"/>
  <c r="NY24" i="5"/>
  <c r="NX24" i="5"/>
  <c r="MK24" i="5"/>
  <c r="MJ24" i="5"/>
  <c r="MI24" i="5"/>
  <c r="MH24" i="5"/>
  <c r="KU24" i="5"/>
  <c r="KT24" i="5"/>
  <c r="KS24" i="5"/>
  <c r="KR24" i="5"/>
  <c r="JE24" i="5"/>
  <c r="JD24" i="5"/>
  <c r="JC24" i="5"/>
  <c r="JB24" i="5"/>
  <c r="HO24" i="5"/>
  <c r="HN24" i="5"/>
  <c r="HM24" i="5"/>
  <c r="HL24" i="5"/>
  <c r="FY24" i="5"/>
  <c r="FX24" i="5"/>
  <c r="FW24" i="5"/>
  <c r="FV24" i="5"/>
  <c r="EI24" i="5"/>
  <c r="EG24" i="5"/>
  <c r="EF24" i="5"/>
  <c r="CX24" i="5"/>
  <c r="EH24" i="5" s="1"/>
  <c r="CS24" i="5"/>
  <c r="CQ24" i="5"/>
  <c r="CP24" i="5"/>
  <c r="CO24" i="5"/>
  <c r="CL24" i="5"/>
  <c r="CI24" i="5"/>
  <c r="CF24" i="5"/>
  <c r="CC24" i="5"/>
  <c r="BZ24" i="5"/>
  <c r="BW24" i="5"/>
  <c r="BT24" i="5"/>
  <c r="BQ24" i="5"/>
  <c r="BN24" i="5"/>
  <c r="BK24" i="5"/>
  <c r="BH24" i="5"/>
  <c r="BC24" i="5"/>
  <c r="AJ24" i="5"/>
  <c r="PP23" i="5"/>
  <c r="PO23" i="5"/>
  <c r="PN23" i="5"/>
  <c r="OA23" i="5"/>
  <c r="NZ23" i="5"/>
  <c r="NY23" i="5"/>
  <c r="NX23" i="5"/>
  <c r="MK23" i="5"/>
  <c r="MJ23" i="5"/>
  <c r="MI23" i="5"/>
  <c r="MH23" i="5"/>
  <c r="KU23" i="5"/>
  <c r="KT23" i="5"/>
  <c r="KS23" i="5"/>
  <c r="KR23" i="5"/>
  <c r="JE23" i="5"/>
  <c r="JD23" i="5"/>
  <c r="JC23" i="5"/>
  <c r="JB23" i="5"/>
  <c r="HO23" i="5"/>
  <c r="HN23" i="5"/>
  <c r="HM23" i="5"/>
  <c r="HL23" i="5"/>
  <c r="FY23" i="5"/>
  <c r="FX23" i="5"/>
  <c r="FW23" i="5"/>
  <c r="FV23" i="5"/>
  <c r="EI23" i="5"/>
  <c r="EG23" i="5"/>
  <c r="EF23" i="5"/>
  <c r="CX23" i="5"/>
  <c r="EH23" i="5" s="1"/>
  <c r="CS23" i="5"/>
  <c r="CQ23" i="5"/>
  <c r="CP23" i="5"/>
  <c r="CO23" i="5"/>
  <c r="CL23" i="5"/>
  <c r="CI23" i="5"/>
  <c r="CF23" i="5"/>
  <c r="CC23" i="5"/>
  <c r="BZ23" i="5"/>
  <c r="BW23" i="5"/>
  <c r="BT23" i="5"/>
  <c r="BQ23" i="5"/>
  <c r="BN23" i="5"/>
  <c r="BK23" i="5"/>
  <c r="BH23" i="5"/>
  <c r="BC23" i="5"/>
  <c r="AJ23" i="5"/>
  <c r="PP22" i="5"/>
  <c r="PO22" i="5"/>
  <c r="PN22" i="5"/>
  <c r="OA22" i="5"/>
  <c r="NZ22" i="5"/>
  <c r="NY22" i="5"/>
  <c r="NX22" i="5"/>
  <c r="MK22" i="5"/>
  <c r="MJ22" i="5"/>
  <c r="MI22" i="5"/>
  <c r="MH22" i="5"/>
  <c r="KU22" i="5"/>
  <c r="KT22" i="5"/>
  <c r="KS22" i="5"/>
  <c r="KR22" i="5"/>
  <c r="JE22" i="5"/>
  <c r="JD22" i="5"/>
  <c r="JC22" i="5"/>
  <c r="JB22" i="5"/>
  <c r="HO22" i="5"/>
  <c r="HN22" i="5"/>
  <c r="HM22" i="5"/>
  <c r="HL22" i="5"/>
  <c r="FY22" i="5"/>
  <c r="FX22" i="5"/>
  <c r="FW22" i="5"/>
  <c r="FV22" i="5"/>
  <c r="EI22" i="5"/>
  <c r="EG22" i="5"/>
  <c r="EF22" i="5"/>
  <c r="CX22" i="5"/>
  <c r="EH22" i="5" s="1"/>
  <c r="CS22" i="5"/>
  <c r="CQ22" i="5"/>
  <c r="CP22" i="5"/>
  <c r="CO22" i="5"/>
  <c r="CL22" i="5"/>
  <c r="CI22" i="5"/>
  <c r="CF22" i="5"/>
  <c r="CC22" i="5"/>
  <c r="BZ22" i="5"/>
  <c r="BW22" i="5"/>
  <c r="BT22" i="5"/>
  <c r="BQ22" i="5"/>
  <c r="BN22" i="5"/>
  <c r="BK22" i="5"/>
  <c r="BH22" i="5"/>
  <c r="BC22" i="5"/>
  <c r="AJ22" i="5"/>
  <c r="PP21" i="5"/>
  <c r="PO21" i="5"/>
  <c r="PN21" i="5"/>
  <c r="OC21" i="5"/>
  <c r="NZ21" i="5"/>
  <c r="NY21" i="5"/>
  <c r="NX21" i="5"/>
  <c r="MM21" i="5"/>
  <c r="MK21" i="5" s="1"/>
  <c r="MJ21" i="5"/>
  <c r="MI21" i="5"/>
  <c r="MH21" i="5"/>
  <c r="KW21" i="5"/>
  <c r="KU21" i="5" s="1"/>
  <c r="KT21" i="5"/>
  <c r="KS21" i="5"/>
  <c r="KR21" i="5"/>
  <c r="JG21" i="5"/>
  <c r="JE21" i="5" s="1"/>
  <c r="JD21" i="5"/>
  <c r="JC21" i="5"/>
  <c r="JB21" i="5"/>
  <c r="HQ21" i="5"/>
  <c r="HO21" i="5" s="1"/>
  <c r="HN21" i="5"/>
  <c r="HM21" i="5"/>
  <c r="HL21" i="5"/>
  <c r="GA21" i="5"/>
  <c r="FY21" i="5" s="1"/>
  <c r="FX21" i="5"/>
  <c r="FW21" i="5"/>
  <c r="FV21" i="5"/>
  <c r="EK21" i="5"/>
  <c r="EG21" i="5"/>
  <c r="CV21" i="5"/>
  <c r="EF21" i="5" s="1"/>
  <c r="CU21" i="5"/>
  <c r="CS21" i="5" s="1"/>
  <c r="CM21" i="5"/>
  <c r="CM19" i="5" s="1"/>
  <c r="CM16" i="5" s="1"/>
  <c r="CJ21" i="5"/>
  <c r="CJ19" i="5" s="1"/>
  <c r="CJ16" i="5" s="1"/>
  <c r="CG21" i="5"/>
  <c r="CG19" i="5" s="1"/>
  <c r="CG16" i="5" s="1"/>
  <c r="CD21" i="5"/>
  <c r="CD19" i="5" s="1"/>
  <c r="CD16" i="5" s="1"/>
  <c r="CA21" i="5"/>
  <c r="CA19" i="5" s="1"/>
  <c r="CA16" i="5" s="1"/>
  <c r="BX21" i="5"/>
  <c r="BX19" i="5" s="1"/>
  <c r="BX16" i="5" s="1"/>
  <c r="BU21" i="5"/>
  <c r="BU19" i="5" s="1"/>
  <c r="BU16" i="5" s="1"/>
  <c r="BR21" i="5"/>
  <c r="BR19" i="5" s="1"/>
  <c r="BR16" i="5" s="1"/>
  <c r="BO21" i="5"/>
  <c r="BO19" i="5" s="1"/>
  <c r="BO16" i="5" s="1"/>
  <c r="BL21" i="5"/>
  <c r="BL19" i="5" s="1"/>
  <c r="BL16" i="5" s="1"/>
  <c r="BJ21" i="5"/>
  <c r="BJ19" i="5" s="1"/>
  <c r="BJ16" i="5" s="1"/>
  <c r="BI21" i="5"/>
  <c r="BI19" i="5" s="1"/>
  <c r="BI16" i="5" s="1"/>
  <c r="BG21" i="5"/>
  <c r="BG19" i="5" s="1"/>
  <c r="BF21" i="5"/>
  <c r="BF19" i="5" s="1"/>
  <c r="BC21" i="5"/>
  <c r="AJ21" i="5"/>
  <c r="PP20" i="5"/>
  <c r="PO20" i="5"/>
  <c r="PN20" i="5"/>
  <c r="OA20" i="5"/>
  <c r="NZ20" i="5"/>
  <c r="NY20" i="5"/>
  <c r="NX20" i="5"/>
  <c r="MK20" i="5"/>
  <c r="MJ20" i="5"/>
  <c r="MI20" i="5"/>
  <c r="MH20" i="5"/>
  <c r="KU20" i="5"/>
  <c r="KT20" i="5"/>
  <c r="KS20" i="5"/>
  <c r="KR20" i="5"/>
  <c r="JE20" i="5"/>
  <c r="JD20" i="5"/>
  <c r="JC20" i="5"/>
  <c r="JB20" i="5"/>
  <c r="HO20" i="5"/>
  <c r="HN20" i="5"/>
  <c r="HM20" i="5"/>
  <c r="HL20" i="5"/>
  <c r="FY20" i="5"/>
  <c r="FX20" i="5"/>
  <c r="FW20" i="5"/>
  <c r="FV20" i="5"/>
  <c r="EI20" i="5"/>
  <c r="EG20" i="5"/>
  <c r="EF20" i="5"/>
  <c r="CX20" i="5"/>
  <c r="EH20" i="5" s="1"/>
  <c r="CS20" i="5"/>
  <c r="CQ20" i="5"/>
  <c r="CP20" i="5"/>
  <c r="CO20" i="5"/>
  <c r="CL20" i="5"/>
  <c r="CI20" i="5"/>
  <c r="CF20" i="5"/>
  <c r="CC20" i="5"/>
  <c r="BZ20" i="5"/>
  <c r="BW20" i="5"/>
  <c r="BT20" i="5"/>
  <c r="BQ20" i="5"/>
  <c r="BN20" i="5"/>
  <c r="BK20" i="5"/>
  <c r="BH20" i="5"/>
  <c r="BC20" i="5"/>
  <c r="AJ20" i="5"/>
  <c r="PP19" i="5"/>
  <c r="PO19" i="5"/>
  <c r="PN19" i="5"/>
  <c r="NZ19" i="5"/>
  <c r="NY19" i="5"/>
  <c r="NX19" i="5"/>
  <c r="MJ19" i="5"/>
  <c r="MI19" i="5"/>
  <c r="MH19" i="5"/>
  <c r="KT19" i="5"/>
  <c r="KS19" i="5"/>
  <c r="KR19" i="5"/>
  <c r="JD19" i="5"/>
  <c r="JC19" i="5"/>
  <c r="JB19" i="5"/>
  <c r="HN19" i="5"/>
  <c r="HM19" i="5"/>
  <c r="HL19" i="5"/>
  <c r="FX19" i="5"/>
  <c r="FW19" i="5"/>
  <c r="FV19" i="5"/>
  <c r="EG19" i="5"/>
  <c r="BC19" i="5"/>
  <c r="AJ19" i="5"/>
  <c r="PP18" i="5"/>
  <c r="PO18" i="5"/>
  <c r="PN18" i="5"/>
  <c r="OA18" i="5"/>
  <c r="NZ18" i="5"/>
  <c r="NY18" i="5"/>
  <c r="NX18" i="5"/>
  <c r="MK18" i="5"/>
  <c r="MJ18" i="5"/>
  <c r="MI18" i="5"/>
  <c r="MH18" i="5"/>
  <c r="KU18" i="5"/>
  <c r="KT18" i="5"/>
  <c r="KS18" i="5"/>
  <c r="KR18" i="5"/>
  <c r="JE18" i="5"/>
  <c r="JD18" i="5"/>
  <c r="JC18" i="5"/>
  <c r="JB18" i="5"/>
  <c r="HO18" i="5"/>
  <c r="HN18" i="5"/>
  <c r="HM18" i="5"/>
  <c r="HL18" i="5"/>
  <c r="FY18" i="5"/>
  <c r="FX18" i="5"/>
  <c r="FW18" i="5"/>
  <c r="FV18" i="5"/>
  <c r="EI18" i="5"/>
  <c r="EG18" i="5"/>
  <c r="EF18" i="5"/>
  <c r="CX18" i="5"/>
  <c r="EH18" i="5" s="1"/>
  <c r="CS18" i="5"/>
  <c r="CQ18" i="5"/>
  <c r="CP18" i="5"/>
  <c r="CO18" i="5"/>
  <c r="CL18" i="5"/>
  <c r="CI18" i="5"/>
  <c r="CF18" i="5"/>
  <c r="CC18" i="5"/>
  <c r="BZ18" i="5"/>
  <c r="BW18" i="5"/>
  <c r="BT18" i="5"/>
  <c r="BQ18" i="5"/>
  <c r="BN18" i="5"/>
  <c r="BK18" i="5"/>
  <c r="BH18" i="5"/>
  <c r="BC18" i="5"/>
  <c r="AJ18" i="5"/>
  <c r="PP17" i="5"/>
  <c r="PO17" i="5"/>
  <c r="PN17" i="5"/>
  <c r="OA17" i="5"/>
  <c r="NZ17" i="5"/>
  <c r="NY17" i="5"/>
  <c r="NX17" i="5"/>
  <c r="MK17" i="5"/>
  <c r="MJ17" i="5"/>
  <c r="MI17" i="5"/>
  <c r="MH17" i="5"/>
  <c r="KU17" i="5"/>
  <c r="KT17" i="5"/>
  <c r="KS17" i="5"/>
  <c r="KR17" i="5"/>
  <c r="JE17" i="5"/>
  <c r="JD17" i="5"/>
  <c r="JC17" i="5"/>
  <c r="JB17" i="5"/>
  <c r="HO17" i="5"/>
  <c r="HN17" i="5"/>
  <c r="HM17" i="5"/>
  <c r="HL17" i="5"/>
  <c r="FY17" i="5"/>
  <c r="FX17" i="5"/>
  <c r="FW17" i="5"/>
  <c r="FV17" i="5"/>
  <c r="EI17" i="5"/>
  <c r="EG17" i="5"/>
  <c r="EF17" i="5"/>
  <c r="CX17" i="5"/>
  <c r="EH17" i="5" s="1"/>
  <c r="CS17" i="5"/>
  <c r="CQ17" i="5"/>
  <c r="CP17" i="5"/>
  <c r="CO17" i="5"/>
  <c r="CL17" i="5"/>
  <c r="CI17" i="5"/>
  <c r="CF17" i="5"/>
  <c r="CC17" i="5"/>
  <c r="BZ17" i="5"/>
  <c r="BW17" i="5"/>
  <c r="BT17" i="5"/>
  <c r="BQ17" i="5"/>
  <c r="BN17" i="5"/>
  <c r="BK17" i="5"/>
  <c r="BH17" i="5"/>
  <c r="BC17" i="5"/>
  <c r="AJ17" i="5"/>
  <c r="PP16" i="5"/>
  <c r="PO16" i="5"/>
  <c r="PN16" i="5"/>
  <c r="NZ16" i="5"/>
  <c r="NY16" i="5"/>
  <c r="NX16" i="5"/>
  <c r="MJ16" i="5"/>
  <c r="MI16" i="5"/>
  <c r="MH16" i="5"/>
  <c r="KT16" i="5"/>
  <c r="KS16" i="5"/>
  <c r="KR16" i="5"/>
  <c r="JD16" i="5"/>
  <c r="JC16" i="5"/>
  <c r="JB16" i="5"/>
  <c r="HN16" i="5"/>
  <c r="HM16" i="5"/>
  <c r="HL16" i="5"/>
  <c r="FX16" i="5"/>
  <c r="FW16" i="5"/>
  <c r="FV16" i="5"/>
  <c r="EG16" i="5"/>
  <c r="BC16" i="5"/>
  <c r="AJ16" i="5"/>
  <c r="PP15" i="5"/>
  <c r="PO15" i="5"/>
  <c r="PN15" i="5"/>
  <c r="OA15" i="5"/>
  <c r="NZ15" i="5"/>
  <c r="NY15" i="5"/>
  <c r="NX15" i="5"/>
  <c r="MK15" i="5"/>
  <c r="MJ15" i="5"/>
  <c r="MI15" i="5"/>
  <c r="MH15" i="5"/>
  <c r="KU15" i="5"/>
  <c r="KT15" i="5"/>
  <c r="KS15" i="5"/>
  <c r="KR15" i="5"/>
  <c r="JE15" i="5"/>
  <c r="JD15" i="5"/>
  <c r="JC15" i="5"/>
  <c r="JB15" i="5"/>
  <c r="HO15" i="5"/>
  <c r="HN15" i="5"/>
  <c r="HM15" i="5"/>
  <c r="HL15" i="5"/>
  <c r="PP14" i="5"/>
  <c r="PO14" i="5"/>
  <c r="PN14" i="5"/>
  <c r="OA14" i="5"/>
  <c r="NZ14" i="5"/>
  <c r="NY14" i="5"/>
  <c r="NX14" i="5"/>
  <c r="MK14" i="5"/>
  <c r="MJ14" i="5"/>
  <c r="MI14" i="5"/>
  <c r="MH14" i="5"/>
  <c r="KU14" i="5"/>
  <c r="KT14" i="5"/>
  <c r="KS14" i="5"/>
  <c r="KR14" i="5"/>
  <c r="JE14" i="5"/>
  <c r="JD14" i="5"/>
  <c r="JC14" i="5"/>
  <c r="JB14" i="5"/>
  <c r="HO14" i="5"/>
  <c r="HN14" i="5"/>
  <c r="HM14" i="5"/>
  <c r="HL14" i="5"/>
  <c r="FX14" i="5"/>
  <c r="FW14" i="5"/>
  <c r="FV14" i="5"/>
  <c r="EH14" i="5"/>
  <c r="EG14" i="5"/>
  <c r="EF14" i="5"/>
  <c r="PP13" i="5"/>
  <c r="PO13" i="5"/>
  <c r="PN13" i="5"/>
  <c r="OA13" i="5"/>
  <c r="NZ13" i="5"/>
  <c r="NY13" i="5"/>
  <c r="NX13" i="5"/>
  <c r="MK13" i="5"/>
  <c r="MJ13" i="5"/>
  <c r="MI13" i="5"/>
  <c r="MH13" i="5"/>
  <c r="KU13" i="5"/>
  <c r="KT13" i="5"/>
  <c r="KS13" i="5"/>
  <c r="KR13" i="5"/>
  <c r="JE13" i="5"/>
  <c r="JD13" i="5"/>
  <c r="JC13" i="5"/>
  <c r="JB13" i="5"/>
  <c r="HO13" i="5"/>
  <c r="HN13" i="5"/>
  <c r="HM13" i="5"/>
  <c r="HL13" i="5"/>
  <c r="FY13" i="5"/>
  <c r="FX13" i="5"/>
  <c r="FW13" i="5"/>
  <c r="FV13" i="5"/>
  <c r="EI13" i="5"/>
  <c r="EG13" i="5"/>
  <c r="EF13" i="5"/>
  <c r="CX13" i="5"/>
  <c r="CS13" i="5"/>
  <c r="CQ13" i="5"/>
  <c r="CP13" i="5"/>
  <c r="CO13" i="5"/>
  <c r="CL13" i="5"/>
  <c r="CI13" i="5"/>
  <c r="CF13" i="5"/>
  <c r="CC13" i="5"/>
  <c r="BZ13" i="5"/>
  <c r="BW13" i="5"/>
  <c r="BT13" i="5"/>
  <c r="BQ13" i="5"/>
  <c r="BN13" i="5"/>
  <c r="BK13" i="5"/>
  <c r="BH13" i="5"/>
  <c r="BC13" i="5"/>
  <c r="AJ13" i="5"/>
  <c r="PP11" i="5"/>
  <c r="PO11" i="5"/>
  <c r="PN11" i="5"/>
  <c r="OA11" i="5"/>
  <c r="NZ11" i="5"/>
  <c r="NY11" i="5"/>
  <c r="NX11" i="5"/>
  <c r="MK11" i="5"/>
  <c r="MJ11" i="5"/>
  <c r="MI11" i="5"/>
  <c r="MH11" i="5"/>
  <c r="KU11" i="5"/>
  <c r="KT11" i="5"/>
  <c r="KS11" i="5"/>
  <c r="KR11" i="5"/>
  <c r="JE11" i="5"/>
  <c r="JD11" i="5"/>
  <c r="JC11" i="5"/>
  <c r="JB11" i="5"/>
  <c r="HO11" i="5"/>
  <c r="HN11" i="5"/>
  <c r="HM11" i="5"/>
  <c r="HL11" i="5"/>
  <c r="FY11" i="5"/>
  <c r="FX11" i="5"/>
  <c r="FW11" i="5"/>
  <c r="FV11" i="5"/>
  <c r="EI11" i="5"/>
  <c r="EG11" i="5"/>
  <c r="EF11" i="5"/>
  <c r="CX11" i="5"/>
  <c r="EH11" i="5" s="1"/>
  <c r="CS11" i="5"/>
  <c r="CQ11" i="5"/>
  <c r="CP11" i="5"/>
  <c r="CO11" i="5"/>
  <c r="CL11" i="5"/>
  <c r="CI11" i="5"/>
  <c r="CF11" i="5"/>
  <c r="CC11" i="5"/>
  <c r="BZ11" i="5"/>
  <c r="BW11" i="5"/>
  <c r="BT11" i="5"/>
  <c r="BQ11" i="5"/>
  <c r="BN11" i="5"/>
  <c r="BK11" i="5"/>
  <c r="BH11" i="5"/>
  <c r="BC11" i="5"/>
  <c r="AJ11" i="5"/>
  <c r="PP10" i="5"/>
  <c r="PO10" i="5"/>
  <c r="PN10" i="5"/>
  <c r="OC10" i="5"/>
  <c r="OA10" i="5" s="1"/>
  <c r="NZ10" i="5"/>
  <c r="NY10" i="5"/>
  <c r="NX10" i="5"/>
  <c r="MM10" i="5"/>
  <c r="MK10" i="5" s="1"/>
  <c r="MJ10" i="5"/>
  <c r="MI10" i="5"/>
  <c r="MH10" i="5"/>
  <c r="KW10" i="5"/>
  <c r="KU10" i="5" s="1"/>
  <c r="KT10" i="5"/>
  <c r="KS10" i="5"/>
  <c r="KR10" i="5"/>
  <c r="JG10" i="5"/>
  <c r="JE10" i="5" s="1"/>
  <c r="JD10" i="5"/>
  <c r="JC10" i="5"/>
  <c r="JB10" i="5"/>
  <c r="HQ10" i="5"/>
  <c r="HO10" i="5" s="1"/>
  <c r="HN10" i="5"/>
  <c r="HM10" i="5"/>
  <c r="HL10" i="5"/>
  <c r="GA10" i="5"/>
  <c r="FY10" i="5" s="1"/>
  <c r="FX10" i="5"/>
  <c r="FW10" i="5"/>
  <c r="FV10" i="5"/>
  <c r="EK10" i="5"/>
  <c r="EG10" i="5"/>
  <c r="CV10" i="5"/>
  <c r="CU10" i="5"/>
  <c r="CS10" i="5" s="1"/>
  <c r="CM10" i="5"/>
  <c r="CJ10" i="5"/>
  <c r="CG10" i="5"/>
  <c r="CD10" i="5"/>
  <c r="CA10" i="5"/>
  <c r="BX10" i="5"/>
  <c r="BU10" i="5"/>
  <c r="BR10" i="5"/>
  <c r="BO10" i="5"/>
  <c r="BL10" i="5"/>
  <c r="BJ10" i="5"/>
  <c r="BI10" i="5"/>
  <c r="BG10" i="5"/>
  <c r="BF10" i="5"/>
  <c r="BC10" i="5"/>
  <c r="AJ10" i="5"/>
  <c r="PP9" i="5"/>
  <c r="PO9" i="5"/>
  <c r="PN9" i="5"/>
  <c r="NZ9" i="5"/>
  <c r="NY9" i="5"/>
  <c r="NX9" i="5"/>
  <c r="MJ9" i="5"/>
  <c r="MI9" i="5"/>
  <c r="MH9" i="5"/>
  <c r="KT9" i="5"/>
  <c r="KS9" i="5"/>
  <c r="KR9" i="5"/>
  <c r="JD9" i="5"/>
  <c r="JC9" i="5"/>
  <c r="JB9" i="5"/>
  <c r="HN9" i="5"/>
  <c r="HM9" i="5"/>
  <c r="HL9" i="5"/>
  <c r="FX9" i="5"/>
  <c r="FW9" i="5"/>
  <c r="FV9" i="5"/>
  <c r="CW9" i="5"/>
  <c r="EG9" i="5" s="1"/>
  <c r="CN9" i="5"/>
  <c r="CK9" i="5"/>
  <c r="CH9" i="5"/>
  <c r="CE9" i="5"/>
  <c r="CB9" i="5"/>
  <c r="BY9" i="5"/>
  <c r="BV9" i="5"/>
  <c r="BS9" i="5"/>
  <c r="BP9" i="5"/>
  <c r="BM9" i="5"/>
  <c r="BC9" i="5"/>
  <c r="AJ9" i="5"/>
  <c r="PP8" i="5"/>
  <c r="PO8" i="5"/>
  <c r="PN8" i="5"/>
  <c r="NZ8" i="5"/>
  <c r="NY8" i="5"/>
  <c r="NX8" i="5"/>
  <c r="ML8" i="5"/>
  <c r="MJ8" i="5"/>
  <c r="MI8" i="5"/>
  <c r="MH8" i="5"/>
  <c r="KT8" i="5"/>
  <c r="KS8" i="5"/>
  <c r="KR8" i="5"/>
  <c r="JD8" i="5"/>
  <c r="JC8" i="5"/>
  <c r="JB8" i="5"/>
  <c r="HN8" i="5"/>
  <c r="HM8" i="5"/>
  <c r="HL8" i="5"/>
  <c r="FX8" i="5"/>
  <c r="FW8" i="5"/>
  <c r="FV8" i="5"/>
  <c r="BC8" i="5"/>
  <c r="WD5" i="5"/>
  <c r="WD6" i="5" s="1"/>
  <c r="JE5" i="5"/>
  <c r="HO5" i="5"/>
  <c r="FR72" i="3"/>
  <c r="FD72" i="3"/>
  <c r="EP72" i="3"/>
  <c r="EB72" i="3"/>
  <c r="DN72" i="3"/>
  <c r="CZ72" i="3"/>
  <c r="CL72" i="3"/>
  <c r="DN71" i="3"/>
  <c r="CZ71" i="3"/>
  <c r="CL71" i="3"/>
  <c r="BX71" i="3"/>
  <c r="FR70" i="3"/>
  <c r="FD70" i="3"/>
  <c r="EP70" i="3"/>
  <c r="EB70" i="3"/>
  <c r="DN70" i="3"/>
  <c r="CZ70" i="3"/>
  <c r="CL70" i="3"/>
  <c r="BX70" i="3"/>
  <c r="FR69" i="3"/>
  <c r="FD69" i="3"/>
  <c r="EP69" i="3"/>
  <c r="EB69" i="3"/>
  <c r="DN69" i="3"/>
  <c r="CZ69" i="3"/>
  <c r="CL69" i="3"/>
  <c r="BX69" i="3"/>
  <c r="FR68" i="3"/>
  <c r="FD68" i="3"/>
  <c r="EP68" i="3"/>
  <c r="EC68" i="3"/>
  <c r="EC66" i="3" s="1"/>
  <c r="EB68" i="3"/>
  <c r="DN68" i="3"/>
  <c r="DA68" i="3"/>
  <c r="DA66" i="3" s="1"/>
  <c r="CZ68" i="3"/>
  <c r="CL68" i="3"/>
  <c r="BX68" i="3"/>
  <c r="BJ68" i="3"/>
  <c r="FR67" i="3"/>
  <c r="FD67" i="3"/>
  <c r="EP67" i="3"/>
  <c r="EB67" i="3"/>
  <c r="DN67" i="3"/>
  <c r="CZ67" i="3"/>
  <c r="CL67" i="3"/>
  <c r="BX67" i="3"/>
  <c r="FR66" i="3"/>
  <c r="FE66" i="3"/>
  <c r="FD66" i="3"/>
  <c r="EQ66" i="3"/>
  <c r="EP66" i="3"/>
  <c r="EB66" i="3"/>
  <c r="DO66" i="3"/>
  <c r="DN66" i="3"/>
  <c r="CZ66" i="3"/>
  <c r="CM66" i="3"/>
  <c r="CL66" i="3"/>
  <c r="BY66" i="3"/>
  <c r="BL66" i="3"/>
  <c r="BX66" i="3" s="1"/>
  <c r="BK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FR65" i="3"/>
  <c r="FD65" i="3"/>
  <c r="EP65" i="3"/>
  <c r="EB65" i="3"/>
  <c r="DN65" i="3"/>
  <c r="CZ65" i="3"/>
  <c r="CL65" i="3"/>
  <c r="BX65" i="3"/>
  <c r="BJ65" i="3"/>
  <c r="FR64" i="3"/>
  <c r="FD64" i="3"/>
  <c r="EP64" i="3"/>
  <c r="EB64" i="3"/>
  <c r="DN64" i="3"/>
  <c r="CZ64" i="3"/>
  <c r="CL64" i="3"/>
  <c r="BX64" i="3"/>
  <c r="BJ64" i="3"/>
  <c r="FR63" i="3"/>
  <c r="FD63" i="3"/>
  <c r="EQ63" i="3"/>
  <c r="EP63" i="3"/>
  <c r="EC63" i="3"/>
  <c r="EB63" i="3"/>
  <c r="DO63" i="3"/>
  <c r="DN63" i="3"/>
  <c r="DA63" i="3"/>
  <c r="CZ63" i="3"/>
  <c r="CM63" i="3"/>
  <c r="CL63" i="3"/>
  <c r="BY63" i="3"/>
  <c r="BL63" i="3"/>
  <c r="BK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FR62" i="3"/>
  <c r="FD62" i="3"/>
  <c r="EP62" i="3"/>
  <c r="EB62" i="3"/>
  <c r="DN62" i="3"/>
  <c r="CZ62" i="3"/>
  <c r="CL62" i="3"/>
  <c r="FR61" i="3"/>
  <c r="FD61" i="3"/>
  <c r="EP61" i="3"/>
  <c r="EB61" i="3"/>
  <c r="DN61" i="3"/>
  <c r="CZ61" i="3"/>
  <c r="CL61" i="3"/>
  <c r="BX61" i="3"/>
  <c r="BJ61" i="3"/>
  <c r="FR60" i="3"/>
  <c r="FD60" i="3"/>
  <c r="EP60" i="3"/>
  <c r="EB60" i="3"/>
  <c r="DN60" i="3"/>
  <c r="CZ60" i="3"/>
  <c r="CL60" i="3"/>
  <c r="BX60" i="3"/>
  <c r="BJ60" i="3"/>
  <c r="FR59" i="3"/>
  <c r="FE59" i="3"/>
  <c r="FD59" i="3"/>
  <c r="EQ59" i="3"/>
  <c r="EP59" i="3"/>
  <c r="EB59" i="3"/>
  <c r="DO59" i="3"/>
  <c r="DN59" i="3"/>
  <c r="DA59" i="3"/>
  <c r="CZ59" i="3"/>
  <c r="CM59" i="3"/>
  <c r="CL59" i="3"/>
  <c r="BX59" i="3"/>
  <c r="BJ59" i="3"/>
  <c r="AI59" i="3"/>
  <c r="FR58" i="3"/>
  <c r="FD58" i="3"/>
  <c r="EP58" i="3"/>
  <c r="EC58" i="3"/>
  <c r="EC59" i="3" s="1"/>
  <c r="EB58" i="3"/>
  <c r="DN58" i="3"/>
  <c r="CZ58" i="3"/>
  <c r="CL58" i="3"/>
  <c r="BX58" i="3"/>
  <c r="BJ58" i="3"/>
  <c r="FR57" i="3"/>
  <c r="FD57" i="3"/>
  <c r="EP57" i="3"/>
  <c r="EB57" i="3"/>
  <c r="DN57" i="3"/>
  <c r="CZ57" i="3"/>
  <c r="CL57" i="3"/>
  <c r="BY57" i="3"/>
  <c r="BL57" i="3"/>
  <c r="BX57" i="3" s="1"/>
  <c r="BK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FR56" i="3"/>
  <c r="FD56" i="3"/>
  <c r="EP56" i="3"/>
  <c r="EB56" i="3"/>
  <c r="DN56" i="3"/>
  <c r="CZ56" i="3"/>
  <c r="CL56" i="3"/>
  <c r="BX56" i="3"/>
  <c r="FR55" i="3"/>
  <c r="FD55" i="3"/>
  <c r="EP55" i="3"/>
  <c r="EC55" i="3"/>
  <c r="EC53" i="3" s="1"/>
  <c r="EB55" i="3"/>
  <c r="DN55" i="3"/>
  <c r="CZ55" i="3"/>
  <c r="CL55" i="3"/>
  <c r="BY55" i="3"/>
  <c r="BY53" i="3" s="1"/>
  <c r="BX55" i="3"/>
  <c r="BJ55" i="3"/>
  <c r="FR54" i="3"/>
  <c r="FD54" i="3"/>
  <c r="EP54" i="3"/>
  <c r="EB54" i="3"/>
  <c r="DN54" i="3"/>
  <c r="CZ54" i="3"/>
  <c r="CL54" i="3"/>
  <c r="BX54" i="3"/>
  <c r="FR53" i="3"/>
  <c r="FE53" i="3"/>
  <c r="FD53" i="3"/>
  <c r="EQ53" i="3"/>
  <c r="EP53" i="3"/>
  <c r="EB53" i="3"/>
  <c r="DO53" i="3"/>
  <c r="DN53" i="3"/>
  <c r="DA53" i="3"/>
  <c r="CZ53" i="3"/>
  <c r="CM53" i="3"/>
  <c r="CL53" i="3"/>
  <c r="BL53" i="3"/>
  <c r="BX53" i="3" s="1"/>
  <c r="BK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FR52" i="3"/>
  <c r="FD52" i="3"/>
  <c r="EP52" i="3"/>
  <c r="EB52" i="3"/>
  <c r="DN52" i="3"/>
  <c r="CZ52" i="3"/>
  <c r="CL52" i="3"/>
  <c r="BX52" i="3"/>
  <c r="FR51" i="3"/>
  <c r="FD51" i="3"/>
  <c r="EP51" i="3"/>
  <c r="EB51" i="3"/>
  <c r="DN51" i="3"/>
  <c r="CZ51" i="3"/>
  <c r="CL51" i="3"/>
  <c r="BX51" i="3"/>
  <c r="BJ51" i="3"/>
  <c r="FR50" i="3"/>
  <c r="FD50" i="3"/>
  <c r="EP50" i="3"/>
  <c r="EB50" i="3"/>
  <c r="DN50" i="3"/>
  <c r="CZ50" i="3"/>
  <c r="CL50" i="3"/>
  <c r="BX50" i="3"/>
  <c r="BJ50" i="3"/>
  <c r="FR49" i="3"/>
  <c r="FD49" i="3"/>
  <c r="EP49" i="3"/>
  <c r="EB49" i="3"/>
  <c r="DN49" i="3"/>
  <c r="CZ49" i="3"/>
  <c r="CL49" i="3"/>
  <c r="BX49" i="3"/>
  <c r="BJ49" i="3"/>
  <c r="FR48" i="3"/>
  <c r="FE48" i="3"/>
  <c r="FD48" i="3"/>
  <c r="EQ48" i="3"/>
  <c r="EP48" i="3"/>
  <c r="EC48" i="3"/>
  <c r="EB48" i="3"/>
  <c r="DO48" i="3"/>
  <c r="DN48" i="3"/>
  <c r="DA48" i="3"/>
  <c r="CZ48" i="3"/>
  <c r="CM48" i="3"/>
  <c r="CL48" i="3"/>
  <c r="BY48" i="3"/>
  <c r="BL48" i="3"/>
  <c r="BX48" i="3" s="1"/>
  <c r="BK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FR47" i="3"/>
  <c r="FD47" i="3"/>
  <c r="EP47" i="3"/>
  <c r="EB47" i="3"/>
  <c r="DN47" i="3"/>
  <c r="CZ47" i="3"/>
  <c r="CL47" i="3"/>
  <c r="BX47" i="3"/>
  <c r="BJ47" i="3"/>
  <c r="FR46" i="3"/>
  <c r="FD46" i="3"/>
  <c r="EP46" i="3"/>
  <c r="EB46" i="3"/>
  <c r="DN46" i="3"/>
  <c r="CZ46" i="3"/>
  <c r="CL46" i="3"/>
  <c r="BX46" i="3"/>
  <c r="BJ46" i="3"/>
  <c r="FR45" i="3"/>
  <c r="FD45" i="3"/>
  <c r="EP45" i="3"/>
  <c r="EB45" i="3"/>
  <c r="DN45" i="3"/>
  <c r="CZ45" i="3"/>
  <c r="CL45" i="3"/>
  <c r="BX45" i="3"/>
  <c r="BJ45" i="3"/>
  <c r="FR44" i="3"/>
  <c r="FD44" i="3"/>
  <c r="EP44" i="3"/>
  <c r="EB44" i="3"/>
  <c r="DN44" i="3"/>
  <c r="CZ44" i="3"/>
  <c r="CL44" i="3"/>
  <c r="BX44" i="3"/>
  <c r="BJ44" i="3"/>
  <c r="FR43" i="3"/>
  <c r="FE43" i="3"/>
  <c r="FE42" i="3" s="1"/>
  <c r="FD43" i="3"/>
  <c r="EQ43" i="3"/>
  <c r="EQ42" i="3" s="1"/>
  <c r="EP43" i="3"/>
  <c r="EC43" i="3"/>
  <c r="EC42" i="3" s="1"/>
  <c r="EB43" i="3"/>
  <c r="DO43" i="3"/>
  <c r="DO42" i="3" s="1"/>
  <c r="DN43" i="3"/>
  <c r="DA43" i="3"/>
  <c r="DA42" i="3" s="1"/>
  <c r="CZ43" i="3"/>
  <c r="CM43" i="3"/>
  <c r="CM42" i="3" s="1"/>
  <c r="CL43" i="3"/>
  <c r="BY43" i="3"/>
  <c r="BY42" i="3" s="1"/>
  <c r="BL43" i="3"/>
  <c r="BK43" i="3"/>
  <c r="BK42" i="3" s="1"/>
  <c r="BI43" i="3"/>
  <c r="BI42" i="3" s="1"/>
  <c r="BH43" i="3"/>
  <c r="BH42" i="3" s="1"/>
  <c r="BG43" i="3"/>
  <c r="BG42" i="3" s="1"/>
  <c r="BF43" i="3"/>
  <c r="BF42" i="3" s="1"/>
  <c r="BE43" i="3"/>
  <c r="BE42" i="3" s="1"/>
  <c r="BD43" i="3"/>
  <c r="BD42" i="3" s="1"/>
  <c r="BC43" i="3"/>
  <c r="BC42" i="3" s="1"/>
  <c r="BB43" i="3"/>
  <c r="BB42" i="3" s="1"/>
  <c r="BA43" i="3"/>
  <c r="AZ43" i="3"/>
  <c r="AZ42" i="3" s="1"/>
  <c r="AY43" i="3"/>
  <c r="AY42" i="3" s="1"/>
  <c r="AX43" i="3"/>
  <c r="AX42" i="3" s="1"/>
  <c r="FR42" i="3"/>
  <c r="FD42" i="3"/>
  <c r="EP42" i="3"/>
  <c r="EB42" i="3"/>
  <c r="DN42" i="3"/>
  <c r="CZ42" i="3"/>
  <c r="CL42" i="3"/>
  <c r="FR41" i="3"/>
  <c r="FD41" i="3"/>
  <c r="EP41" i="3"/>
  <c r="EB41" i="3"/>
  <c r="DN41" i="3"/>
  <c r="CZ41" i="3"/>
  <c r="CL41" i="3"/>
  <c r="FR40" i="3"/>
  <c r="FD40" i="3"/>
  <c r="EP40" i="3"/>
  <c r="EB40" i="3"/>
  <c r="DN40" i="3"/>
  <c r="CZ40" i="3"/>
  <c r="CL40" i="3"/>
  <c r="DN39" i="3"/>
  <c r="CZ39" i="3"/>
  <c r="FR38" i="3"/>
  <c r="FD38" i="3"/>
  <c r="EP38" i="3"/>
  <c r="EB38" i="3"/>
  <c r="DN38" i="3"/>
  <c r="CZ38" i="3"/>
  <c r="CL38" i="3"/>
  <c r="BX38" i="3"/>
  <c r="BJ38" i="3"/>
  <c r="FR37" i="3"/>
  <c r="FD37" i="3"/>
  <c r="EP37" i="3"/>
  <c r="EB37" i="3"/>
  <c r="DN37" i="3"/>
  <c r="CZ37" i="3"/>
  <c r="CL37" i="3"/>
  <c r="BX37" i="3"/>
  <c r="BJ37" i="3"/>
  <c r="FR36" i="3"/>
  <c r="FD36" i="3"/>
  <c r="EP36" i="3"/>
  <c r="EB36" i="3"/>
  <c r="DN36" i="3"/>
  <c r="CZ36" i="3"/>
  <c r="CL36" i="3"/>
  <c r="BX36" i="3"/>
  <c r="FR35" i="3"/>
  <c r="FD35" i="3"/>
  <c r="EP35" i="3"/>
  <c r="EB35" i="3"/>
  <c r="DN35" i="3"/>
  <c r="CZ35" i="3"/>
  <c r="CL35" i="3"/>
  <c r="BX35" i="3"/>
  <c r="BJ35" i="3"/>
  <c r="FR34" i="3"/>
  <c r="FE34" i="3"/>
  <c r="FD34" i="3"/>
  <c r="EQ34" i="3"/>
  <c r="EP34" i="3"/>
  <c r="EC34" i="3"/>
  <c r="EB34" i="3"/>
  <c r="DO34" i="3"/>
  <c r="DN34" i="3"/>
  <c r="DA34" i="3"/>
  <c r="CZ34" i="3"/>
  <c r="CM34" i="3"/>
  <c r="CL34" i="3"/>
  <c r="BY34" i="3"/>
  <c r="BL34" i="3"/>
  <c r="BX34" i="3" s="1"/>
  <c r="BK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FR33" i="3"/>
  <c r="FD33" i="3"/>
  <c r="EP33" i="3"/>
  <c r="EB33" i="3"/>
  <c r="DN33" i="3"/>
  <c r="CZ33" i="3"/>
  <c r="CL33" i="3"/>
  <c r="BX33" i="3"/>
  <c r="BJ33" i="3"/>
  <c r="FR32" i="3"/>
  <c r="FD32" i="3"/>
  <c r="EP32" i="3"/>
  <c r="EB32" i="3"/>
  <c r="DN32" i="3"/>
  <c r="CZ32" i="3"/>
  <c r="CL32" i="3"/>
  <c r="BX32" i="3"/>
  <c r="BJ32" i="3"/>
  <c r="FR31" i="3"/>
  <c r="FD31" i="3"/>
  <c r="EP31" i="3"/>
  <c r="EB31" i="3"/>
  <c r="DN31" i="3"/>
  <c r="CZ31" i="3"/>
  <c r="CL31" i="3"/>
  <c r="BX31" i="3"/>
  <c r="BJ31" i="3"/>
  <c r="FR30" i="3"/>
  <c r="FD30" i="3"/>
  <c r="EP30" i="3"/>
  <c r="FN29" i="3"/>
  <c r="FD29" i="3"/>
  <c r="EP29" i="3"/>
  <c r="EB29" i="3"/>
  <c r="DN29" i="3"/>
  <c r="CZ29" i="3"/>
  <c r="CL29" i="3"/>
  <c r="BX29" i="3"/>
  <c r="BJ29" i="3"/>
  <c r="FR28" i="3"/>
  <c r="FD28" i="3"/>
  <c r="EP28" i="3"/>
  <c r="EB28" i="3"/>
  <c r="DN28" i="3"/>
  <c r="CZ28" i="3"/>
  <c r="CL28" i="3"/>
  <c r="BX28" i="3"/>
  <c r="BJ28" i="3"/>
  <c r="FR27" i="3"/>
  <c r="FD27" i="3"/>
  <c r="EP27" i="3"/>
  <c r="EB27" i="3"/>
  <c r="DN27" i="3"/>
  <c r="CZ27" i="3"/>
  <c r="CL27" i="3"/>
  <c r="BX27" i="3"/>
  <c r="BJ27" i="3"/>
  <c r="FR26" i="3"/>
  <c r="FD26" i="3"/>
  <c r="EP26" i="3"/>
  <c r="EB26" i="3"/>
  <c r="DN26" i="3"/>
  <c r="CZ26" i="3"/>
  <c r="CL26" i="3"/>
  <c r="BX26" i="3"/>
  <c r="BJ26" i="3"/>
  <c r="FR25" i="3"/>
  <c r="FD25" i="3"/>
  <c r="EP25" i="3"/>
  <c r="EB25" i="3"/>
  <c r="DN25" i="3"/>
  <c r="CZ25" i="3"/>
  <c r="CL25" i="3"/>
  <c r="BX25" i="3"/>
  <c r="BJ25" i="3"/>
  <c r="FR24" i="3"/>
  <c r="FD24" i="3"/>
  <c r="EP24" i="3"/>
  <c r="EB24" i="3"/>
  <c r="DN24" i="3"/>
  <c r="CZ24" i="3"/>
  <c r="CL24" i="3"/>
  <c r="BX24" i="3"/>
  <c r="BJ24" i="3"/>
  <c r="FR23" i="3"/>
  <c r="FD23" i="3"/>
  <c r="EP23" i="3"/>
  <c r="EB23" i="3"/>
  <c r="DN23" i="3"/>
  <c r="CZ23" i="3"/>
  <c r="CL23" i="3"/>
  <c r="BX23" i="3"/>
  <c r="BJ23" i="3"/>
  <c r="FR22" i="3"/>
  <c r="FD22" i="3"/>
  <c r="EP22" i="3"/>
  <c r="EB22" i="3"/>
  <c r="DO22" i="3"/>
  <c r="DO20" i="3" s="1"/>
  <c r="DO17" i="3" s="1"/>
  <c r="DN22" i="3"/>
  <c r="CZ22" i="3"/>
  <c r="CL22" i="3"/>
  <c r="BY22" i="3"/>
  <c r="BY20" i="3" s="1"/>
  <c r="BY17" i="3" s="1"/>
  <c r="BX22" i="3"/>
  <c r="BK22" i="3"/>
  <c r="BK20" i="3" s="1"/>
  <c r="BK17" i="3" s="1"/>
  <c r="BJ22" i="3"/>
  <c r="FR21" i="3"/>
  <c r="FD21" i="3"/>
  <c r="EP21" i="3"/>
  <c r="EB21" i="3"/>
  <c r="DN21" i="3"/>
  <c r="CZ21" i="3"/>
  <c r="CL21" i="3"/>
  <c r="BX21" i="3"/>
  <c r="BJ21" i="3"/>
  <c r="FR20" i="3"/>
  <c r="FE20" i="3"/>
  <c r="FE17" i="3" s="1"/>
  <c r="FD20" i="3"/>
  <c r="EQ20" i="3"/>
  <c r="EQ17" i="3" s="1"/>
  <c r="EP20" i="3"/>
  <c r="EC20" i="3"/>
  <c r="EC17" i="3" s="1"/>
  <c r="EB20" i="3"/>
  <c r="DN20" i="3"/>
  <c r="DA20" i="3"/>
  <c r="DA17" i="3" s="1"/>
  <c r="CZ20" i="3"/>
  <c r="CM20" i="3"/>
  <c r="CM17" i="3" s="1"/>
  <c r="CL20" i="3"/>
  <c r="BL20" i="3"/>
  <c r="BX20" i="3" s="1"/>
  <c r="BI20" i="3"/>
  <c r="BI17" i="3" s="1"/>
  <c r="BH20" i="3"/>
  <c r="BH17" i="3" s="1"/>
  <c r="BG20" i="3"/>
  <c r="BG17" i="3" s="1"/>
  <c r="BF20" i="3"/>
  <c r="BF17" i="3" s="1"/>
  <c r="BE20" i="3"/>
  <c r="BE17" i="3" s="1"/>
  <c r="BD20" i="3"/>
  <c r="BD17" i="3" s="1"/>
  <c r="BC20" i="3"/>
  <c r="BC17" i="3" s="1"/>
  <c r="BB20" i="3"/>
  <c r="BB17" i="3" s="1"/>
  <c r="BA20" i="3"/>
  <c r="BA17" i="3" s="1"/>
  <c r="AZ20" i="3"/>
  <c r="AZ17" i="3" s="1"/>
  <c r="AY20" i="3"/>
  <c r="AX20" i="3"/>
  <c r="AX17" i="3" s="1"/>
  <c r="FR19" i="3"/>
  <c r="FD19" i="3"/>
  <c r="EP19" i="3"/>
  <c r="EB19" i="3"/>
  <c r="DN19" i="3"/>
  <c r="CZ19" i="3"/>
  <c r="CL19" i="3"/>
  <c r="BX19" i="3"/>
  <c r="BJ19" i="3"/>
  <c r="FR18" i="3"/>
  <c r="FD18" i="3"/>
  <c r="EP18" i="3"/>
  <c r="EB18" i="3"/>
  <c r="DN18" i="3"/>
  <c r="CZ18" i="3"/>
  <c r="CL18" i="3"/>
  <c r="BX18" i="3"/>
  <c r="BJ18" i="3"/>
  <c r="FR17" i="3"/>
  <c r="FD17" i="3"/>
  <c r="EP17" i="3"/>
  <c r="EB17" i="3"/>
  <c r="DN17" i="3"/>
  <c r="CZ17" i="3"/>
  <c r="CL17" i="3"/>
  <c r="FR16" i="3"/>
  <c r="FD16" i="3"/>
  <c r="EP16" i="3"/>
  <c r="EB16" i="3"/>
  <c r="DN16" i="3"/>
  <c r="CZ16" i="3"/>
  <c r="FR15" i="3"/>
  <c r="FD15" i="3"/>
  <c r="EP15" i="3"/>
  <c r="EB15" i="3"/>
  <c r="DN15" i="3"/>
  <c r="CZ15" i="3"/>
  <c r="CL15" i="3"/>
  <c r="BX15" i="3"/>
  <c r="FR14" i="3"/>
  <c r="FD14" i="3"/>
  <c r="EP14" i="3"/>
  <c r="EB14" i="3"/>
  <c r="DN14" i="3"/>
  <c r="CZ14" i="3"/>
  <c r="CL14" i="3"/>
  <c r="BX14" i="3"/>
  <c r="BJ14" i="3"/>
  <c r="BJ13" i="3" s="1"/>
  <c r="FR13" i="3"/>
  <c r="FE13" i="3"/>
  <c r="FD13" i="3"/>
  <c r="EQ13" i="3"/>
  <c r="EP13" i="3"/>
  <c r="EC13" i="3"/>
  <c r="DR13" i="3"/>
  <c r="DQ13" i="3"/>
  <c r="DP13" i="3"/>
  <c r="DO13" i="3"/>
  <c r="DA13" i="3"/>
  <c r="CM13" i="3"/>
  <c r="BY13" i="3"/>
  <c r="BK13" i="3"/>
  <c r="FR12" i="3"/>
  <c r="FD12" i="3"/>
  <c r="EP12" i="3"/>
  <c r="EB12" i="3"/>
  <c r="DN12" i="3"/>
  <c r="CZ12" i="3"/>
  <c r="CL12" i="3"/>
  <c r="BX12" i="3"/>
  <c r="BJ12" i="3"/>
  <c r="FR10" i="3"/>
  <c r="FD10" i="3"/>
  <c r="EP10" i="3"/>
  <c r="EB10" i="3"/>
  <c r="DN10" i="3"/>
  <c r="CZ10" i="3"/>
  <c r="CL10" i="3"/>
  <c r="BX10" i="3"/>
  <c r="BJ10" i="3"/>
  <c r="FR9" i="3"/>
  <c r="FE9" i="3"/>
  <c r="FD9" i="3"/>
  <c r="EQ9" i="3"/>
  <c r="EP9" i="3"/>
  <c r="EC9" i="3"/>
  <c r="EB9" i="3"/>
  <c r="DO9" i="3"/>
  <c r="DN9" i="3"/>
  <c r="DA9" i="3"/>
  <c r="CZ9" i="3"/>
  <c r="CM9" i="3"/>
  <c r="CL9" i="3"/>
  <c r="BY9" i="3"/>
  <c r="BL9" i="3"/>
  <c r="BK9" i="3"/>
  <c r="BI9" i="3"/>
  <c r="BH9" i="3"/>
  <c r="BG9" i="3"/>
  <c r="BF9" i="3"/>
  <c r="BE9" i="3"/>
  <c r="BD9" i="3"/>
  <c r="BC9" i="3"/>
  <c r="BB9" i="3"/>
  <c r="BA9" i="3"/>
  <c r="AZ9" i="3"/>
  <c r="AY9" i="3"/>
  <c r="AX9" i="3"/>
  <c r="FR8" i="3"/>
  <c r="FD8" i="3"/>
  <c r="EP8" i="3"/>
  <c r="EB8" i="3"/>
  <c r="DN8" i="3"/>
  <c r="CZ8" i="3"/>
  <c r="CL8" i="3"/>
  <c r="FR7" i="3"/>
  <c r="FD7" i="3"/>
  <c r="EP7" i="3"/>
  <c r="EB7" i="3"/>
  <c r="DN7" i="3"/>
  <c r="CZ7" i="3"/>
  <c r="CL7" i="3"/>
  <c r="HU6" i="3"/>
  <c r="HW5" i="3"/>
  <c r="HW6" i="3" s="1"/>
  <c r="DO5" i="3"/>
  <c r="DA5" i="3"/>
  <c r="EP3" i="3"/>
  <c r="FR74" i="2"/>
  <c r="FD74" i="2"/>
  <c r="EP74" i="2"/>
  <c r="EB74" i="2"/>
  <c r="DN74" i="2"/>
  <c r="CZ74" i="2"/>
  <c r="CL74" i="2"/>
  <c r="EP73" i="2"/>
  <c r="EB73" i="2"/>
  <c r="DN73" i="2"/>
  <c r="CZ73" i="2"/>
  <c r="CL73" i="2"/>
  <c r="BX73" i="2"/>
  <c r="FR72" i="2"/>
  <c r="FD72" i="2"/>
  <c r="EP72" i="2"/>
  <c r="EB72" i="2"/>
  <c r="DN72" i="2"/>
  <c r="CZ72" i="2"/>
  <c r="CL72" i="2"/>
  <c r="BX72" i="2"/>
  <c r="BJ72" i="2"/>
  <c r="HW71" i="2"/>
  <c r="FR71" i="2"/>
  <c r="FD71" i="2"/>
  <c r="EP71" i="2"/>
  <c r="EB71" i="2"/>
  <c r="DN71" i="2"/>
  <c r="CZ71" i="2"/>
  <c r="CL71" i="2"/>
  <c r="BX71" i="2"/>
  <c r="FR70" i="2"/>
  <c r="FD70" i="2"/>
  <c r="EP70" i="2"/>
  <c r="EB70" i="2"/>
  <c r="DN70" i="2"/>
  <c r="CZ70" i="2"/>
  <c r="CL70" i="2"/>
  <c r="BX70" i="2"/>
  <c r="BJ70" i="2"/>
  <c r="HW69" i="2"/>
  <c r="FR69" i="2"/>
  <c r="FD69" i="2"/>
  <c r="EP69" i="2"/>
  <c r="EB69" i="2"/>
  <c r="DN69" i="2"/>
  <c r="CZ69" i="2"/>
  <c r="CL69" i="2"/>
  <c r="BX69" i="2"/>
  <c r="FR68" i="2"/>
  <c r="FD68" i="2"/>
  <c r="EP68" i="2"/>
  <c r="EB68" i="2"/>
  <c r="DN68" i="2"/>
  <c r="CZ68" i="2"/>
  <c r="CL68" i="2"/>
  <c r="BL68" i="2"/>
  <c r="BX68" i="2" s="1"/>
  <c r="BG68" i="2"/>
  <c r="BJ68" i="2" s="1"/>
  <c r="FR67" i="2"/>
  <c r="FD67" i="2"/>
  <c r="EP67" i="2"/>
  <c r="EB67" i="2"/>
  <c r="DN67" i="2"/>
  <c r="CZ67" i="2"/>
  <c r="CL67" i="2"/>
  <c r="BX67" i="2"/>
  <c r="D67" i="2"/>
  <c r="HX66" i="2"/>
  <c r="FR66" i="2"/>
  <c r="FD66" i="2"/>
  <c r="EP66" i="2"/>
  <c r="EB66" i="2"/>
  <c r="DN66" i="2"/>
  <c r="CZ66" i="2"/>
  <c r="CL66" i="2"/>
  <c r="BX66" i="2"/>
  <c r="AY66" i="2"/>
  <c r="HX65" i="2"/>
  <c r="FR65" i="2"/>
  <c r="FD65" i="2"/>
  <c r="EP65" i="2"/>
  <c r="EB65" i="2"/>
  <c r="DN65" i="2"/>
  <c r="CZ65" i="2"/>
  <c r="CL65" i="2"/>
  <c r="BX65" i="2"/>
  <c r="BJ65" i="2"/>
  <c r="FR64" i="2"/>
  <c r="FE64" i="2"/>
  <c r="FE63" i="2" s="1"/>
  <c r="FD64" i="2"/>
  <c r="EQ64" i="2"/>
  <c r="EQ63" i="2" s="1"/>
  <c r="EP64" i="2"/>
  <c r="EC64" i="2"/>
  <c r="EC63" i="2" s="1"/>
  <c r="EB64" i="2"/>
  <c r="DO64" i="2"/>
  <c r="DO63" i="2" s="1"/>
  <c r="DN64" i="2"/>
  <c r="DA64" i="2"/>
  <c r="DA63" i="2" s="1"/>
  <c r="CZ64" i="2"/>
  <c r="CM64" i="2"/>
  <c r="CM63" i="2" s="1"/>
  <c r="CL64" i="2"/>
  <c r="BY64" i="2"/>
  <c r="BY63" i="2" s="1"/>
  <c r="BL64" i="2"/>
  <c r="BX64" i="2" s="1"/>
  <c r="BK64" i="2"/>
  <c r="BK63" i="2" s="1"/>
  <c r="BI64" i="2"/>
  <c r="BI63" i="2" s="1"/>
  <c r="BH64" i="2"/>
  <c r="BH63" i="2" s="1"/>
  <c r="BG64" i="2"/>
  <c r="BF64" i="2"/>
  <c r="BF63" i="2" s="1"/>
  <c r="BE64" i="2"/>
  <c r="BE63" i="2" s="1"/>
  <c r="BD64" i="2"/>
  <c r="BD63" i="2" s="1"/>
  <c r="BC64" i="2"/>
  <c r="BC63" i="2" s="1"/>
  <c r="BB64" i="2"/>
  <c r="BB63" i="2" s="1"/>
  <c r="BA64" i="2"/>
  <c r="BA63" i="2" s="1"/>
  <c r="AZ64" i="2"/>
  <c r="AZ63" i="2" s="1"/>
  <c r="AX64" i="2"/>
  <c r="AX63" i="2" s="1"/>
  <c r="FR63" i="2"/>
  <c r="FD63" i="2"/>
  <c r="EP63" i="2"/>
  <c r="EB63" i="2"/>
  <c r="DN63" i="2"/>
  <c r="CZ63" i="2"/>
  <c r="CL63" i="2"/>
  <c r="FR62" i="2"/>
  <c r="FD62" i="2"/>
  <c r="EP62" i="2"/>
  <c r="EB62" i="2"/>
  <c r="DN62" i="2"/>
  <c r="CZ62" i="2"/>
  <c r="CL62" i="2"/>
  <c r="BX62" i="2"/>
  <c r="BJ62" i="2"/>
  <c r="FR61" i="2"/>
  <c r="FD61" i="2"/>
  <c r="EP61" i="2"/>
  <c r="EB61" i="2"/>
  <c r="DN61" i="2"/>
  <c r="CZ61" i="2"/>
  <c r="CL61" i="2"/>
  <c r="BX61" i="2"/>
  <c r="BJ61" i="2"/>
  <c r="FR60" i="2"/>
  <c r="FE60" i="2"/>
  <c r="FD60" i="2"/>
  <c r="EQ60" i="2"/>
  <c r="EP60" i="2"/>
  <c r="EB60" i="2"/>
  <c r="DO60" i="2"/>
  <c r="DN60" i="2"/>
  <c r="DA60" i="2"/>
  <c r="CZ60" i="2"/>
  <c r="CM60" i="2"/>
  <c r="CL60" i="2"/>
  <c r="BX60" i="2"/>
  <c r="BJ60" i="2"/>
  <c r="AI60" i="2"/>
  <c r="FR59" i="2"/>
  <c r="FD59" i="2"/>
  <c r="EP59" i="2"/>
  <c r="EC59" i="2"/>
  <c r="EC60" i="2" s="1"/>
  <c r="EB59" i="2"/>
  <c r="DN59" i="2"/>
  <c r="CZ59" i="2"/>
  <c r="CL59" i="2"/>
  <c r="BX59" i="2"/>
  <c r="BJ59" i="2"/>
  <c r="FR58" i="2"/>
  <c r="FD58" i="2"/>
  <c r="EP58" i="2"/>
  <c r="EB58" i="2"/>
  <c r="DN58" i="2"/>
  <c r="CZ58" i="2"/>
  <c r="CL58" i="2"/>
  <c r="BY58" i="2"/>
  <c r="BL58" i="2"/>
  <c r="BX58" i="2" s="1"/>
  <c r="BK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FR57" i="2"/>
  <c r="FD57" i="2"/>
  <c r="EP57" i="2"/>
  <c r="EB57" i="2"/>
  <c r="DN57" i="2"/>
  <c r="CZ57" i="2"/>
  <c r="CL57" i="2"/>
  <c r="BX57" i="2"/>
  <c r="BJ57" i="2"/>
  <c r="FR56" i="2"/>
  <c r="FD56" i="2"/>
  <c r="EP56" i="2"/>
  <c r="EB56" i="2"/>
  <c r="DN56" i="2"/>
  <c r="CZ56" i="2"/>
  <c r="CL56" i="2"/>
  <c r="BX56" i="2"/>
  <c r="HW55" i="2"/>
  <c r="FR55" i="2"/>
  <c r="FD55" i="2"/>
  <c r="EP55" i="2"/>
  <c r="EB55" i="2"/>
  <c r="DN55" i="2"/>
  <c r="CZ55" i="2"/>
  <c r="CL55" i="2"/>
  <c r="BX55" i="2"/>
  <c r="HX54" i="2"/>
  <c r="FR54" i="2"/>
  <c r="FE54" i="2"/>
  <c r="FD54" i="2"/>
  <c r="EQ54" i="2"/>
  <c r="EP54" i="2"/>
  <c r="EC54" i="2"/>
  <c r="EB54" i="2"/>
  <c r="DO54" i="2"/>
  <c r="DN54" i="2"/>
  <c r="DA54" i="2"/>
  <c r="CZ54" i="2"/>
  <c r="CM54" i="2"/>
  <c r="CL54" i="2"/>
  <c r="BY54" i="2"/>
  <c r="BX54" i="2"/>
  <c r="BK54" i="2"/>
  <c r="BG54" i="2"/>
  <c r="BF54" i="2"/>
  <c r="FR53" i="2"/>
  <c r="FD53" i="2"/>
  <c r="EP53" i="2"/>
  <c r="EB53" i="2"/>
  <c r="DN53" i="2"/>
  <c r="CZ53" i="2"/>
  <c r="CL53" i="2"/>
  <c r="BX53" i="2"/>
  <c r="HW52" i="2"/>
  <c r="FR52" i="2"/>
  <c r="FD52" i="2"/>
  <c r="EP52" i="2"/>
  <c r="EB52" i="2"/>
  <c r="DN52" i="2"/>
  <c r="CZ52" i="2"/>
  <c r="CL52" i="2"/>
  <c r="BX52" i="2"/>
  <c r="BJ52" i="2"/>
  <c r="FR51" i="2"/>
  <c r="FD51" i="2"/>
  <c r="EP51" i="2"/>
  <c r="EB51" i="2"/>
  <c r="DN51" i="2"/>
  <c r="CZ51" i="2"/>
  <c r="CL51" i="2"/>
  <c r="BX51" i="2"/>
  <c r="BJ51" i="2"/>
  <c r="HX50" i="2"/>
  <c r="FR50" i="2"/>
  <c r="FD50" i="2"/>
  <c r="EP50" i="2"/>
  <c r="EB50" i="2"/>
  <c r="DN50" i="2"/>
  <c r="CZ50" i="2"/>
  <c r="CL50" i="2"/>
  <c r="BX50" i="2"/>
  <c r="BJ50" i="2"/>
  <c r="FR49" i="2"/>
  <c r="FE49" i="2"/>
  <c r="FD49" i="2"/>
  <c r="EQ49" i="2"/>
  <c r="EP49" i="2"/>
  <c r="EC49" i="2"/>
  <c r="EB49" i="2"/>
  <c r="DO49" i="2"/>
  <c r="DN49" i="2"/>
  <c r="DA49" i="2"/>
  <c r="CZ49" i="2"/>
  <c r="CM49" i="2"/>
  <c r="CL49" i="2"/>
  <c r="BY49" i="2"/>
  <c r="BL49" i="2"/>
  <c r="BX49" i="2" s="1"/>
  <c r="BK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HX48" i="2"/>
  <c r="FR48" i="2"/>
  <c r="FD48" i="2"/>
  <c r="EP48" i="2"/>
  <c r="EB48" i="2"/>
  <c r="DN48" i="2"/>
  <c r="CZ48" i="2"/>
  <c r="CL48" i="2"/>
  <c r="BX48" i="2"/>
  <c r="BJ48" i="2"/>
  <c r="FR47" i="2"/>
  <c r="FD47" i="2"/>
  <c r="EP47" i="2"/>
  <c r="EB47" i="2"/>
  <c r="DN47" i="2"/>
  <c r="CZ47" i="2"/>
  <c r="CL47" i="2"/>
  <c r="BX47" i="2"/>
  <c r="BJ47" i="2"/>
  <c r="HW46" i="2"/>
  <c r="FR46" i="2"/>
  <c r="FD46" i="2"/>
  <c r="EP46" i="2"/>
  <c r="EB46" i="2"/>
  <c r="DN46" i="2"/>
  <c r="CZ46" i="2"/>
  <c r="CL46" i="2"/>
  <c r="BX46" i="2"/>
  <c r="BJ46" i="2"/>
  <c r="FR45" i="2"/>
  <c r="FD45" i="2"/>
  <c r="EP45" i="2"/>
  <c r="EB45" i="2"/>
  <c r="DN45" i="2"/>
  <c r="CZ45" i="2"/>
  <c r="CL45" i="2"/>
  <c r="BX45" i="2"/>
  <c r="BJ45" i="2"/>
  <c r="FR44" i="2"/>
  <c r="FE44" i="2"/>
  <c r="FE43" i="2" s="1"/>
  <c r="FD44" i="2"/>
  <c r="EQ44" i="2"/>
  <c r="EQ43" i="2" s="1"/>
  <c r="EP44" i="2"/>
  <c r="EC44" i="2"/>
  <c r="EC43" i="2" s="1"/>
  <c r="EB44" i="2"/>
  <c r="DO44" i="2"/>
  <c r="DO43" i="2" s="1"/>
  <c r="DN44" i="2"/>
  <c r="DA44" i="2"/>
  <c r="DA43" i="2" s="1"/>
  <c r="CZ44" i="2"/>
  <c r="CM44" i="2"/>
  <c r="CM43" i="2" s="1"/>
  <c r="CL44" i="2"/>
  <c r="BY44" i="2"/>
  <c r="BY43" i="2" s="1"/>
  <c r="BL44" i="2"/>
  <c r="BK44" i="2"/>
  <c r="BK43" i="2" s="1"/>
  <c r="BI44" i="2"/>
  <c r="BI43" i="2" s="1"/>
  <c r="BH44" i="2"/>
  <c r="BH43" i="2" s="1"/>
  <c r="BG44" i="2"/>
  <c r="BG43" i="2" s="1"/>
  <c r="BF44" i="2"/>
  <c r="BF43" i="2" s="1"/>
  <c r="BE44" i="2"/>
  <c r="BE43" i="2" s="1"/>
  <c r="BD44" i="2"/>
  <c r="BD43" i="2" s="1"/>
  <c r="BC44" i="2"/>
  <c r="BC43" i="2" s="1"/>
  <c r="BB44" i="2"/>
  <c r="BB43" i="2" s="1"/>
  <c r="BA44" i="2"/>
  <c r="BA43" i="2" s="1"/>
  <c r="AZ44" i="2"/>
  <c r="AZ43" i="2" s="1"/>
  <c r="AY44" i="2"/>
  <c r="AY43" i="2" s="1"/>
  <c r="AX44" i="2"/>
  <c r="AX43" i="2" s="1"/>
  <c r="FR43" i="2"/>
  <c r="FD43" i="2"/>
  <c r="EP43" i="2"/>
  <c r="EB43" i="2"/>
  <c r="DN43" i="2"/>
  <c r="CZ43" i="2"/>
  <c r="CL43" i="2"/>
  <c r="FR42" i="2"/>
  <c r="FD42" i="2"/>
  <c r="EP42" i="2"/>
  <c r="EB42" i="2"/>
  <c r="DN42" i="2"/>
  <c r="CZ42" i="2"/>
  <c r="CL42" i="2"/>
  <c r="FR41" i="2"/>
  <c r="FD41" i="2"/>
  <c r="EP41" i="2"/>
  <c r="EB41" i="2"/>
  <c r="DN41" i="2"/>
  <c r="CZ41" i="2"/>
  <c r="CL41" i="2"/>
  <c r="DN40" i="2"/>
  <c r="CZ40" i="2"/>
  <c r="CL40" i="2"/>
  <c r="BX40" i="2"/>
  <c r="FR39" i="2"/>
  <c r="FD39" i="2"/>
  <c r="EP39" i="2"/>
  <c r="EB39" i="2"/>
  <c r="DN39" i="2"/>
  <c r="CZ39" i="2"/>
  <c r="CL39" i="2"/>
  <c r="BX39" i="2"/>
  <c r="BJ39" i="2"/>
  <c r="FR38" i="2"/>
  <c r="FD38" i="2"/>
  <c r="EP38" i="2"/>
  <c r="EB38" i="2"/>
  <c r="DN38" i="2"/>
  <c r="CZ38" i="2"/>
  <c r="CL38" i="2"/>
  <c r="BX38" i="2"/>
  <c r="HW37" i="2"/>
  <c r="FR37" i="2"/>
  <c r="FD37" i="2"/>
  <c r="EP37" i="2"/>
  <c r="EB37" i="2"/>
  <c r="DN37" i="2"/>
  <c r="CZ37" i="2"/>
  <c r="CL37" i="2"/>
  <c r="BX37" i="2"/>
  <c r="BJ37" i="2"/>
  <c r="FR36" i="2"/>
  <c r="FD36" i="2"/>
  <c r="EP36" i="2"/>
  <c r="EB36" i="2"/>
  <c r="DN36" i="2"/>
  <c r="CZ36" i="2"/>
  <c r="CL36" i="2"/>
  <c r="BX36" i="2"/>
  <c r="BJ36" i="2"/>
  <c r="FR35" i="2"/>
  <c r="FD35" i="2"/>
  <c r="EP35" i="2"/>
  <c r="EC35" i="2"/>
  <c r="EB35" i="2"/>
  <c r="DO35" i="2"/>
  <c r="DN35" i="2"/>
  <c r="DA35" i="2"/>
  <c r="CZ35" i="2"/>
  <c r="CM35" i="2"/>
  <c r="CL35" i="2"/>
  <c r="BY35" i="2"/>
  <c r="BL35" i="2"/>
  <c r="BX35" i="2" s="1"/>
  <c r="BK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HX34" i="2"/>
  <c r="FR34" i="2"/>
  <c r="FD34" i="2"/>
  <c r="EP34" i="2"/>
  <c r="EB34" i="2"/>
  <c r="DN34" i="2"/>
  <c r="CZ34" i="2"/>
  <c r="CL34" i="2"/>
  <c r="BX34" i="2"/>
  <c r="BJ34" i="2"/>
  <c r="FR33" i="2"/>
  <c r="FD33" i="2"/>
  <c r="EP33" i="2"/>
  <c r="EB33" i="2"/>
  <c r="DN33" i="2"/>
  <c r="CZ33" i="2"/>
  <c r="CL33" i="2"/>
  <c r="BX33" i="2"/>
  <c r="BJ33" i="2"/>
  <c r="FR32" i="2"/>
  <c r="FD32" i="2"/>
  <c r="EP32" i="2"/>
  <c r="EB32" i="2"/>
  <c r="DN32" i="2"/>
  <c r="CZ32" i="2"/>
  <c r="CL32" i="2"/>
  <c r="BX32" i="2"/>
  <c r="BJ32" i="2"/>
  <c r="FR31" i="2"/>
  <c r="FD31" i="2"/>
  <c r="EP31" i="2"/>
  <c r="HW30" i="2"/>
  <c r="FR30" i="2"/>
  <c r="FD30" i="2"/>
  <c r="EP30" i="2"/>
  <c r="EB30" i="2"/>
  <c r="DN30" i="2"/>
  <c r="CZ30" i="2"/>
  <c r="CL30" i="2"/>
  <c r="BX30" i="2"/>
  <c r="BJ30" i="2"/>
  <c r="FR29" i="2"/>
  <c r="FD29" i="2"/>
  <c r="EP29" i="2"/>
  <c r="EB29" i="2"/>
  <c r="DN29" i="2"/>
  <c r="CZ29" i="2"/>
  <c r="CL29" i="2"/>
  <c r="BX29" i="2"/>
  <c r="BJ29" i="2"/>
  <c r="HX28" i="2"/>
  <c r="FR28" i="2"/>
  <c r="FD28" i="2"/>
  <c r="EP28" i="2"/>
  <c r="EB28" i="2"/>
  <c r="DN28" i="2"/>
  <c r="CZ28" i="2"/>
  <c r="CL28" i="2"/>
  <c r="BX28" i="2"/>
  <c r="BJ28" i="2"/>
  <c r="FR27" i="2"/>
  <c r="FD27" i="2"/>
  <c r="EP27" i="2"/>
  <c r="EB27" i="2"/>
  <c r="DN27" i="2"/>
  <c r="CZ27" i="2"/>
  <c r="CL27" i="2"/>
  <c r="BX27" i="2"/>
  <c r="BJ27" i="2"/>
  <c r="FR26" i="2"/>
  <c r="FD26" i="2"/>
  <c r="EP26" i="2"/>
  <c r="EB26" i="2"/>
  <c r="DN26" i="2"/>
  <c r="CZ26" i="2"/>
  <c r="CL26" i="2"/>
  <c r="BX26" i="2"/>
  <c r="BJ26" i="2"/>
  <c r="FR25" i="2"/>
  <c r="FD25" i="2"/>
  <c r="EP25" i="2"/>
  <c r="EB25" i="2"/>
  <c r="DN25" i="2"/>
  <c r="CZ25" i="2"/>
  <c r="CL25" i="2"/>
  <c r="BX25" i="2"/>
  <c r="BJ25" i="2"/>
  <c r="HW24" i="2"/>
  <c r="FR24" i="2"/>
  <c r="FD24" i="2"/>
  <c r="EP24" i="2"/>
  <c r="EB24" i="2"/>
  <c r="DN24" i="2"/>
  <c r="CZ24" i="2"/>
  <c r="CL24" i="2"/>
  <c r="BX24" i="2"/>
  <c r="BJ24" i="2"/>
  <c r="HX23" i="2"/>
  <c r="FR23" i="2"/>
  <c r="FD23" i="2"/>
  <c r="EP23" i="2"/>
  <c r="EC23" i="2"/>
  <c r="EC21" i="2" s="1"/>
  <c r="EC18" i="2" s="1"/>
  <c r="EB23" i="2"/>
  <c r="DN23" i="2"/>
  <c r="CZ23" i="2"/>
  <c r="CL23" i="2"/>
  <c r="BY23" i="2"/>
  <c r="BY21" i="2" s="1"/>
  <c r="BY18" i="2" s="1"/>
  <c r="BX23" i="2"/>
  <c r="BK23" i="2"/>
  <c r="BK21" i="2" s="1"/>
  <c r="BK18" i="2" s="1"/>
  <c r="BJ23" i="2"/>
  <c r="HX22" i="2"/>
  <c r="HW22" i="2"/>
  <c r="FR22" i="2"/>
  <c r="FD22" i="2"/>
  <c r="EP22" i="2"/>
  <c r="EB22" i="2"/>
  <c r="DN22" i="2"/>
  <c r="CZ22" i="2"/>
  <c r="CL22" i="2"/>
  <c r="BX22" i="2"/>
  <c r="BJ22" i="2"/>
  <c r="HX21" i="2"/>
  <c r="FR21" i="2"/>
  <c r="FE21" i="2"/>
  <c r="FE18" i="2" s="1"/>
  <c r="FD21" i="2"/>
  <c r="EQ21" i="2"/>
  <c r="EQ18" i="2" s="1"/>
  <c r="EP21" i="2"/>
  <c r="EB21" i="2"/>
  <c r="DO21" i="2"/>
  <c r="DO18" i="2" s="1"/>
  <c r="DN21" i="2"/>
  <c r="DA21" i="2"/>
  <c r="DA18" i="2" s="1"/>
  <c r="CZ21" i="2"/>
  <c r="CM21" i="2"/>
  <c r="CM18" i="2" s="1"/>
  <c r="CL21" i="2"/>
  <c r="BL21" i="2"/>
  <c r="BI21" i="2"/>
  <c r="BI18" i="2" s="1"/>
  <c r="BH21" i="2"/>
  <c r="BH18" i="2" s="1"/>
  <c r="BG21" i="2"/>
  <c r="BG18" i="2" s="1"/>
  <c r="BF21" i="2"/>
  <c r="BF18" i="2" s="1"/>
  <c r="BE21" i="2"/>
  <c r="BE18" i="2" s="1"/>
  <c r="BD21" i="2"/>
  <c r="BD18" i="2" s="1"/>
  <c r="BC21" i="2"/>
  <c r="BC18" i="2" s="1"/>
  <c r="BB21" i="2"/>
  <c r="BB18" i="2" s="1"/>
  <c r="BA21" i="2"/>
  <c r="BA18" i="2" s="1"/>
  <c r="AZ21" i="2"/>
  <c r="AZ18" i="2" s="1"/>
  <c r="AY21" i="2"/>
  <c r="AY18" i="2" s="1"/>
  <c r="AX21" i="2"/>
  <c r="FR20" i="2"/>
  <c r="FD20" i="2"/>
  <c r="EP20" i="2"/>
  <c r="EB20" i="2"/>
  <c r="DN20" i="2"/>
  <c r="CZ20" i="2"/>
  <c r="CL20" i="2"/>
  <c r="BX20" i="2"/>
  <c r="BJ20" i="2"/>
  <c r="FR19" i="2"/>
  <c r="FD19" i="2"/>
  <c r="EP19" i="2"/>
  <c r="EB19" i="2"/>
  <c r="DN19" i="2"/>
  <c r="CZ19" i="2"/>
  <c r="CL19" i="2"/>
  <c r="BX19" i="2"/>
  <c r="BJ19" i="2"/>
  <c r="FR18" i="2"/>
  <c r="FD18" i="2"/>
  <c r="EP18" i="2"/>
  <c r="EB18" i="2"/>
  <c r="DN18" i="2"/>
  <c r="CZ18" i="2"/>
  <c r="CL18" i="2"/>
  <c r="FR17" i="2"/>
  <c r="FD17" i="2"/>
  <c r="EP17" i="2"/>
  <c r="EB17" i="2"/>
  <c r="DN17" i="2"/>
  <c r="CZ17" i="2"/>
  <c r="CL17" i="2"/>
  <c r="BX17" i="2"/>
  <c r="BJ17" i="2"/>
  <c r="FR16" i="2"/>
  <c r="FD16" i="2"/>
  <c r="EP16" i="2"/>
  <c r="EB16" i="2"/>
  <c r="DN16" i="2"/>
  <c r="CZ16" i="2"/>
  <c r="FR15" i="2"/>
  <c r="FD15" i="2"/>
  <c r="EP15" i="2"/>
  <c r="EB15" i="2"/>
  <c r="DN15" i="2"/>
  <c r="CZ15" i="2"/>
  <c r="CL15" i="2"/>
  <c r="BX15" i="2"/>
  <c r="FR14" i="2"/>
  <c r="FD14" i="2"/>
  <c r="EP14" i="2"/>
  <c r="EB14" i="2"/>
  <c r="DN14" i="2"/>
  <c r="CZ14" i="2"/>
  <c r="CL14" i="2"/>
  <c r="BX14" i="2"/>
  <c r="BJ14" i="2"/>
  <c r="FR13" i="2"/>
  <c r="FE13" i="2"/>
  <c r="FD13" i="2"/>
  <c r="EQ13" i="2"/>
  <c r="EP13" i="2"/>
  <c r="EC13" i="2"/>
  <c r="DR13" i="2"/>
  <c r="DQ13" i="2"/>
  <c r="DP13" i="2"/>
  <c r="DO13" i="2"/>
  <c r="DM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Y13" i="2"/>
  <c r="CX13" i="2"/>
  <c r="CW13" i="2"/>
  <c r="CV13" i="2"/>
  <c r="CU13" i="2"/>
  <c r="CT13" i="2"/>
  <c r="CS13" i="2"/>
  <c r="CR13" i="2"/>
  <c r="CQ13" i="2"/>
  <c r="CP13" i="2"/>
  <c r="CO13" i="2"/>
  <c r="CN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FR12" i="2"/>
  <c r="FD12" i="2"/>
  <c r="EP12" i="2"/>
  <c r="EB12" i="2"/>
  <c r="DN12" i="2"/>
  <c r="CZ12" i="2"/>
  <c r="CL12" i="2"/>
  <c r="BX12" i="2"/>
  <c r="BJ12" i="2"/>
  <c r="FR10" i="2"/>
  <c r="FD10" i="2"/>
  <c r="EP10" i="2"/>
  <c r="EB10" i="2"/>
  <c r="DN10" i="2"/>
  <c r="CZ10" i="2"/>
  <c r="CL10" i="2"/>
  <c r="BX10" i="2"/>
  <c r="BJ10" i="2"/>
  <c r="FR9" i="2"/>
  <c r="FE9" i="2"/>
  <c r="FD9" i="2"/>
  <c r="EQ9" i="2"/>
  <c r="EP9" i="2"/>
  <c r="EC9" i="2"/>
  <c r="EB9" i="2"/>
  <c r="DO9" i="2"/>
  <c r="DN9" i="2"/>
  <c r="DA9" i="2"/>
  <c r="CZ9" i="2"/>
  <c r="CM9" i="2"/>
  <c r="CL9" i="2"/>
  <c r="BY9" i="2"/>
  <c r="BL9" i="2"/>
  <c r="BX9" i="2" s="1"/>
  <c r="BK9" i="2"/>
  <c r="BI9" i="2"/>
  <c r="BH9" i="2"/>
  <c r="BG9" i="2"/>
  <c r="BF9" i="2"/>
  <c r="BE9" i="2"/>
  <c r="BD9" i="2"/>
  <c r="BC9" i="2"/>
  <c r="BB9" i="2"/>
  <c r="BA9" i="2"/>
  <c r="AZ9" i="2"/>
  <c r="AY9" i="2"/>
  <c r="AX9" i="2"/>
  <c r="FR8" i="2"/>
  <c r="FD8" i="2"/>
  <c r="EP8" i="2"/>
  <c r="EB8" i="2"/>
  <c r="DN8" i="2"/>
  <c r="CZ8" i="2"/>
  <c r="CL8" i="2"/>
  <c r="FR7" i="2"/>
  <c r="FD7" i="2"/>
  <c r="EP7" i="2"/>
  <c r="EB7" i="2"/>
  <c r="DN7" i="2"/>
  <c r="CZ7" i="2"/>
  <c r="CL7" i="2"/>
  <c r="HX5" i="2"/>
  <c r="DO5" i="2"/>
  <c r="DA5" i="2"/>
  <c r="HX5" i="3" l="1"/>
  <c r="HX6" i="3" s="1"/>
  <c r="HX6" i="2"/>
  <c r="GC6" i="4"/>
  <c r="GD6" i="4"/>
  <c r="HU6" i="7"/>
  <c r="HV6" i="7"/>
  <c r="HW6" i="6"/>
  <c r="HX6" i="6"/>
  <c r="CI58" i="4"/>
  <c r="CI56" i="4" s="1"/>
  <c r="EC16" i="6"/>
  <c r="EC15" i="6" s="1"/>
  <c r="EC42" i="6" s="1"/>
  <c r="EQ8" i="3"/>
  <c r="EQ7" i="3" s="1"/>
  <c r="K61" i="4"/>
  <c r="QJ22" i="8"/>
  <c r="QJ23" i="8"/>
  <c r="QJ20" i="8"/>
  <c r="QJ19" i="8"/>
  <c r="CH62" i="5"/>
  <c r="CJ62" i="5"/>
  <c r="CD62" i="5"/>
  <c r="K8" i="4"/>
  <c r="K7" i="4" s="1"/>
  <c r="AS56" i="4"/>
  <c r="R61" i="4"/>
  <c r="AD61" i="4" s="1"/>
  <c r="DX29" i="4"/>
  <c r="AS65" i="4"/>
  <c r="AS61" i="4" s="1"/>
  <c r="EE9" i="8"/>
  <c r="EE8" i="8" s="1"/>
  <c r="HG9" i="8"/>
  <c r="HG8" i="8" s="1"/>
  <c r="KI9" i="8"/>
  <c r="KI8" i="8" s="1"/>
  <c r="NK9" i="8"/>
  <c r="NK8" i="8" s="1"/>
  <c r="BR47" i="8"/>
  <c r="BP47" i="8" s="1"/>
  <c r="CQ47" i="8"/>
  <c r="LW47" i="8"/>
  <c r="CD47" i="8"/>
  <c r="CB47" i="8" s="1"/>
  <c r="BU13" i="8"/>
  <c r="BF47" i="8"/>
  <c r="BD47" i="8" s="1"/>
  <c r="AW37" i="7"/>
  <c r="BE37" i="7"/>
  <c r="AW18" i="7"/>
  <c r="DK58" i="4"/>
  <c r="DK56" i="4" s="1"/>
  <c r="DK44" i="4"/>
  <c r="DK42" i="4" s="1"/>
  <c r="DK41" i="4" s="1"/>
  <c r="ML40" i="5"/>
  <c r="ML73" i="5" s="1"/>
  <c r="BJ9" i="5"/>
  <c r="BJ8" i="5" s="1"/>
  <c r="BS8" i="5"/>
  <c r="PN40" i="5"/>
  <c r="AK8" i="5"/>
  <c r="AK73" i="5" s="1"/>
  <c r="DO62" i="3"/>
  <c r="BX13" i="3"/>
  <c r="DK65" i="4"/>
  <c r="DK61" i="4" s="1"/>
  <c r="BF8" i="2"/>
  <c r="BF7" i="2" s="1"/>
  <c r="BL47" i="8"/>
  <c r="BJ47" i="8" s="1"/>
  <c r="CJ47" i="8"/>
  <c r="CH47" i="8" s="1"/>
  <c r="BG9" i="8"/>
  <c r="AX16" i="6"/>
  <c r="AX15" i="6" s="1"/>
  <c r="AX42" i="6" s="1"/>
  <c r="BF16" i="6"/>
  <c r="BF15" i="6" s="1"/>
  <c r="BF42" i="6" s="1"/>
  <c r="KW53" i="5"/>
  <c r="KW41" i="5" s="1"/>
  <c r="BP8" i="5"/>
  <c r="CN8" i="5"/>
  <c r="BQ67" i="5"/>
  <c r="BQ62" i="5" s="1"/>
  <c r="CO67" i="5"/>
  <c r="BM8" i="5"/>
  <c r="CK8" i="5"/>
  <c r="CI67" i="5"/>
  <c r="BY8" i="5"/>
  <c r="DA8" i="2"/>
  <c r="DA7" i="2" s="1"/>
  <c r="EQ8" i="2"/>
  <c r="EQ7" i="2" s="1"/>
  <c r="BE8" i="2"/>
  <c r="BE7" i="2" s="1"/>
  <c r="CT13" i="8"/>
  <c r="ED13" i="8" s="1"/>
  <c r="OV23" i="8"/>
  <c r="CW42" i="5"/>
  <c r="EG42" i="5" s="1"/>
  <c r="CI63" i="5"/>
  <c r="FR29" i="3"/>
  <c r="BG42" i="4"/>
  <c r="BG41" i="4" s="1"/>
  <c r="Q42" i="4"/>
  <c r="Q41" i="4" s="1"/>
  <c r="BU42" i="4"/>
  <c r="BU41" i="4" s="1"/>
  <c r="F40" i="4"/>
  <c r="N40" i="4"/>
  <c r="Q52" i="4"/>
  <c r="BU52" i="4"/>
  <c r="BU8" i="4"/>
  <c r="BU7" i="4" s="1"/>
  <c r="Q56" i="4"/>
  <c r="BU56" i="4"/>
  <c r="I61" i="4"/>
  <c r="I40" i="4"/>
  <c r="CA10" i="8"/>
  <c r="FS48" i="8"/>
  <c r="FS47" i="8" s="1"/>
  <c r="NK47" i="8"/>
  <c r="BV9" i="8"/>
  <c r="BV8" i="8" s="1"/>
  <c r="CH9" i="8"/>
  <c r="CH8" i="8" s="1"/>
  <c r="FS33" i="8"/>
  <c r="FS26" i="8" s="1"/>
  <c r="CE9" i="8"/>
  <c r="CE8" i="8" s="1"/>
  <c r="HG47" i="8"/>
  <c r="AZ37" i="7"/>
  <c r="BI37" i="7"/>
  <c r="EA19" i="7"/>
  <c r="BB18" i="7"/>
  <c r="BC37" i="7"/>
  <c r="CK37" i="7"/>
  <c r="BD37" i="7"/>
  <c r="AX37" i="7"/>
  <c r="BF37" i="7"/>
  <c r="AY37" i="7"/>
  <c r="BG37" i="7"/>
  <c r="DM37" i="7"/>
  <c r="CY37" i="7"/>
  <c r="BD16" i="6"/>
  <c r="BD15" i="6" s="1"/>
  <c r="BD42" i="6" s="1"/>
  <c r="BL37" i="6"/>
  <c r="BX37" i="6" s="1"/>
  <c r="BV8" i="5"/>
  <c r="OA21" i="5"/>
  <c r="OC19" i="5"/>
  <c r="OA19" i="5" s="1"/>
  <c r="OA56" i="5"/>
  <c r="OB53" i="5"/>
  <c r="OA53" i="5" s="1"/>
  <c r="AJ8" i="5"/>
  <c r="AJ73" i="5" s="1"/>
  <c r="BW10" i="5"/>
  <c r="CO63" i="5"/>
  <c r="CH8" i="5"/>
  <c r="BK21" i="5"/>
  <c r="BK19" i="5" s="1"/>
  <c r="BK16" i="5" s="1"/>
  <c r="CI21" i="5"/>
  <c r="CI19" i="5" s="1"/>
  <c r="CI16" i="5" s="1"/>
  <c r="BG41" i="5"/>
  <c r="BS41" i="5"/>
  <c r="BS40" i="5" s="1"/>
  <c r="BT53" i="5"/>
  <c r="BH57" i="5"/>
  <c r="CF57" i="5"/>
  <c r="BP41" i="5"/>
  <c r="BP40" i="5" s="1"/>
  <c r="CB41" i="5"/>
  <c r="CB40" i="5" s="1"/>
  <c r="BN10" i="5"/>
  <c r="CL10" i="5"/>
  <c r="KW19" i="5"/>
  <c r="KU19" i="5" s="1"/>
  <c r="BK10" i="5"/>
  <c r="CI10" i="5"/>
  <c r="PN50" i="5"/>
  <c r="PN59" i="5"/>
  <c r="PN63" i="5"/>
  <c r="BQ43" i="5"/>
  <c r="BQ42" i="5" s="1"/>
  <c r="CO43" i="5"/>
  <c r="CO42" i="5" s="1"/>
  <c r="PN71" i="5"/>
  <c r="BQ10" i="5"/>
  <c r="CO10" i="5"/>
  <c r="BT34" i="5"/>
  <c r="CD41" i="5"/>
  <c r="PN55" i="5"/>
  <c r="CT41" i="5"/>
  <c r="PN54" i="5"/>
  <c r="BZ10" i="5"/>
  <c r="BT21" i="5"/>
  <c r="BT19" i="5" s="1"/>
  <c r="BT16" i="5" s="1"/>
  <c r="CC10" i="5"/>
  <c r="BH21" i="5"/>
  <c r="BH19" i="5" s="1"/>
  <c r="BH16" i="5" s="1"/>
  <c r="CF21" i="5"/>
  <c r="CF19" i="5" s="1"/>
  <c r="CF16" i="5" s="1"/>
  <c r="BW21" i="5"/>
  <c r="BW19" i="5" s="1"/>
  <c r="BW16" i="5" s="1"/>
  <c r="EI45" i="5"/>
  <c r="PN61" i="5"/>
  <c r="CL13" i="3"/>
  <c r="DA62" i="3"/>
  <c r="DA41" i="3"/>
  <c r="FE41" i="3"/>
  <c r="FE40" i="3" s="1"/>
  <c r="BA8" i="2"/>
  <c r="BA7" i="2" s="1"/>
  <c r="BI8" i="2"/>
  <c r="BI7" i="2" s="1"/>
  <c r="DA42" i="2"/>
  <c r="DA41" i="2" s="1"/>
  <c r="FE42" i="2"/>
  <c r="FE41" i="2" s="1"/>
  <c r="CM8" i="2"/>
  <c r="CM7" i="2" s="1"/>
  <c r="BB42" i="2"/>
  <c r="BB41" i="2" s="1"/>
  <c r="EC42" i="2"/>
  <c r="EC41" i="2" s="1"/>
  <c r="BH8" i="2"/>
  <c r="BH7" i="2" s="1"/>
  <c r="E61" i="4"/>
  <c r="R41" i="4"/>
  <c r="AD41" i="4" s="1"/>
  <c r="BG62" i="4"/>
  <c r="BG61" i="4" s="1"/>
  <c r="GD16" i="4"/>
  <c r="BG52" i="4"/>
  <c r="GC55" i="4"/>
  <c r="F61" i="4"/>
  <c r="N61" i="4"/>
  <c r="GC14" i="4"/>
  <c r="GC28" i="4"/>
  <c r="GD17" i="4"/>
  <c r="M40" i="4"/>
  <c r="GD48" i="4"/>
  <c r="I8" i="4"/>
  <c r="I7" i="4" s="1"/>
  <c r="GC21" i="4"/>
  <c r="GD37" i="4"/>
  <c r="E40" i="4"/>
  <c r="L8" i="4"/>
  <c r="L7" i="4" s="1"/>
  <c r="AS42" i="4"/>
  <c r="AS41" i="4" s="1"/>
  <c r="GD50" i="4"/>
  <c r="G61" i="4"/>
  <c r="O61" i="4"/>
  <c r="GD59" i="4"/>
  <c r="J40" i="4"/>
  <c r="GD12" i="4"/>
  <c r="GD26" i="4"/>
  <c r="GC42" i="4"/>
  <c r="J61" i="4"/>
  <c r="GD58" i="4"/>
  <c r="GD19" i="4"/>
  <c r="H8" i="4"/>
  <c r="H7" i="4" s="1"/>
  <c r="AE8" i="4"/>
  <c r="AE7" i="4" s="1"/>
  <c r="H61" i="4"/>
  <c r="GD35" i="4"/>
  <c r="CH13" i="4"/>
  <c r="GD54" i="4"/>
  <c r="GD43" i="4"/>
  <c r="AE52" i="4"/>
  <c r="GD65" i="4"/>
  <c r="AD13" i="4"/>
  <c r="R17" i="4"/>
  <c r="AD17" i="4" s="1"/>
  <c r="GC47" i="4"/>
  <c r="GC49" i="4"/>
  <c r="GC51" i="4"/>
  <c r="GD52" i="4"/>
  <c r="GD56" i="4"/>
  <c r="L40" i="4"/>
  <c r="Q8" i="4"/>
  <c r="Q7" i="4" s="1"/>
  <c r="DK8" i="4"/>
  <c r="DK7" i="4" s="1"/>
  <c r="GD21" i="4"/>
  <c r="GD24" i="4"/>
  <c r="GC26" i="4"/>
  <c r="GC27" i="4"/>
  <c r="GD47" i="4"/>
  <c r="GD51" i="4"/>
  <c r="AE56" i="4"/>
  <c r="GC59" i="4"/>
  <c r="GC61" i="4"/>
  <c r="CI33" i="4"/>
  <c r="J8" i="4"/>
  <c r="J7" i="4" s="1"/>
  <c r="GC12" i="4"/>
  <c r="GD31" i="4"/>
  <c r="M61" i="4"/>
  <c r="GC60" i="4"/>
  <c r="P9" i="4"/>
  <c r="GD14" i="4"/>
  <c r="GC54" i="4"/>
  <c r="GD60" i="4"/>
  <c r="Q62" i="4"/>
  <c r="Q61" i="4" s="1"/>
  <c r="BU62" i="4"/>
  <c r="BU61" i="4" s="1"/>
  <c r="AR13" i="4"/>
  <c r="P33" i="4"/>
  <c r="GD36" i="4"/>
  <c r="GD64" i="4"/>
  <c r="GC25" i="4"/>
  <c r="GC34" i="4"/>
  <c r="H40" i="4"/>
  <c r="GC41" i="4"/>
  <c r="GD45" i="4"/>
  <c r="GD49" i="4"/>
  <c r="GC66" i="4"/>
  <c r="E8" i="4"/>
  <c r="E7" i="4" s="1"/>
  <c r="M8" i="4"/>
  <c r="M7" i="4" s="1"/>
  <c r="D8" i="4"/>
  <c r="D7" i="4" s="1"/>
  <c r="GC10" i="4"/>
  <c r="GD13" i="4"/>
  <c r="AS8" i="4"/>
  <c r="AS7" i="4" s="1"/>
  <c r="GD18" i="4"/>
  <c r="GC23" i="4"/>
  <c r="GD27" i="4"/>
  <c r="GD29" i="4"/>
  <c r="P47" i="4"/>
  <c r="GD53" i="4"/>
  <c r="GC65" i="4"/>
  <c r="GD68" i="4"/>
  <c r="GD10" i="4"/>
  <c r="GD30" i="4"/>
  <c r="GC33" i="4"/>
  <c r="GC56" i="4"/>
  <c r="GD62" i="4"/>
  <c r="AE62" i="4"/>
  <c r="AE61" i="4" s="1"/>
  <c r="GC64" i="4"/>
  <c r="GC68" i="4"/>
  <c r="BT13" i="4"/>
  <c r="BG8" i="4"/>
  <c r="BG7" i="4" s="1"/>
  <c r="GC19" i="4"/>
  <c r="P20" i="4"/>
  <c r="O8" i="4"/>
  <c r="O7" i="4" s="1"/>
  <c r="GD33" i="4"/>
  <c r="D40" i="4"/>
  <c r="K40" i="4"/>
  <c r="GC48" i="4"/>
  <c r="P52" i="4"/>
  <c r="P56" i="4"/>
  <c r="GD20" i="4"/>
  <c r="P41" i="4"/>
  <c r="G40" i="4"/>
  <c r="O40" i="4"/>
  <c r="Q47" i="4"/>
  <c r="GD57" i="4"/>
  <c r="P62" i="4"/>
  <c r="N8" i="4"/>
  <c r="N7" i="4" s="1"/>
  <c r="GC17" i="4"/>
  <c r="GC22" i="4"/>
  <c r="GC31" i="4"/>
  <c r="GD41" i="4"/>
  <c r="AE42" i="4"/>
  <c r="AE41" i="4" s="1"/>
  <c r="GC43" i="4"/>
  <c r="GC44" i="4"/>
  <c r="GD46" i="4"/>
  <c r="GC50" i="4"/>
  <c r="GC52" i="4"/>
  <c r="BG56" i="4"/>
  <c r="GC63" i="4"/>
  <c r="GC67" i="4"/>
  <c r="GC8" i="4"/>
  <c r="AD9" i="4"/>
  <c r="GD9" i="4"/>
  <c r="GD22" i="4"/>
  <c r="P42" i="4"/>
  <c r="GD63" i="4"/>
  <c r="GD66" i="4"/>
  <c r="GD67" i="4"/>
  <c r="GD8" i="4"/>
  <c r="BF13" i="4"/>
  <c r="GC16" i="4"/>
  <c r="CW8" i="4"/>
  <c r="CW7" i="4" s="1"/>
  <c r="CI8" i="4"/>
  <c r="GD42" i="4"/>
  <c r="CW42" i="4"/>
  <c r="CW41" i="4" s="1"/>
  <c r="AS52" i="4"/>
  <c r="GD61" i="4"/>
  <c r="D61" i="4"/>
  <c r="L61" i="4"/>
  <c r="GD44" i="4"/>
  <c r="GD55" i="4"/>
  <c r="GC57" i="4"/>
  <c r="GC62" i="4"/>
  <c r="F8" i="4"/>
  <c r="F7" i="4" s="1"/>
  <c r="GC9" i="4"/>
  <c r="G17" i="4"/>
  <c r="G8" i="4" s="1"/>
  <c r="G7" i="4" s="1"/>
  <c r="GC29" i="4"/>
  <c r="GC37" i="4"/>
  <c r="GC35" i="4"/>
  <c r="GC18" i="4"/>
  <c r="GC20" i="4"/>
  <c r="GC36" i="4"/>
  <c r="GC46" i="4"/>
  <c r="GC53" i="4"/>
  <c r="GC58" i="4"/>
  <c r="P65" i="4"/>
  <c r="GC13" i="4"/>
  <c r="GC24" i="4"/>
  <c r="GC30" i="4"/>
  <c r="GC45" i="4"/>
  <c r="BY9" i="8"/>
  <c r="BY8" i="8" s="1"/>
  <c r="BN9" i="8"/>
  <c r="BN8" i="8" s="1"/>
  <c r="BN57" i="8" s="1"/>
  <c r="BP9" i="8"/>
  <c r="BP8" i="8" s="1"/>
  <c r="CL9" i="8"/>
  <c r="CL8" i="8" s="1"/>
  <c r="CL57" i="8" s="1"/>
  <c r="BQ9" i="8"/>
  <c r="BQ8" i="8" s="1"/>
  <c r="BQ57" i="8" s="1"/>
  <c r="CF9" i="8"/>
  <c r="CF8" i="8" s="1"/>
  <c r="CF57" i="8" s="1"/>
  <c r="BZ9" i="8"/>
  <c r="BZ8" i="8" s="1"/>
  <c r="BZ57" i="8" s="1"/>
  <c r="CQ9" i="8"/>
  <c r="CQ8" i="8" s="1"/>
  <c r="BO47" i="8"/>
  <c r="BM47" i="8" s="1"/>
  <c r="CM47" i="8"/>
  <c r="CK47" i="8" s="1"/>
  <c r="BI10" i="8"/>
  <c r="CG10" i="8"/>
  <c r="BL10" i="8"/>
  <c r="CJ10" i="8"/>
  <c r="BK9" i="8"/>
  <c r="BK8" i="8" s="1"/>
  <c r="BK57" i="8" s="1"/>
  <c r="BU19" i="8"/>
  <c r="BW9" i="8"/>
  <c r="BW8" i="8" s="1"/>
  <c r="BW57" i="8" s="1"/>
  <c r="CI9" i="8"/>
  <c r="CI8" i="8" s="1"/>
  <c r="CI57" i="8" s="1"/>
  <c r="CA13" i="8"/>
  <c r="BU10" i="8"/>
  <c r="BR13" i="8"/>
  <c r="CJ19" i="8"/>
  <c r="BI21" i="8"/>
  <c r="CP21" i="8" s="1"/>
  <c r="BG19" i="8"/>
  <c r="CG19" i="8"/>
  <c r="BF26" i="8"/>
  <c r="BL13" i="8"/>
  <c r="CJ13" i="8"/>
  <c r="ED12" i="8"/>
  <c r="CT10" i="8"/>
  <c r="ED10" i="8" s="1"/>
  <c r="CG26" i="8"/>
  <c r="CE26" i="8" s="1"/>
  <c r="BJ19" i="8"/>
  <c r="BO13" i="8"/>
  <c r="CM13" i="8"/>
  <c r="BL26" i="8"/>
  <c r="BJ26" i="8" s="1"/>
  <c r="CJ26" i="8"/>
  <c r="CH26" i="8" s="1"/>
  <c r="BX10" i="8"/>
  <c r="BH9" i="8"/>
  <c r="BH8" i="8" s="1"/>
  <c r="BH57" i="8" s="1"/>
  <c r="CA19" i="8"/>
  <c r="BI38" i="8"/>
  <c r="BI26" i="8" s="1"/>
  <c r="CP40" i="8"/>
  <c r="EB13" i="8"/>
  <c r="CR9" i="8"/>
  <c r="EB9" i="8" s="1"/>
  <c r="BJ9" i="8"/>
  <c r="BS9" i="8"/>
  <c r="BS8" i="8" s="1"/>
  <c r="BX19" i="8"/>
  <c r="CM26" i="8"/>
  <c r="CK26" i="8" s="1"/>
  <c r="KI26" i="8"/>
  <c r="CG47" i="8"/>
  <c r="EE26" i="8"/>
  <c r="CA26" i="8"/>
  <c r="BY26" i="8" s="1"/>
  <c r="BO10" i="8"/>
  <c r="CM10" i="8"/>
  <c r="LW26" i="8"/>
  <c r="BX13" i="8"/>
  <c r="CG13" i="8"/>
  <c r="BF19" i="8"/>
  <c r="CD19" i="8"/>
  <c r="BO26" i="8"/>
  <c r="BM26" i="8" s="1"/>
  <c r="BX47" i="8"/>
  <c r="BV47" i="8" s="1"/>
  <c r="EE47" i="8"/>
  <c r="KI47" i="8"/>
  <c r="CN21" i="8"/>
  <c r="CA47" i="8"/>
  <c r="BY47" i="8" s="1"/>
  <c r="IU26" i="8"/>
  <c r="BX26" i="8"/>
  <c r="CB9" i="8"/>
  <c r="CB8" i="8" s="1"/>
  <c r="BU26" i="8"/>
  <c r="BS26" i="8" s="1"/>
  <c r="BT9" i="8"/>
  <c r="BT8" i="8" s="1"/>
  <c r="BT57" i="8" s="1"/>
  <c r="CD13" i="8"/>
  <c r="CD26" i="8"/>
  <c r="CB26" i="8" s="1"/>
  <c r="CQ26" i="8"/>
  <c r="BI13" i="8"/>
  <c r="CP18" i="8"/>
  <c r="CP12" i="8"/>
  <c r="CD10" i="8"/>
  <c r="IU47" i="8"/>
  <c r="BL19" i="8"/>
  <c r="BI48" i="8"/>
  <c r="BI47" i="8" s="1"/>
  <c r="BG47" i="8" s="1"/>
  <c r="BF10" i="8"/>
  <c r="BR10" i="8"/>
  <c r="CP14" i="8"/>
  <c r="BF13" i="8"/>
  <c r="ED20" i="8"/>
  <c r="CT19" i="8"/>
  <c r="ED19" i="8" s="1"/>
  <c r="CT27" i="8"/>
  <c r="ED28" i="8"/>
  <c r="CK9" i="8"/>
  <c r="CK8" i="8" s="1"/>
  <c r="BI20" i="8"/>
  <c r="CN13" i="8"/>
  <c r="BM9" i="8"/>
  <c r="BM8" i="8" s="1"/>
  <c r="CC9" i="8"/>
  <c r="CC8" i="8" s="1"/>
  <c r="CC57" i="8" s="1"/>
  <c r="BE9" i="8"/>
  <c r="BE8" i="8" s="1"/>
  <c r="BE57" i="8" s="1"/>
  <c r="BO19" i="8"/>
  <c r="CM19" i="8"/>
  <c r="CP22" i="8"/>
  <c r="CO25" i="8"/>
  <c r="FS9" i="8"/>
  <c r="FS8" i="8" s="1"/>
  <c r="IU9" i="8"/>
  <c r="IU8" i="8" s="1"/>
  <c r="LW9" i="8"/>
  <c r="LW8" i="8" s="1"/>
  <c r="CP15" i="8"/>
  <c r="BR19" i="8"/>
  <c r="HG26" i="8"/>
  <c r="NK26" i="8"/>
  <c r="CP16" i="8"/>
  <c r="BR26" i="8"/>
  <c r="CT47" i="8"/>
  <c r="ED51" i="8"/>
  <c r="CN55" i="8"/>
  <c r="CP51" i="8"/>
  <c r="OV57" i="8"/>
  <c r="BU47" i="8"/>
  <c r="BS47" i="8" s="1"/>
  <c r="CO19" i="8"/>
  <c r="EC10" i="8"/>
  <c r="CS9" i="8"/>
  <c r="OW8" i="8"/>
  <c r="CP11" i="8"/>
  <c r="CP17" i="8"/>
  <c r="CN10" i="8"/>
  <c r="BD9" i="8"/>
  <c r="OW57" i="8"/>
  <c r="CP23" i="8"/>
  <c r="CP28" i="8"/>
  <c r="CP27" i="8"/>
  <c r="CP33" i="8"/>
  <c r="CP42" i="8"/>
  <c r="OV43" i="8"/>
  <c r="NM43" i="8"/>
  <c r="OX57" i="8"/>
  <c r="BA37" i="7"/>
  <c r="HV20" i="7"/>
  <c r="FC29" i="7"/>
  <c r="BJ19" i="7"/>
  <c r="BV19" i="7" s="1"/>
  <c r="BA18" i="7"/>
  <c r="BD18" i="7"/>
  <c r="BW38" i="7"/>
  <c r="BW37" i="7" s="1"/>
  <c r="HU28" i="7"/>
  <c r="EO18" i="7"/>
  <c r="EO17" i="7" s="1"/>
  <c r="EO47" i="7" s="1"/>
  <c r="FC19" i="7"/>
  <c r="HV35" i="7"/>
  <c r="HU9" i="7"/>
  <c r="AZ18" i="7"/>
  <c r="HU26" i="7"/>
  <c r="HV9" i="7"/>
  <c r="HV14" i="7"/>
  <c r="BJ37" i="7"/>
  <c r="BV37" i="7" s="1"/>
  <c r="BB37" i="7"/>
  <c r="EA37" i="7"/>
  <c r="HU45" i="7"/>
  <c r="HV10" i="7"/>
  <c r="AV18" i="7"/>
  <c r="DM18" i="7"/>
  <c r="HV30" i="7"/>
  <c r="BE18" i="7"/>
  <c r="CK18" i="7"/>
  <c r="HV26" i="7"/>
  <c r="HU29" i="7"/>
  <c r="HU27" i="7"/>
  <c r="EA29" i="7"/>
  <c r="BI18" i="7"/>
  <c r="HV21" i="7"/>
  <c r="HV33" i="7"/>
  <c r="HU21" i="7"/>
  <c r="HV23" i="7"/>
  <c r="HV31" i="7"/>
  <c r="HV40" i="7"/>
  <c r="EA11" i="7"/>
  <c r="EA7" i="7" s="1"/>
  <c r="HU20" i="7"/>
  <c r="HV22" i="7"/>
  <c r="HU36" i="7"/>
  <c r="HV11" i="7"/>
  <c r="AY18" i="7"/>
  <c r="BG18" i="7"/>
  <c r="HV39" i="7"/>
  <c r="HV15" i="7"/>
  <c r="HV18" i="7"/>
  <c r="BC18" i="7"/>
  <c r="AX18" i="7"/>
  <c r="BF18" i="7"/>
  <c r="CY18" i="7"/>
  <c r="HV25" i="7"/>
  <c r="HV29" i="7"/>
  <c r="HU24" i="7"/>
  <c r="HV13" i="7"/>
  <c r="HU13" i="7"/>
  <c r="BW22" i="7"/>
  <c r="BW19" i="7"/>
  <c r="BW18" i="7" s="1"/>
  <c r="HV12" i="7"/>
  <c r="HU12" i="7"/>
  <c r="BH38" i="7"/>
  <c r="AV37" i="7"/>
  <c r="HV24" i="7"/>
  <c r="HU25" i="7"/>
  <c r="HU32" i="7"/>
  <c r="HU34" i="7"/>
  <c r="BH33" i="7"/>
  <c r="HV37" i="7"/>
  <c r="HU43" i="7"/>
  <c r="HV19" i="7"/>
  <c r="HU22" i="7"/>
  <c r="HU10" i="7"/>
  <c r="BH29" i="7"/>
  <c r="HU41" i="7"/>
  <c r="BH11" i="7"/>
  <c r="BH25" i="7"/>
  <c r="HV17" i="7"/>
  <c r="BH19" i="7"/>
  <c r="BV7" i="7"/>
  <c r="BV11" i="7"/>
  <c r="HU14" i="7"/>
  <c r="HU17" i="7"/>
  <c r="HU11" i="7"/>
  <c r="BH7" i="7"/>
  <c r="HU15" i="7"/>
  <c r="HU31" i="7"/>
  <c r="HV34" i="7"/>
  <c r="HU19" i="7"/>
  <c r="BH20" i="7"/>
  <c r="HU30" i="7"/>
  <c r="HU44" i="7"/>
  <c r="BH41" i="7"/>
  <c r="HU18" i="7"/>
  <c r="HU23" i="7"/>
  <c r="HU33" i="7"/>
  <c r="HU35" i="7"/>
  <c r="HU37" i="7"/>
  <c r="HU38" i="7"/>
  <c r="HU39" i="7"/>
  <c r="HU40" i="7"/>
  <c r="CW58" i="4"/>
  <c r="CW56" i="4" s="1"/>
  <c r="FE16" i="6"/>
  <c r="FE15" i="6" s="1"/>
  <c r="FE42" i="6" s="1"/>
  <c r="AZ16" i="6"/>
  <c r="AZ15" i="6" s="1"/>
  <c r="AZ42" i="6" s="1"/>
  <c r="BH16" i="6"/>
  <c r="BH15" i="6" s="1"/>
  <c r="BH42" i="6" s="1"/>
  <c r="BX18" i="6"/>
  <c r="BL17" i="6"/>
  <c r="BX17" i="6" s="1"/>
  <c r="HX32" i="6"/>
  <c r="BY16" i="6"/>
  <c r="BY15" i="6" s="1"/>
  <c r="BY42" i="6" s="1"/>
  <c r="CM16" i="6"/>
  <c r="CM15" i="6" s="1"/>
  <c r="CM42" i="6" s="1"/>
  <c r="HW10" i="6"/>
  <c r="HX37" i="6"/>
  <c r="CI44" i="4"/>
  <c r="CI42" i="4" s="1"/>
  <c r="CI41" i="4" s="1"/>
  <c r="HX15" i="6"/>
  <c r="DA16" i="6"/>
  <c r="DA15" i="6" s="1"/>
  <c r="DA42" i="6" s="1"/>
  <c r="BA16" i="6"/>
  <c r="BA15" i="6" s="1"/>
  <c r="BA42" i="6" s="1"/>
  <c r="BI16" i="6"/>
  <c r="BI15" i="6" s="1"/>
  <c r="BI42" i="6" s="1"/>
  <c r="DO16" i="6"/>
  <c r="DO15" i="6" s="1"/>
  <c r="DO42" i="6" s="1"/>
  <c r="BC16" i="6"/>
  <c r="BC15" i="6" s="1"/>
  <c r="BC42" i="6" s="1"/>
  <c r="HW38" i="6"/>
  <c r="HX10" i="6"/>
  <c r="HW13" i="6"/>
  <c r="BE16" i="6"/>
  <c r="BE15" i="6" s="1"/>
  <c r="BE42" i="6" s="1"/>
  <c r="HX29" i="6"/>
  <c r="HX40" i="6"/>
  <c r="HX28" i="6"/>
  <c r="HW16" i="6"/>
  <c r="HX11" i="6"/>
  <c r="HX9" i="6"/>
  <c r="HW26" i="6"/>
  <c r="HX26" i="6"/>
  <c r="HW39" i="6"/>
  <c r="BB16" i="6"/>
  <c r="BB15" i="6" s="1"/>
  <c r="BB42" i="6" s="1"/>
  <c r="EQ16" i="6"/>
  <c r="EQ15" i="6" s="1"/>
  <c r="EQ42" i="6" s="1"/>
  <c r="HW15" i="6"/>
  <c r="BX23" i="6"/>
  <c r="HW19" i="6"/>
  <c r="HX19" i="6"/>
  <c r="HX17" i="6"/>
  <c r="HW17" i="6"/>
  <c r="HW22" i="6"/>
  <c r="HW32" i="6"/>
  <c r="HW9" i="6"/>
  <c r="HW21" i="6"/>
  <c r="HX21" i="6"/>
  <c r="HX16" i="6"/>
  <c r="BJ37" i="6"/>
  <c r="AY16" i="6"/>
  <c r="AY15" i="6" s="1"/>
  <c r="AY42" i="6" s="1"/>
  <c r="BG16" i="6"/>
  <c r="BG15" i="6" s="1"/>
  <c r="BG42" i="6" s="1"/>
  <c r="HW18" i="6"/>
  <c r="HX18" i="6"/>
  <c r="HX24" i="6"/>
  <c r="HW24" i="6"/>
  <c r="HX23" i="6"/>
  <c r="HW25" i="6"/>
  <c r="HW27" i="6"/>
  <c r="HX33" i="6"/>
  <c r="HX35" i="6"/>
  <c r="BJ26" i="6"/>
  <c r="BJ23" i="6"/>
  <c r="BK16" i="6"/>
  <c r="BK15" i="6" s="1"/>
  <c r="BK42" i="6" s="1"/>
  <c r="BJ38" i="6"/>
  <c r="HW29" i="6"/>
  <c r="BJ30" i="6"/>
  <c r="HW34" i="6"/>
  <c r="HW36" i="6"/>
  <c r="HX38" i="6"/>
  <c r="HX34" i="6"/>
  <c r="BJ17" i="6"/>
  <c r="HX31" i="6"/>
  <c r="HW31" i="6"/>
  <c r="HX30" i="6"/>
  <c r="BJ7" i="6"/>
  <c r="HW11" i="6"/>
  <c r="HX20" i="6"/>
  <c r="HW20" i="6"/>
  <c r="BJ18" i="6"/>
  <c r="HW30" i="6"/>
  <c r="HW23" i="6"/>
  <c r="HW28" i="6"/>
  <c r="HW33" i="6"/>
  <c r="HW35" i="6"/>
  <c r="HW40" i="6"/>
  <c r="HW37" i="6"/>
  <c r="BX41" i="5"/>
  <c r="BX40" i="5" s="1"/>
  <c r="BW34" i="5"/>
  <c r="BR9" i="5"/>
  <c r="BR8" i="5" s="1"/>
  <c r="BU41" i="5"/>
  <c r="BU40" i="5" s="1"/>
  <c r="BY41" i="5"/>
  <c r="BY40" i="5" s="1"/>
  <c r="BI9" i="5"/>
  <c r="BI8" i="5" s="1"/>
  <c r="BI41" i="5"/>
  <c r="BI40" i="5" s="1"/>
  <c r="CL57" i="5"/>
  <c r="WC55" i="5"/>
  <c r="CK62" i="5"/>
  <c r="CV19" i="5"/>
  <c r="CV16" i="5" s="1"/>
  <c r="EF16" i="5" s="1"/>
  <c r="CF48" i="5"/>
  <c r="CK41" i="5"/>
  <c r="BT43" i="5"/>
  <c r="BT42" i="5" s="1"/>
  <c r="BW57" i="5"/>
  <c r="WC35" i="5"/>
  <c r="BN34" i="5"/>
  <c r="CL34" i="5"/>
  <c r="CS69" i="5"/>
  <c r="CU67" i="5"/>
  <c r="CU62" i="5" s="1"/>
  <c r="CG9" i="5"/>
  <c r="CG8" i="5" s="1"/>
  <c r="JG19" i="5"/>
  <c r="MM19" i="5"/>
  <c r="GA19" i="5"/>
  <c r="FY19" i="5" s="1"/>
  <c r="CE41" i="5"/>
  <c r="PN51" i="5"/>
  <c r="BQ21" i="5"/>
  <c r="BQ19" i="5" s="1"/>
  <c r="BQ16" i="5" s="1"/>
  <c r="CO21" i="5"/>
  <c r="CC21" i="5"/>
  <c r="CC19" i="5" s="1"/>
  <c r="CC16" i="5" s="1"/>
  <c r="BH43" i="5"/>
  <c r="BH42" i="5" s="1"/>
  <c r="CF43" i="5"/>
  <c r="CF42" i="5" s="1"/>
  <c r="BH53" i="5"/>
  <c r="CF53" i="5"/>
  <c r="CI52" i="4"/>
  <c r="CX34" i="5"/>
  <c r="EH34" i="5" s="1"/>
  <c r="BN43" i="5"/>
  <c r="BN42" i="5" s="1"/>
  <c r="CL43" i="5"/>
  <c r="CL42" i="5" s="1"/>
  <c r="CC34" i="5"/>
  <c r="CO48" i="5"/>
  <c r="BH67" i="5"/>
  <c r="BH62" i="5" s="1"/>
  <c r="CE8" i="5"/>
  <c r="CT62" i="5"/>
  <c r="BK34" i="5"/>
  <c r="CI34" i="5"/>
  <c r="BV41" i="5"/>
  <c r="BV40" i="5" s="1"/>
  <c r="EJ41" i="5"/>
  <c r="EJ40" i="5" s="1"/>
  <c r="EJ73" i="5" s="1"/>
  <c r="FY67" i="5"/>
  <c r="GA62" i="5"/>
  <c r="OA34" i="5"/>
  <c r="OB8" i="5"/>
  <c r="CA41" i="5"/>
  <c r="CA40" i="5" s="1"/>
  <c r="KU55" i="5"/>
  <c r="BK57" i="5"/>
  <c r="CI57" i="5"/>
  <c r="BW67" i="5"/>
  <c r="BW62" i="5" s="1"/>
  <c r="WC22" i="5"/>
  <c r="WC24" i="5"/>
  <c r="WD25" i="5"/>
  <c r="BO41" i="5"/>
  <c r="BO40" i="5" s="1"/>
  <c r="WD54" i="5"/>
  <c r="CC57" i="5"/>
  <c r="BQ57" i="5"/>
  <c r="CO57" i="5"/>
  <c r="WC53" i="5"/>
  <c r="WD66" i="5"/>
  <c r="CL63" i="5"/>
  <c r="WC23" i="5"/>
  <c r="EI42" i="5"/>
  <c r="WC16" i="5"/>
  <c r="CI48" i="5"/>
  <c r="BU9" i="5"/>
  <c r="BU8" i="5" s="1"/>
  <c r="CS55" i="5"/>
  <c r="CU53" i="5"/>
  <c r="CS53" i="5" s="1"/>
  <c r="CC67" i="5"/>
  <c r="WC13" i="5"/>
  <c r="WD20" i="5"/>
  <c r="BN21" i="5"/>
  <c r="BN19" i="5" s="1"/>
  <c r="BN16" i="5" s="1"/>
  <c r="CL21" i="5"/>
  <c r="CL19" i="5" s="1"/>
  <c r="CL16" i="5" s="1"/>
  <c r="WD37" i="5"/>
  <c r="WC41" i="5"/>
  <c r="BF41" i="5"/>
  <c r="BF40" i="5" s="1"/>
  <c r="WD47" i="5"/>
  <c r="CC53" i="5"/>
  <c r="BZ43" i="5"/>
  <c r="CQ48" i="5"/>
  <c r="WD63" i="5"/>
  <c r="CC43" i="5"/>
  <c r="CC42" i="5" s="1"/>
  <c r="CN41" i="5"/>
  <c r="PN57" i="5"/>
  <c r="OA70" i="5"/>
  <c r="PN46" i="5"/>
  <c r="WC51" i="5"/>
  <c r="BK43" i="5"/>
  <c r="BK42" i="5" s="1"/>
  <c r="CI43" i="5"/>
  <c r="CI42" i="5" s="1"/>
  <c r="JF41" i="5"/>
  <c r="WD62" i="5"/>
  <c r="CM41" i="5"/>
  <c r="BN53" i="5"/>
  <c r="WD13" i="5"/>
  <c r="BT10" i="5"/>
  <c r="WD34" i="5"/>
  <c r="BZ34" i="5"/>
  <c r="HQ42" i="5"/>
  <c r="HO42" i="5" s="1"/>
  <c r="CX21" i="5"/>
  <c r="EH21" i="5" s="1"/>
  <c r="BQ34" i="5"/>
  <c r="CO34" i="5"/>
  <c r="WC43" i="5"/>
  <c r="WD17" i="5"/>
  <c r="WC21" i="5"/>
  <c r="JE34" i="5"/>
  <c r="WD26" i="5"/>
  <c r="EG67" i="5"/>
  <c r="CW62" i="5"/>
  <c r="EG62" i="5" s="1"/>
  <c r="CS43" i="5"/>
  <c r="CU42" i="5"/>
  <c r="CL53" i="5"/>
  <c r="PN45" i="5"/>
  <c r="BK67" i="5"/>
  <c r="BK62" i="5" s="1"/>
  <c r="CJ41" i="5"/>
  <c r="CJ40" i="5" s="1"/>
  <c r="FY48" i="5"/>
  <c r="CR49" i="5"/>
  <c r="GA53" i="5"/>
  <c r="GA41" i="5" s="1"/>
  <c r="BK53" i="5"/>
  <c r="CI53" i="5"/>
  <c r="WD55" i="5"/>
  <c r="CX67" i="5"/>
  <c r="EH67" i="5" s="1"/>
  <c r="BT67" i="5"/>
  <c r="BT62" i="5" s="1"/>
  <c r="PN68" i="5"/>
  <c r="BN67" i="5"/>
  <c r="BN62" i="5" s="1"/>
  <c r="CL67" i="5"/>
  <c r="WD42" i="5"/>
  <c r="CQ63" i="5"/>
  <c r="WC45" i="5"/>
  <c r="CG62" i="5"/>
  <c r="OC67" i="5"/>
  <c r="OC62" i="5" s="1"/>
  <c r="OA62" i="5" s="1"/>
  <c r="EI57" i="5"/>
  <c r="CI47" i="4"/>
  <c r="CQ10" i="5"/>
  <c r="WD10" i="5"/>
  <c r="CR27" i="5"/>
  <c r="CF34" i="5"/>
  <c r="CU19" i="5"/>
  <c r="WD28" i="5"/>
  <c r="WC29" i="5"/>
  <c r="WD30" i="5"/>
  <c r="EH45" i="5"/>
  <c r="CX43" i="5"/>
  <c r="WD33" i="5"/>
  <c r="FY42" i="5"/>
  <c r="FZ41" i="5"/>
  <c r="FZ40" i="5" s="1"/>
  <c r="FZ73" i="5" s="1"/>
  <c r="OA42" i="5"/>
  <c r="OC41" i="5"/>
  <c r="WD15" i="5"/>
  <c r="WD19" i="5"/>
  <c r="CS34" i="5"/>
  <c r="EI70" i="5"/>
  <c r="EK67" i="5"/>
  <c r="EK62" i="5" s="1"/>
  <c r="EI62" i="5" s="1"/>
  <c r="CI68" i="4"/>
  <c r="CI65" i="4" s="1"/>
  <c r="KW67" i="5"/>
  <c r="KU67" i="5" s="1"/>
  <c r="WD21" i="5"/>
  <c r="WD23" i="5"/>
  <c r="CR25" i="5"/>
  <c r="CD9" i="5"/>
  <c r="CD8" i="5" s="1"/>
  <c r="BH34" i="5"/>
  <c r="KU42" i="5"/>
  <c r="EI48" i="5"/>
  <c r="CW67" i="4"/>
  <c r="MK69" i="5"/>
  <c r="HO63" i="5"/>
  <c r="HQ62" i="5"/>
  <c r="HO62" i="5" s="1"/>
  <c r="WC36" i="5"/>
  <c r="WD40" i="5"/>
  <c r="WC34" i="5"/>
  <c r="FY34" i="5"/>
  <c r="KU34" i="5"/>
  <c r="WD38" i="5"/>
  <c r="WD43" i="5"/>
  <c r="CS48" i="5"/>
  <c r="WC48" i="5"/>
  <c r="WD50" i="5"/>
  <c r="WC67" i="5"/>
  <c r="CR51" i="5"/>
  <c r="WD51" i="5"/>
  <c r="MK59" i="5"/>
  <c r="PN73" i="5"/>
  <c r="WD49" i="5"/>
  <c r="CX53" i="5"/>
  <c r="EH53" i="5" s="1"/>
  <c r="BN57" i="5"/>
  <c r="BZ67" i="5"/>
  <c r="BZ62" i="5" s="1"/>
  <c r="WC63" i="5"/>
  <c r="CL48" i="5"/>
  <c r="CR50" i="5"/>
  <c r="CS57" i="5"/>
  <c r="CF67" i="5"/>
  <c r="WD53" i="5"/>
  <c r="WC54" i="5"/>
  <c r="CN62" i="5"/>
  <c r="EF10" i="5"/>
  <c r="CQ19" i="5"/>
  <c r="BG16" i="5"/>
  <c r="CW8" i="5"/>
  <c r="EG8" i="5" s="1"/>
  <c r="WC10" i="5"/>
  <c r="WD11" i="5"/>
  <c r="WC11" i="5"/>
  <c r="CP10" i="5"/>
  <c r="CQ21" i="5"/>
  <c r="WC40" i="5"/>
  <c r="KU56" i="5"/>
  <c r="KV53" i="5"/>
  <c r="KV41" i="5" s="1"/>
  <c r="KV40" i="5" s="1"/>
  <c r="KV73" i="5" s="1"/>
  <c r="WC15" i="5"/>
  <c r="BX9" i="5"/>
  <c r="BX8" i="5" s="1"/>
  <c r="WC17" i="5"/>
  <c r="WC26" i="5"/>
  <c r="CR38" i="5"/>
  <c r="WC38" i="5"/>
  <c r="WD41" i="5"/>
  <c r="JE54" i="5"/>
  <c r="JG53" i="5"/>
  <c r="JE53" i="5" s="1"/>
  <c r="BO9" i="5"/>
  <c r="BO8" i="5" s="1"/>
  <c r="CR23" i="5"/>
  <c r="WC28" i="5"/>
  <c r="CR26" i="5"/>
  <c r="WC30" i="5"/>
  <c r="CR32" i="5"/>
  <c r="CR28" i="5"/>
  <c r="EI34" i="5"/>
  <c r="CR37" i="5"/>
  <c r="CG41" i="5"/>
  <c r="BL9" i="5"/>
  <c r="BL8" i="5" s="1"/>
  <c r="CJ9" i="5"/>
  <c r="CJ8" i="5" s="1"/>
  <c r="CM9" i="5"/>
  <c r="CM8" i="5" s="1"/>
  <c r="HQ19" i="5"/>
  <c r="WC19" i="5"/>
  <c r="WD36" i="5"/>
  <c r="PN49" i="5"/>
  <c r="WD16" i="5"/>
  <c r="CR17" i="5"/>
  <c r="WC20" i="5"/>
  <c r="CR24" i="5"/>
  <c r="WC25" i="5"/>
  <c r="WC27" i="5"/>
  <c r="WD31" i="5"/>
  <c r="CR33" i="5"/>
  <c r="WC33" i="5"/>
  <c r="CF10" i="5"/>
  <c r="CA9" i="5"/>
  <c r="CA8" i="5" s="1"/>
  <c r="CP21" i="5"/>
  <c r="WD22" i="5"/>
  <c r="CR29" i="5"/>
  <c r="CR30" i="5"/>
  <c r="CB8" i="5"/>
  <c r="CR35" i="5"/>
  <c r="EH51" i="5"/>
  <c r="CX48" i="5"/>
  <c r="EH48" i="5" s="1"/>
  <c r="CH41" i="5"/>
  <c r="CV42" i="5"/>
  <c r="HP41" i="5"/>
  <c r="HP40" i="5" s="1"/>
  <c r="HP73" i="5" s="1"/>
  <c r="JE48" i="5"/>
  <c r="HO53" i="5"/>
  <c r="CQ43" i="5"/>
  <c r="WC49" i="5"/>
  <c r="BR41" i="5"/>
  <c r="BR40" i="5" s="1"/>
  <c r="CP43" i="5"/>
  <c r="WD44" i="5"/>
  <c r="WD48" i="5"/>
  <c r="BJ41" i="5"/>
  <c r="BJ40" i="5" s="1"/>
  <c r="BQ53" i="5"/>
  <c r="CO53" i="5"/>
  <c r="BZ53" i="5"/>
  <c r="EH58" i="5"/>
  <c r="CX57" i="5"/>
  <c r="EH57" i="5" s="1"/>
  <c r="CQ67" i="5"/>
  <c r="BG62" i="5"/>
  <c r="CQ42" i="5"/>
  <c r="PN43" i="5"/>
  <c r="WC44" i="5"/>
  <c r="FY45" i="5"/>
  <c r="PN47" i="5"/>
  <c r="WC47" i="5"/>
  <c r="HO48" i="5"/>
  <c r="WD52" i="5"/>
  <c r="JE69" i="5"/>
  <c r="JG67" i="5"/>
  <c r="JG62" i="5" s="1"/>
  <c r="JE62" i="5" s="1"/>
  <c r="WC42" i="5"/>
  <c r="WD45" i="5"/>
  <c r="WC52" i="5"/>
  <c r="CP53" i="5"/>
  <c r="WD70" i="5"/>
  <c r="WC70" i="5"/>
  <c r="JE42" i="5"/>
  <c r="MK45" i="5"/>
  <c r="EF67" i="5"/>
  <c r="CV62" i="5"/>
  <c r="EF62" i="5" s="1"/>
  <c r="PN70" i="5"/>
  <c r="BM41" i="5"/>
  <c r="BM40" i="5" s="1"/>
  <c r="CR60" i="5"/>
  <c r="CR65" i="5"/>
  <c r="BT57" i="5"/>
  <c r="PN56" i="5"/>
  <c r="CS63" i="5"/>
  <c r="WD65" i="5"/>
  <c r="PN67" i="5"/>
  <c r="CE62" i="5"/>
  <c r="CM62" i="5"/>
  <c r="CP57" i="5"/>
  <c r="PN58" i="5"/>
  <c r="WC66" i="5"/>
  <c r="CR68" i="5"/>
  <c r="KU70" i="5"/>
  <c r="CR59" i="5"/>
  <c r="WC62" i="5"/>
  <c r="CR70" i="5"/>
  <c r="BZ57" i="5"/>
  <c r="PN60" i="5"/>
  <c r="CP63" i="5"/>
  <c r="WD64" i="5"/>
  <c r="CR69" i="5"/>
  <c r="PN69" i="5"/>
  <c r="WD71" i="5"/>
  <c r="WC71" i="5"/>
  <c r="CI62" i="4"/>
  <c r="KU63" i="5"/>
  <c r="CF63" i="5"/>
  <c r="CR64" i="5"/>
  <c r="WD18" i="5"/>
  <c r="WC18" i="5"/>
  <c r="EI10" i="5"/>
  <c r="CR13" i="5"/>
  <c r="BH10" i="5"/>
  <c r="WD27" i="5"/>
  <c r="CP19" i="5"/>
  <c r="BF16" i="5"/>
  <c r="BZ21" i="5"/>
  <c r="BZ19" i="5" s="1"/>
  <c r="BZ16" i="5" s="1"/>
  <c r="CR22" i="5"/>
  <c r="WD32" i="5"/>
  <c r="WC32" i="5"/>
  <c r="HO34" i="5"/>
  <c r="WD60" i="5"/>
  <c r="WC60" i="5"/>
  <c r="EH13" i="5"/>
  <c r="CX10" i="5"/>
  <c r="CR20" i="5"/>
  <c r="EI21" i="5"/>
  <c r="EK19" i="5"/>
  <c r="CR11" i="5"/>
  <c r="CQ34" i="5"/>
  <c r="CR18" i="5"/>
  <c r="CP34" i="5"/>
  <c r="CP42" i="5"/>
  <c r="CR44" i="5"/>
  <c r="WD56" i="5"/>
  <c r="WC56" i="5"/>
  <c r="CR61" i="5"/>
  <c r="WD61" i="5"/>
  <c r="WC61" i="5"/>
  <c r="WC31" i="5"/>
  <c r="WD59" i="5"/>
  <c r="WC59" i="5"/>
  <c r="WD69" i="5"/>
  <c r="WC69" i="5"/>
  <c r="CR36" i="5"/>
  <c r="OA45" i="5"/>
  <c r="EH47" i="5"/>
  <c r="BW53" i="5"/>
  <c r="PN62" i="5"/>
  <c r="WD68" i="5"/>
  <c r="WC68" i="5"/>
  <c r="PN42" i="5"/>
  <c r="PN44" i="5"/>
  <c r="CR45" i="5"/>
  <c r="CR46" i="5"/>
  <c r="CR47" i="5"/>
  <c r="PN53" i="5"/>
  <c r="CR55" i="5"/>
  <c r="EK53" i="5"/>
  <c r="EI56" i="5"/>
  <c r="CP67" i="5"/>
  <c r="BW43" i="5"/>
  <c r="BW42" i="5" s="1"/>
  <c r="CW54" i="4"/>
  <c r="CW52" i="4" s="1"/>
  <c r="MK55" i="5"/>
  <c r="CQ57" i="5"/>
  <c r="WD58" i="5"/>
  <c r="WC58" i="5"/>
  <c r="PN64" i="5"/>
  <c r="PN41" i="5"/>
  <c r="WD46" i="5"/>
  <c r="WC46" i="5"/>
  <c r="CR56" i="5"/>
  <c r="WD57" i="5"/>
  <c r="WC57" i="5"/>
  <c r="CW68" i="4"/>
  <c r="MM67" i="5"/>
  <c r="MK70" i="5"/>
  <c r="MK42" i="5"/>
  <c r="CR54" i="5"/>
  <c r="CR58" i="5"/>
  <c r="EH64" i="5"/>
  <c r="CX63" i="5"/>
  <c r="WD67" i="5"/>
  <c r="CP48" i="5"/>
  <c r="PN48" i="5"/>
  <c r="PN52" i="5"/>
  <c r="CQ53" i="5"/>
  <c r="MK56" i="5"/>
  <c r="OA59" i="5"/>
  <c r="EG48" i="5"/>
  <c r="OA63" i="5"/>
  <c r="MM53" i="5"/>
  <c r="MK53" i="5" s="1"/>
  <c r="WC64" i="5"/>
  <c r="PN65" i="5"/>
  <c r="WC37" i="5"/>
  <c r="KU45" i="5"/>
  <c r="KU59" i="5"/>
  <c r="WC65" i="5"/>
  <c r="KU69" i="5"/>
  <c r="MK63" i="5"/>
  <c r="BL41" i="5"/>
  <c r="BL40" i="5" s="1"/>
  <c r="OA69" i="5"/>
  <c r="CM62" i="3"/>
  <c r="HW56" i="3"/>
  <c r="AX8" i="3"/>
  <c r="AX7" i="3" s="1"/>
  <c r="BF8" i="3"/>
  <c r="BF7" i="3" s="1"/>
  <c r="BG8" i="3"/>
  <c r="BG7" i="3" s="1"/>
  <c r="HW23" i="3"/>
  <c r="AZ8" i="3"/>
  <c r="AZ7" i="3" s="1"/>
  <c r="BH8" i="3"/>
  <c r="BH7" i="3" s="1"/>
  <c r="HW70" i="3"/>
  <c r="BD8" i="3"/>
  <c r="BD7" i="3" s="1"/>
  <c r="BY8" i="3"/>
  <c r="BY7" i="3" s="1"/>
  <c r="CM8" i="3"/>
  <c r="CM7" i="3" s="1"/>
  <c r="EC8" i="3"/>
  <c r="EC7" i="3" s="1"/>
  <c r="DA8" i="3"/>
  <c r="DA7" i="3" s="1"/>
  <c r="FE8" i="3"/>
  <c r="FE7" i="3" s="1"/>
  <c r="BB62" i="3"/>
  <c r="BK62" i="3"/>
  <c r="CZ13" i="3"/>
  <c r="BA8" i="3"/>
  <c r="BA7" i="3" s="1"/>
  <c r="BI8" i="3"/>
  <c r="BI7" i="3" s="1"/>
  <c r="HX49" i="3"/>
  <c r="HX14" i="3"/>
  <c r="HX9" i="3"/>
  <c r="HX10" i="3"/>
  <c r="BI41" i="3"/>
  <c r="HX40" i="3"/>
  <c r="HX44" i="3"/>
  <c r="HX45" i="3"/>
  <c r="HX46" i="3"/>
  <c r="HX43" i="3"/>
  <c r="HX26" i="3"/>
  <c r="HX34" i="3"/>
  <c r="HX20" i="3"/>
  <c r="HW67" i="3"/>
  <c r="BB8" i="3"/>
  <c r="BB7" i="3" s="1"/>
  <c r="BK8" i="3"/>
  <c r="BK7" i="3" s="1"/>
  <c r="DO8" i="3"/>
  <c r="DO7" i="3" s="1"/>
  <c r="HX16" i="3"/>
  <c r="BC8" i="3"/>
  <c r="BC7" i="3" s="1"/>
  <c r="BL17" i="3"/>
  <c r="BX17" i="3" s="1"/>
  <c r="HW68" i="3"/>
  <c r="BD41" i="3"/>
  <c r="BG62" i="3"/>
  <c r="HW24" i="3"/>
  <c r="EQ62" i="3"/>
  <c r="HX64" i="3"/>
  <c r="HX33" i="3"/>
  <c r="BC41" i="3"/>
  <c r="BD62" i="3"/>
  <c r="HX22" i="3"/>
  <c r="HW22" i="3"/>
  <c r="HW20" i="3"/>
  <c r="HX28" i="3"/>
  <c r="HX25" i="3"/>
  <c r="BY41" i="3"/>
  <c r="BX43" i="3"/>
  <c r="BL42" i="3"/>
  <c r="BL41" i="3" s="1"/>
  <c r="EC41" i="3"/>
  <c r="HW64" i="3"/>
  <c r="HW69" i="3"/>
  <c r="AY62" i="3"/>
  <c r="AZ41" i="3"/>
  <c r="CM41" i="3"/>
  <c r="AZ62" i="3"/>
  <c r="BH62" i="3"/>
  <c r="HW46" i="3"/>
  <c r="HW49" i="3"/>
  <c r="BC62" i="3"/>
  <c r="BF41" i="3"/>
  <c r="BB41" i="3"/>
  <c r="DO41" i="3"/>
  <c r="HX48" i="3"/>
  <c r="BY62" i="3"/>
  <c r="HW36" i="3"/>
  <c r="BH41" i="3"/>
  <c r="HW50" i="3"/>
  <c r="HX55" i="3"/>
  <c r="HX57" i="3"/>
  <c r="HX61" i="3"/>
  <c r="BX9" i="3"/>
  <c r="HW9" i="3"/>
  <c r="BE8" i="3"/>
  <c r="BE7" i="3" s="1"/>
  <c r="HX19" i="3"/>
  <c r="HW19" i="3"/>
  <c r="HX17" i="3"/>
  <c r="HW17" i="3"/>
  <c r="EB13" i="3"/>
  <c r="BJ20" i="3"/>
  <c r="BE41" i="3"/>
  <c r="HW14" i="3"/>
  <c r="HW31" i="3"/>
  <c r="HX31" i="3"/>
  <c r="DN13" i="3"/>
  <c r="HW16" i="3"/>
  <c r="HX27" i="3"/>
  <c r="HX24" i="3"/>
  <c r="HX29" i="3"/>
  <c r="HW29" i="3"/>
  <c r="HX58" i="3"/>
  <c r="HW58" i="3"/>
  <c r="HX66" i="3"/>
  <c r="HW66" i="3"/>
  <c r="HX51" i="3"/>
  <c r="HW51" i="3"/>
  <c r="HW25" i="3"/>
  <c r="HX38" i="3"/>
  <c r="HW38" i="3"/>
  <c r="HX41" i="3"/>
  <c r="HW48" i="3"/>
  <c r="HX47" i="3"/>
  <c r="HW47" i="3"/>
  <c r="BJ53" i="3"/>
  <c r="HX53" i="3"/>
  <c r="HX37" i="3"/>
  <c r="HX42" i="3"/>
  <c r="HX62" i="3"/>
  <c r="HX65" i="3"/>
  <c r="EC62" i="3"/>
  <c r="HX68" i="3"/>
  <c r="EQ41" i="3"/>
  <c r="HW52" i="3"/>
  <c r="HW55" i="3"/>
  <c r="HX59" i="3"/>
  <c r="BF62" i="3"/>
  <c r="BG41" i="3"/>
  <c r="HW61" i="3"/>
  <c r="BL62" i="3"/>
  <c r="BX62" i="3" s="1"/>
  <c r="HX63" i="3"/>
  <c r="BX63" i="3"/>
  <c r="HW63" i="3"/>
  <c r="BA62" i="3"/>
  <c r="BI62" i="3"/>
  <c r="BJ57" i="3"/>
  <c r="BK41" i="3"/>
  <c r="BE62" i="3"/>
  <c r="HX13" i="3"/>
  <c r="HW13" i="3"/>
  <c r="BJ9" i="3"/>
  <c r="HW10" i="3"/>
  <c r="HX12" i="3"/>
  <c r="HW12" i="3"/>
  <c r="AY17" i="3"/>
  <c r="AY8" i="3" s="1"/>
  <c r="AY7" i="3" s="1"/>
  <c r="HX21" i="3"/>
  <c r="HW21" i="3"/>
  <c r="HX18" i="3"/>
  <c r="HW18" i="3"/>
  <c r="HW28" i="3"/>
  <c r="HX32" i="3"/>
  <c r="HW32" i="3"/>
  <c r="BJ34" i="3"/>
  <c r="HX35" i="3"/>
  <c r="HW35" i="3"/>
  <c r="HW40" i="3"/>
  <c r="BA42" i="3"/>
  <c r="BA41" i="3" s="1"/>
  <c r="BJ43" i="3"/>
  <c r="HX30" i="3"/>
  <c r="HW30" i="3"/>
  <c r="AX41" i="3"/>
  <c r="HX60" i="3"/>
  <c r="HW60" i="3"/>
  <c r="HW26" i="3"/>
  <c r="AY41" i="3"/>
  <c r="BJ48" i="3"/>
  <c r="HX50" i="3"/>
  <c r="HW42" i="3"/>
  <c r="HW33" i="3"/>
  <c r="HW27" i="3"/>
  <c r="HW34" i="3"/>
  <c r="HW37" i="3"/>
  <c r="BJ63" i="3"/>
  <c r="HW44" i="3"/>
  <c r="HW54" i="3"/>
  <c r="HW57" i="3"/>
  <c r="HW41" i="3"/>
  <c r="HW43" i="3"/>
  <c r="HW53" i="3"/>
  <c r="AX62" i="3"/>
  <c r="BJ66" i="3"/>
  <c r="HW45" i="3"/>
  <c r="HW59" i="3"/>
  <c r="HW62" i="3"/>
  <c r="HW65" i="3"/>
  <c r="HW72" i="3"/>
  <c r="HW50" i="2"/>
  <c r="HW70" i="2"/>
  <c r="HW74" i="2"/>
  <c r="BC8" i="2"/>
  <c r="BC7" i="2" s="1"/>
  <c r="HX9" i="2"/>
  <c r="FE8" i="2"/>
  <c r="FE7" i="2" s="1"/>
  <c r="HW38" i="2"/>
  <c r="BY42" i="2"/>
  <c r="BY41" i="2" s="1"/>
  <c r="EC8" i="2"/>
  <c r="EC7" i="2" s="1"/>
  <c r="HW16" i="2"/>
  <c r="BI42" i="2"/>
  <c r="BI41" i="2" s="1"/>
  <c r="HX63" i="2"/>
  <c r="DO8" i="2"/>
  <c r="DO7" i="2" s="1"/>
  <c r="HX39" i="2"/>
  <c r="CM42" i="2"/>
  <c r="CM41" i="2" s="1"/>
  <c r="EQ42" i="2"/>
  <c r="EQ41" i="2" s="1"/>
  <c r="HW67" i="2"/>
  <c r="HX42" i="2"/>
  <c r="HW28" i="2"/>
  <c r="HW36" i="2"/>
  <c r="BY8" i="2"/>
  <c r="BY7" i="2" s="1"/>
  <c r="BC42" i="2"/>
  <c r="BC41" i="2" s="1"/>
  <c r="BL43" i="2"/>
  <c r="BX43" i="2" s="1"/>
  <c r="BX44" i="2"/>
  <c r="BJ66" i="2"/>
  <c r="AY64" i="2"/>
  <c r="AY63" i="2" s="1"/>
  <c r="AZ8" i="2"/>
  <c r="AZ7" i="2" s="1"/>
  <c r="BD42" i="2"/>
  <c r="BD41" i="2" s="1"/>
  <c r="BJ54" i="2"/>
  <c r="HW63" i="2"/>
  <c r="HW68" i="2"/>
  <c r="BK8" i="2"/>
  <c r="BK7" i="2" s="1"/>
  <c r="HX10" i="2"/>
  <c r="HX19" i="2"/>
  <c r="BB8" i="2"/>
  <c r="BB7" i="2" s="1"/>
  <c r="HX47" i="2"/>
  <c r="HX51" i="2"/>
  <c r="DO42" i="2"/>
  <c r="DO41" i="2" s="1"/>
  <c r="AY42" i="2"/>
  <c r="BG42" i="2"/>
  <c r="HX20" i="2"/>
  <c r="HW41" i="2"/>
  <c r="HW59" i="2"/>
  <c r="BG63" i="2"/>
  <c r="HW65" i="2"/>
  <c r="HX13" i="2"/>
  <c r="HX18" i="2"/>
  <c r="HX31" i="2"/>
  <c r="BA42" i="2"/>
  <c r="BA41" i="2" s="1"/>
  <c r="HX43" i="2"/>
  <c r="BF42" i="2"/>
  <c r="BF41" i="2" s="1"/>
  <c r="HX59" i="2"/>
  <c r="HW9" i="2"/>
  <c r="HW35" i="2"/>
  <c r="HX12" i="2"/>
  <c r="HW13" i="2"/>
  <c r="BD8" i="2"/>
  <c r="BD7" i="2" s="1"/>
  <c r="HW21" i="2"/>
  <c r="AY8" i="2"/>
  <c r="AY7" i="2" s="1"/>
  <c r="BG8" i="2"/>
  <c r="BG7" i="2" s="1"/>
  <c r="HW10" i="2"/>
  <c r="HW20" i="2"/>
  <c r="HW25" i="2"/>
  <c r="HX25" i="2"/>
  <c r="HX60" i="2"/>
  <c r="HW60" i="2"/>
  <c r="BJ49" i="2"/>
  <c r="AX42" i="2"/>
  <c r="AX41" i="2" s="1"/>
  <c r="BJ35" i="2"/>
  <c r="BK42" i="2"/>
  <c r="BK41" i="2" s="1"/>
  <c r="HW18" i="2"/>
  <c r="HW23" i="2"/>
  <c r="HX30" i="2"/>
  <c r="CZ13" i="2"/>
  <c r="DN13" i="2"/>
  <c r="HW27" i="2"/>
  <c r="HX27" i="2"/>
  <c r="HW31" i="2"/>
  <c r="HW29" i="2"/>
  <c r="HX41" i="2"/>
  <c r="HW34" i="2"/>
  <c r="HW42" i="2"/>
  <c r="BJ44" i="2"/>
  <c r="HX45" i="2"/>
  <c r="HX46" i="2"/>
  <c r="HX52" i="2"/>
  <c r="HX64" i="2"/>
  <c r="HW43" i="2"/>
  <c r="BE42" i="2"/>
  <c r="BE41" i="2" s="1"/>
  <c r="HW72" i="2"/>
  <c r="HW53" i="2"/>
  <c r="AZ42" i="2"/>
  <c r="AZ41" i="2" s="1"/>
  <c r="BH42" i="2"/>
  <c r="BH41" i="2" s="1"/>
  <c r="HW48" i="2"/>
  <c r="HW51" i="2"/>
  <c r="HX61" i="2"/>
  <c r="HW56" i="2"/>
  <c r="BJ58" i="2"/>
  <c r="HW61" i="2"/>
  <c r="BJ9" i="2"/>
  <c r="HX16" i="2"/>
  <c r="HX17" i="2"/>
  <c r="HW17" i="2"/>
  <c r="HX26" i="2"/>
  <c r="HW12" i="2"/>
  <c r="HW19" i="2"/>
  <c r="CL13" i="2"/>
  <c r="HX14" i="2"/>
  <c r="HW14" i="2"/>
  <c r="EB13" i="2"/>
  <c r="BL18" i="2"/>
  <c r="BX21" i="2"/>
  <c r="HX32" i="2"/>
  <c r="HW32" i="2"/>
  <c r="BJ21" i="2"/>
  <c r="AX18" i="2"/>
  <c r="BJ18" i="2" s="1"/>
  <c r="HX33" i="2"/>
  <c r="HW33" i="2"/>
  <c r="HX44" i="2"/>
  <c r="HW44" i="2"/>
  <c r="HW54" i="2"/>
  <c r="HW47" i="2"/>
  <c r="HX57" i="2"/>
  <c r="HW26" i="2"/>
  <c r="BJ43" i="2"/>
  <c r="HX58" i="2"/>
  <c r="HW58" i="2"/>
  <c r="HX62" i="2"/>
  <c r="HX49" i="2"/>
  <c r="HW49" i="2"/>
  <c r="HW57" i="2"/>
  <c r="HW62" i="2"/>
  <c r="BL63" i="2"/>
  <c r="BX63" i="2" s="1"/>
  <c r="HW45" i="2"/>
  <c r="HW66" i="2"/>
  <c r="HW64" i="2"/>
  <c r="CM74" i="2" l="1"/>
  <c r="CH40" i="5"/>
  <c r="DO40" i="3"/>
  <c r="DO72" i="3" s="1"/>
  <c r="CB25" i="8"/>
  <c r="CB57" i="8" s="1"/>
  <c r="FC18" i="7"/>
  <c r="FC17" i="7" s="1"/>
  <c r="FC47" i="7" s="1"/>
  <c r="BF74" i="2"/>
  <c r="K39" i="4"/>
  <c r="K70" i="4" s="1"/>
  <c r="N39" i="4"/>
  <c r="N70" i="4" s="1"/>
  <c r="DM17" i="7"/>
  <c r="DM47" i="7" s="1"/>
  <c r="BD17" i="7"/>
  <c r="BD47" i="7" s="1"/>
  <c r="J39" i="4"/>
  <c r="J70" i="4" s="1"/>
  <c r="NK25" i="8"/>
  <c r="NK57" i="8" s="1"/>
  <c r="FS25" i="8"/>
  <c r="FS57" i="8" s="1"/>
  <c r="BI17" i="7"/>
  <c r="BI47" i="7" s="1"/>
  <c r="AX17" i="7"/>
  <c r="AX47" i="7" s="1"/>
  <c r="AZ17" i="7"/>
  <c r="AZ47" i="7" s="1"/>
  <c r="BA17" i="7"/>
  <c r="BA47" i="7" s="1"/>
  <c r="FE72" i="3"/>
  <c r="M39" i="4"/>
  <c r="M70" i="4" s="1"/>
  <c r="H39" i="4"/>
  <c r="H70" i="4" s="1"/>
  <c r="CG9" i="8"/>
  <c r="CG8" i="8" s="1"/>
  <c r="CH25" i="8"/>
  <c r="CH57" i="8" s="1"/>
  <c r="BM25" i="8"/>
  <c r="BM57" i="8" s="1"/>
  <c r="BR9" i="8"/>
  <c r="BR8" i="8" s="1"/>
  <c r="LW25" i="8"/>
  <c r="LW57" i="8" s="1"/>
  <c r="CQ25" i="8"/>
  <c r="CQ57" i="8" s="1"/>
  <c r="CN19" i="8"/>
  <c r="BL25" i="8"/>
  <c r="BJ25" i="8"/>
  <c r="CJ25" i="8"/>
  <c r="BF25" i="8"/>
  <c r="CA9" i="8"/>
  <c r="CA8" i="8" s="1"/>
  <c r="CT9" i="8"/>
  <c r="CT8" i="8" s="1"/>
  <c r="HG25" i="8"/>
  <c r="HG57" i="8" s="1"/>
  <c r="BU9" i="8"/>
  <c r="BU8" i="8" s="1"/>
  <c r="BC17" i="7"/>
  <c r="BC47" i="7" s="1"/>
  <c r="EA18" i="7"/>
  <c r="EA17" i="7" s="1"/>
  <c r="EA47" i="7" s="1"/>
  <c r="BG17" i="7"/>
  <c r="BG47" i="7" s="1"/>
  <c r="CY17" i="7"/>
  <c r="CY47" i="7" s="1"/>
  <c r="BS73" i="5"/>
  <c r="EI67" i="5"/>
  <c r="CH73" i="5"/>
  <c r="OA67" i="5"/>
  <c r="CS67" i="5"/>
  <c r="CF62" i="5"/>
  <c r="BW9" i="5"/>
  <c r="BW8" i="5" s="1"/>
  <c r="CD40" i="5"/>
  <c r="CD73" i="5" s="1"/>
  <c r="CV9" i="5"/>
  <c r="CV8" i="5" s="1"/>
  <c r="BJ73" i="5"/>
  <c r="EF19" i="5"/>
  <c r="BV73" i="5"/>
  <c r="CS62" i="5"/>
  <c r="CO62" i="5"/>
  <c r="BY73" i="5"/>
  <c r="BR73" i="5"/>
  <c r="OB41" i="5"/>
  <c r="OB40" i="5" s="1"/>
  <c r="OB73" i="5" s="1"/>
  <c r="KW16" i="5"/>
  <c r="KU16" i="5" s="1"/>
  <c r="BZ9" i="5"/>
  <c r="BZ8" i="5" s="1"/>
  <c r="OC16" i="5"/>
  <c r="OA16" i="5" s="1"/>
  <c r="BC40" i="3"/>
  <c r="BC72" i="3" s="1"/>
  <c r="BG40" i="3"/>
  <c r="BG72" i="3" s="1"/>
  <c r="AY41" i="2"/>
  <c r="AY74" i="2" s="1"/>
  <c r="BJ63" i="2"/>
  <c r="BJ64" i="2"/>
  <c r="BO73" i="5"/>
  <c r="GA16" i="5"/>
  <c r="FY16" i="5" s="1"/>
  <c r="E39" i="4"/>
  <c r="E70" i="4" s="1"/>
  <c r="O39" i="4"/>
  <c r="O70" i="4" s="1"/>
  <c r="CI7" i="4"/>
  <c r="D39" i="4"/>
  <c r="D70" i="4" s="1"/>
  <c r="BU40" i="4"/>
  <c r="BU39" i="4" s="1"/>
  <c r="BU70" i="4" s="1"/>
  <c r="BG8" i="8"/>
  <c r="BJ8" i="8"/>
  <c r="IU25" i="8"/>
  <c r="IU57" i="8" s="1"/>
  <c r="BX9" i="8"/>
  <c r="BX8" i="8" s="1"/>
  <c r="CP38" i="8"/>
  <c r="AW17" i="7"/>
  <c r="AW47" i="7" s="1"/>
  <c r="BB17" i="7"/>
  <c r="BB47" i="7" s="1"/>
  <c r="AY17" i="7"/>
  <c r="AY47" i="7" s="1"/>
  <c r="BE17" i="7"/>
  <c r="BE47" i="7" s="1"/>
  <c r="BF17" i="7"/>
  <c r="BF47" i="7" s="1"/>
  <c r="BJ18" i="7"/>
  <c r="BJ17" i="7" s="1"/>
  <c r="DK40" i="4"/>
  <c r="DK39" i="4" s="1"/>
  <c r="DK70" i="4" s="1"/>
  <c r="BL16" i="6"/>
  <c r="BX16" i="6" s="1"/>
  <c r="KU53" i="5"/>
  <c r="BP73" i="5"/>
  <c r="CQ62" i="5"/>
  <c r="CK40" i="5"/>
  <c r="CK73" i="5" s="1"/>
  <c r="CT40" i="5"/>
  <c r="CT73" i="5" s="1"/>
  <c r="CI62" i="5"/>
  <c r="JF40" i="5"/>
  <c r="JF73" i="5" s="1"/>
  <c r="BM73" i="5"/>
  <c r="CW65" i="4"/>
  <c r="CW61" i="4" s="1"/>
  <c r="CN40" i="5"/>
  <c r="CN73" i="5" s="1"/>
  <c r="BG40" i="5"/>
  <c r="BH41" i="5"/>
  <c r="BH40" i="5" s="1"/>
  <c r="KU41" i="5"/>
  <c r="DA40" i="3"/>
  <c r="DA72" i="3" s="1"/>
  <c r="CM40" i="3"/>
  <c r="CM72" i="3" s="1"/>
  <c r="BA40" i="3"/>
  <c r="BA72" i="3" s="1"/>
  <c r="EC40" i="3"/>
  <c r="EC72" i="3" s="1"/>
  <c r="BD40" i="3"/>
  <c r="BD72" i="3" s="1"/>
  <c r="AY40" i="3"/>
  <c r="AY72" i="3" s="1"/>
  <c r="BI40" i="3"/>
  <c r="BI72" i="3" s="1"/>
  <c r="BL42" i="2"/>
  <c r="BX42" i="2" s="1"/>
  <c r="BH74" i="2"/>
  <c r="BK74" i="2"/>
  <c r="BT41" i="5"/>
  <c r="BT40" i="5" s="1"/>
  <c r="CI9" i="5"/>
  <c r="CI8" i="5" s="1"/>
  <c r="BK9" i="5"/>
  <c r="BK8" i="5" s="1"/>
  <c r="CF41" i="5"/>
  <c r="BQ9" i="5"/>
  <c r="BQ8" i="5" s="1"/>
  <c r="HQ41" i="5"/>
  <c r="HO41" i="5" s="1"/>
  <c r="CW41" i="5"/>
  <c r="EG41" i="5" s="1"/>
  <c r="BT9" i="5"/>
  <c r="BT8" i="5" s="1"/>
  <c r="DO74" i="2"/>
  <c r="KI25" i="8"/>
  <c r="KI57" i="8" s="1"/>
  <c r="EQ74" i="2"/>
  <c r="BC74" i="2"/>
  <c r="BI74" i="2"/>
  <c r="G39" i="4"/>
  <c r="G70" i="4" s="1"/>
  <c r="AE40" i="4"/>
  <c r="AE39" i="4" s="1"/>
  <c r="AE70" i="4" s="1"/>
  <c r="R40" i="4"/>
  <c r="F39" i="4"/>
  <c r="F70" i="4" s="1"/>
  <c r="BG40" i="4"/>
  <c r="BG39" i="4" s="1"/>
  <c r="BG70" i="4" s="1"/>
  <c r="I39" i="4"/>
  <c r="I70" i="4" s="1"/>
  <c r="CK17" i="7"/>
  <c r="CK47" i="7" s="1"/>
  <c r="CF9" i="5"/>
  <c r="CF8" i="5" s="1"/>
  <c r="BW41" i="5"/>
  <c r="BW40" i="5" s="1"/>
  <c r="BN9" i="5"/>
  <c r="BN8" i="5" s="1"/>
  <c r="CE40" i="5"/>
  <c r="CE73" i="5" s="1"/>
  <c r="BU73" i="5"/>
  <c r="CR63" i="5"/>
  <c r="JG41" i="5"/>
  <c r="JG40" i="5" s="1"/>
  <c r="BK41" i="5"/>
  <c r="BK40" i="5" s="1"/>
  <c r="CC9" i="5"/>
  <c r="CC8" i="5" s="1"/>
  <c r="BX73" i="5"/>
  <c r="CQ41" i="5"/>
  <c r="JE67" i="5"/>
  <c r="BN41" i="5"/>
  <c r="BN40" i="5" s="1"/>
  <c r="CR21" i="5"/>
  <c r="CL9" i="5"/>
  <c r="CL8" i="5" s="1"/>
  <c r="CR34" i="5"/>
  <c r="CL62" i="5"/>
  <c r="CO19" i="5"/>
  <c r="CO16" i="5" s="1"/>
  <c r="CO9" i="5" s="1"/>
  <c r="CO8" i="5" s="1"/>
  <c r="FY53" i="5"/>
  <c r="CM40" i="5"/>
  <c r="CM73" i="5" s="1"/>
  <c r="CB73" i="5"/>
  <c r="KW62" i="5"/>
  <c r="KU62" i="5" s="1"/>
  <c r="CA73" i="5"/>
  <c r="BL9" i="8"/>
  <c r="BL8" i="8" s="1"/>
  <c r="Q40" i="4"/>
  <c r="Q39" i="4" s="1"/>
  <c r="Q70" i="4" s="1"/>
  <c r="CD25" i="8"/>
  <c r="BK40" i="3"/>
  <c r="BK72" i="3" s="1"/>
  <c r="EQ40" i="3"/>
  <c r="EQ72" i="3" s="1"/>
  <c r="BB74" i="2"/>
  <c r="BA74" i="2"/>
  <c r="BY74" i="2"/>
  <c r="FE74" i="2"/>
  <c r="BG41" i="2"/>
  <c r="BG74" i="2" s="1"/>
  <c r="EC74" i="2"/>
  <c r="CW40" i="4"/>
  <c r="L39" i="4"/>
  <c r="L70" i="4" s="1"/>
  <c r="AS40" i="4"/>
  <c r="AS39" i="4" s="1"/>
  <c r="AS70" i="4" s="1"/>
  <c r="P8" i="4"/>
  <c r="R8" i="4"/>
  <c r="P61" i="4"/>
  <c r="CI61" i="4"/>
  <c r="P40" i="4"/>
  <c r="P17" i="4"/>
  <c r="P7" i="4"/>
  <c r="BI9" i="8"/>
  <c r="BD26" i="8"/>
  <c r="BD25" i="8" s="1"/>
  <c r="BI19" i="8"/>
  <c r="CD9" i="8"/>
  <c r="CD8" i="8" s="1"/>
  <c r="CM25" i="8"/>
  <c r="CK25" i="8"/>
  <c r="CK57" i="8" s="1"/>
  <c r="CM9" i="8"/>
  <c r="CM8" i="8" s="1"/>
  <c r="CP13" i="8"/>
  <c r="CR8" i="8"/>
  <c r="EB8" i="8" s="1"/>
  <c r="BY25" i="8"/>
  <c r="BY57" i="8" s="1"/>
  <c r="BO9" i="8"/>
  <c r="BO8" i="8" s="1"/>
  <c r="BO25" i="8"/>
  <c r="CA25" i="8"/>
  <c r="CJ9" i="8"/>
  <c r="CJ8" i="8" s="1"/>
  <c r="CP10" i="8"/>
  <c r="BG26" i="8"/>
  <c r="BG25" i="8" s="1"/>
  <c r="CP26" i="8"/>
  <c r="CE47" i="8"/>
  <c r="CE25" i="8" s="1"/>
  <c r="CE57" i="8" s="1"/>
  <c r="CG25" i="8"/>
  <c r="CP20" i="8"/>
  <c r="EE25" i="8"/>
  <c r="EE57" i="8" s="1"/>
  <c r="CO57" i="8"/>
  <c r="BI25" i="8"/>
  <c r="BV26" i="8"/>
  <c r="BV25" i="8" s="1"/>
  <c r="BV57" i="8" s="1"/>
  <c r="BX25" i="8"/>
  <c r="CP47" i="8"/>
  <c r="CP48" i="8"/>
  <c r="CO8" i="8"/>
  <c r="ED27" i="8"/>
  <c r="CT26" i="8"/>
  <c r="CR47" i="8"/>
  <c r="EB47" i="8" s="1"/>
  <c r="ED47" i="8"/>
  <c r="BU25" i="8"/>
  <c r="BS25" i="8"/>
  <c r="BS57" i="8" s="1"/>
  <c r="BF9" i="8"/>
  <c r="BP26" i="8"/>
  <c r="BP25" i="8" s="1"/>
  <c r="BP57" i="8" s="1"/>
  <c r="BR25" i="8"/>
  <c r="NP43" i="8"/>
  <c r="EC9" i="8"/>
  <c r="CS8" i="8"/>
  <c r="CN9" i="8"/>
  <c r="BD8" i="8"/>
  <c r="BW17" i="7"/>
  <c r="BW47" i="7" s="1"/>
  <c r="BH18" i="7"/>
  <c r="BH37" i="7"/>
  <c r="AV17" i="7"/>
  <c r="BJ16" i="6"/>
  <c r="BJ15" i="6"/>
  <c r="CI40" i="4"/>
  <c r="BJ42" i="6"/>
  <c r="CR48" i="5"/>
  <c r="BI73" i="5"/>
  <c r="CP62" i="5"/>
  <c r="CR43" i="5"/>
  <c r="FY41" i="5"/>
  <c r="CC62" i="5"/>
  <c r="CR67" i="5"/>
  <c r="CL41" i="5"/>
  <c r="BZ42" i="5"/>
  <c r="BZ41" i="5" s="1"/>
  <c r="BZ40" i="5" s="1"/>
  <c r="FY62" i="5"/>
  <c r="GA40" i="5"/>
  <c r="FY40" i="5" s="1"/>
  <c r="MK19" i="5"/>
  <c r="MM16" i="5"/>
  <c r="JE19" i="5"/>
  <c r="JG16" i="5"/>
  <c r="CJ73" i="5"/>
  <c r="CR53" i="5"/>
  <c r="CG40" i="5"/>
  <c r="CG73" i="5" s="1"/>
  <c r="CC41" i="5"/>
  <c r="CR57" i="5"/>
  <c r="CI41" i="5"/>
  <c r="CS42" i="5"/>
  <c r="CU41" i="5"/>
  <c r="CS41" i="5" s="1"/>
  <c r="CX19" i="5"/>
  <c r="CS19" i="5"/>
  <c r="CU16" i="5"/>
  <c r="OC40" i="5"/>
  <c r="EH43" i="5"/>
  <c r="CX42" i="5"/>
  <c r="CQ16" i="5"/>
  <c r="BG9" i="5"/>
  <c r="CO41" i="5"/>
  <c r="HO19" i="5"/>
  <c r="HQ16" i="5"/>
  <c r="BQ41" i="5"/>
  <c r="BQ40" i="5" s="1"/>
  <c r="EF42" i="5"/>
  <c r="CV41" i="5"/>
  <c r="EI53" i="5"/>
  <c r="EK41" i="5"/>
  <c r="CP16" i="5"/>
  <c r="BF9" i="5"/>
  <c r="EK16" i="5"/>
  <c r="EI19" i="5"/>
  <c r="CP41" i="5"/>
  <c r="EH10" i="5"/>
  <c r="CR10" i="5"/>
  <c r="BH9" i="5"/>
  <c r="CX62" i="5"/>
  <c r="EH62" i="5" s="1"/>
  <c r="EH63" i="5"/>
  <c r="MM41" i="5"/>
  <c r="MK67" i="5"/>
  <c r="MM62" i="5"/>
  <c r="MK62" i="5" s="1"/>
  <c r="BL73" i="5"/>
  <c r="BF40" i="3"/>
  <c r="BF72" i="3" s="1"/>
  <c r="BB40" i="3"/>
  <c r="BB72" i="3" s="1"/>
  <c r="BH40" i="3"/>
  <c r="BH72" i="3" s="1"/>
  <c r="BJ62" i="3"/>
  <c r="BL8" i="3"/>
  <c r="BX42" i="3"/>
  <c r="BJ42" i="3"/>
  <c r="AZ40" i="3"/>
  <c r="AZ72" i="3" s="1"/>
  <c r="BY40" i="3"/>
  <c r="BY72" i="3" s="1"/>
  <c r="BE40" i="3"/>
  <c r="BE72" i="3" s="1"/>
  <c r="BX41" i="3"/>
  <c r="BL40" i="3"/>
  <c r="BX40" i="3" s="1"/>
  <c r="BJ41" i="3"/>
  <c r="AX40" i="3"/>
  <c r="BJ17" i="3"/>
  <c r="BJ8" i="3"/>
  <c r="BJ7" i="3"/>
  <c r="AZ74" i="2"/>
  <c r="BE74" i="2"/>
  <c r="BD74" i="2"/>
  <c r="DA74" i="2"/>
  <c r="BJ42" i="2"/>
  <c r="AX8" i="2"/>
  <c r="BX18" i="2"/>
  <c r="BL8" i="2"/>
  <c r="JE41" i="5" l="1"/>
  <c r="OA41" i="5"/>
  <c r="CR19" i="5"/>
  <c r="BV18" i="7"/>
  <c r="EF9" i="5"/>
  <c r="BJ41" i="2"/>
  <c r="KW40" i="5"/>
  <c r="KU40" i="5" s="1"/>
  <c r="JE40" i="5"/>
  <c r="BL57" i="8"/>
  <c r="ED9" i="8"/>
  <c r="BR57" i="8"/>
  <c r="CJ57" i="8"/>
  <c r="BJ57" i="8"/>
  <c r="CG57" i="8"/>
  <c r="BG57" i="8"/>
  <c r="BU57" i="8"/>
  <c r="CI39" i="4"/>
  <c r="CI70" i="4" s="1"/>
  <c r="HQ40" i="5"/>
  <c r="HO40" i="5" s="1"/>
  <c r="CO40" i="5"/>
  <c r="CO73" i="5" s="1"/>
  <c r="GA9" i="5"/>
  <c r="FY9" i="5" s="1"/>
  <c r="CF40" i="5"/>
  <c r="CF73" i="5" s="1"/>
  <c r="CR16" i="5"/>
  <c r="BZ73" i="5"/>
  <c r="CR62" i="5"/>
  <c r="CR42" i="5"/>
  <c r="OC9" i="5"/>
  <c r="KW9" i="5"/>
  <c r="KW8" i="5" s="1"/>
  <c r="KU8" i="5" s="1"/>
  <c r="P39" i="4"/>
  <c r="BX57" i="8"/>
  <c r="BL15" i="6"/>
  <c r="BX15" i="6" s="1"/>
  <c r="CW39" i="4"/>
  <c r="CW70" i="4" s="1"/>
  <c r="BN73" i="5"/>
  <c r="CW40" i="5"/>
  <c r="EG40" i="5" s="1"/>
  <c r="CQ40" i="5"/>
  <c r="CU40" i="5"/>
  <c r="CS40" i="5" s="1"/>
  <c r="BQ73" i="5"/>
  <c r="BK73" i="5"/>
  <c r="BT73" i="5"/>
  <c r="BW73" i="5"/>
  <c r="CI40" i="5"/>
  <c r="CI73" i="5" s="1"/>
  <c r="CL40" i="5"/>
  <c r="CL73" i="5" s="1"/>
  <c r="BL41" i="2"/>
  <c r="BX41" i="2" s="1"/>
  <c r="CD57" i="8"/>
  <c r="AD40" i="4"/>
  <c r="R39" i="4"/>
  <c r="AD39" i="4" s="1"/>
  <c r="CC40" i="5"/>
  <c r="CC73" i="5" s="1"/>
  <c r="BI8" i="8"/>
  <c r="BI57" i="8" s="1"/>
  <c r="CP19" i="8"/>
  <c r="CP40" i="5"/>
  <c r="CR41" i="5"/>
  <c r="P70" i="4"/>
  <c r="AD8" i="4"/>
  <c r="R7" i="4"/>
  <c r="CM57" i="8"/>
  <c r="CA57" i="8"/>
  <c r="BO57" i="8"/>
  <c r="CN26" i="8"/>
  <c r="CP25" i="8"/>
  <c r="CN47" i="8"/>
  <c r="CN25" i="8"/>
  <c r="ED26" i="8"/>
  <c r="CR26" i="8"/>
  <c r="CT25" i="8"/>
  <c r="ED25" i="8" s="1"/>
  <c r="CP9" i="8"/>
  <c r="BF8" i="8"/>
  <c r="CS57" i="8"/>
  <c r="EC57" i="8" s="1"/>
  <c r="EC8" i="8"/>
  <c r="ED8" i="8"/>
  <c r="NS43" i="8"/>
  <c r="BD57" i="8"/>
  <c r="CN8" i="8"/>
  <c r="BV17" i="7"/>
  <c r="BJ47" i="7"/>
  <c r="BV47" i="7" s="1"/>
  <c r="BH17" i="7"/>
  <c r="AV47" i="7"/>
  <c r="BH47" i="7" s="1"/>
  <c r="JE16" i="5"/>
  <c r="JG9" i="5"/>
  <c r="MK16" i="5"/>
  <c r="MM9" i="5"/>
  <c r="EH19" i="5"/>
  <c r="CX16" i="5"/>
  <c r="CS16" i="5"/>
  <c r="CU9" i="5"/>
  <c r="EH42" i="5"/>
  <c r="CX41" i="5"/>
  <c r="EH41" i="5" s="1"/>
  <c r="OA40" i="5"/>
  <c r="BG8" i="5"/>
  <c r="CQ9" i="5"/>
  <c r="EF41" i="5"/>
  <c r="CV40" i="5"/>
  <c r="EF40" i="5" s="1"/>
  <c r="HO16" i="5"/>
  <c r="HQ9" i="5"/>
  <c r="EF8" i="5"/>
  <c r="CR9" i="5"/>
  <c r="BH8" i="5"/>
  <c r="EI41" i="5"/>
  <c r="EK40" i="5"/>
  <c r="EI40" i="5" s="1"/>
  <c r="MK41" i="5"/>
  <c r="MM40" i="5"/>
  <c r="MK40" i="5" s="1"/>
  <c r="EI16" i="5"/>
  <c r="EK9" i="5"/>
  <c r="BF8" i="5"/>
  <c r="CP9" i="5"/>
  <c r="BX8" i="3"/>
  <c r="BL7" i="3"/>
  <c r="BJ40" i="3"/>
  <c r="AX72" i="3"/>
  <c r="BJ72" i="3" s="1"/>
  <c r="BJ8" i="2"/>
  <c r="AX7" i="2"/>
  <c r="BL7" i="2"/>
  <c r="BX8" i="2"/>
  <c r="GA8" i="5" l="1"/>
  <c r="GA73" i="5" s="1"/>
  <c r="CN57" i="8"/>
  <c r="CX40" i="5"/>
  <c r="EH40" i="5" s="1"/>
  <c r="KU9" i="5"/>
  <c r="KU73" i="5"/>
  <c r="OC8" i="5"/>
  <c r="OA9" i="5"/>
  <c r="CW73" i="5"/>
  <c r="EG73" i="5" s="1"/>
  <c r="CR40" i="5"/>
  <c r="BL42" i="6"/>
  <c r="BX42" i="6" s="1"/>
  <c r="CT57" i="8"/>
  <c r="ED57" i="8" s="1"/>
  <c r="KW73" i="5"/>
  <c r="CV73" i="5"/>
  <c r="EF73" i="5" s="1"/>
  <c r="AD7" i="4"/>
  <c r="R70" i="4"/>
  <c r="AD70" i="4" s="1"/>
  <c r="EB26" i="8"/>
  <c r="CR25" i="8"/>
  <c r="BF57" i="8"/>
  <c r="CP57" i="8" s="1"/>
  <c r="CP8" i="8"/>
  <c r="NV43" i="8"/>
  <c r="NY43" i="8" s="1"/>
  <c r="JE9" i="5"/>
  <c r="JG8" i="5"/>
  <c r="MM8" i="5"/>
  <c r="MK8" i="5" s="1"/>
  <c r="MK73" i="5" s="1"/>
  <c r="MK9" i="5"/>
  <c r="EH16" i="5"/>
  <c r="CX9" i="5"/>
  <c r="CU8" i="5"/>
  <c r="CS9" i="5"/>
  <c r="HO9" i="5"/>
  <c r="HQ8" i="5"/>
  <c r="CQ8" i="5"/>
  <c r="BG73" i="5"/>
  <c r="CQ73" i="5" s="1"/>
  <c r="BH73" i="5"/>
  <c r="CR73" i="5" s="1"/>
  <c r="CR8" i="5"/>
  <c r="EK8" i="5"/>
  <c r="EI9" i="5"/>
  <c r="BF73" i="5"/>
  <c r="CP73" i="5" s="1"/>
  <c r="CP8" i="5"/>
  <c r="BL72" i="3"/>
  <c r="BX72" i="3" s="1"/>
  <c r="BX7" i="3"/>
  <c r="BL74" i="2"/>
  <c r="BX74" i="2" s="1"/>
  <c r="BX7" i="2"/>
  <c r="AX74" i="2"/>
  <c r="BJ74" i="2" s="1"/>
  <c r="BJ7" i="2"/>
  <c r="FY8" i="5" l="1"/>
  <c r="FY73" i="5" s="1"/>
  <c r="OA8" i="5"/>
  <c r="OA73" i="5" s="1"/>
  <c r="OC73" i="5"/>
  <c r="MM73" i="5"/>
  <c r="EB25" i="8"/>
  <c r="CR57" i="8"/>
  <c r="EB57" i="8" s="1"/>
  <c r="OW43" i="8"/>
  <c r="JE8" i="5"/>
  <c r="JE73" i="5" s="1"/>
  <c r="JG73" i="5"/>
  <c r="EH9" i="5"/>
  <c r="CX8" i="5"/>
  <c r="CU73" i="5"/>
  <c r="CS8" i="5"/>
  <c r="CS73" i="5" s="1"/>
  <c r="HQ73" i="5"/>
  <c r="HO8" i="5"/>
  <c r="HO73" i="5" s="1"/>
  <c r="EK73" i="5"/>
  <c r="EI8" i="5"/>
  <c r="EI73" i="5" s="1"/>
  <c r="CX73" i="5" l="1"/>
  <c r="EH73" i="5" s="1"/>
  <c r="EH8" i="5"/>
  <c r="RI41" i="5" l="1"/>
  <c r="RI59" i="5"/>
  <c r="RG57" i="5"/>
  <c r="RI40" i="5" l="1"/>
  <c r="RI73" i="5" s="1"/>
  <c r="RG41" i="5"/>
  <c r="RG59" i="5"/>
  <c r="EM58" i="4"/>
  <c r="EM56" i="4" s="1"/>
  <c r="EM40" i="4" s="1"/>
  <c r="RG40" i="5" l="1"/>
  <c r="RG73" i="5" s="1"/>
  <c r="EM39" i="4"/>
  <c r="GC40" i="4" l="1"/>
  <c r="GD40" i="4"/>
  <c r="EM70" i="4"/>
  <c r="GC70" i="4" l="1"/>
  <c r="GC39" i="4"/>
  <c r="GD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Kristīne Jakovļeva</author>
    <author>Regīna Ozola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Kristīne Jakovļeva:</t>
        </r>
        <r>
          <rPr>
            <sz val="9"/>
            <color indexed="81"/>
            <rFont val="Tahoma"/>
            <family val="2"/>
            <charset val="186"/>
          </rPr>
          <t xml:space="preserve">
ar 2009.gadu atvasināto budžets!</t>
        </r>
      </text>
    </comment>
    <comment ref="A28" authorId="0" shapeId="0" xr:uid="{1648FBBD-A59C-449D-B54E-15FFB5F6974D}">
      <text>
        <r>
          <rPr>
            <b/>
            <sz val="9"/>
            <color indexed="81"/>
            <rFont val="Tahoma"/>
            <family val="2"/>
            <charset val="186"/>
          </rPr>
          <t>Kristīne Jakovļeva:</t>
        </r>
        <r>
          <rPr>
            <sz val="9"/>
            <color indexed="81"/>
            <rFont val="Tahoma"/>
            <family val="2"/>
            <charset val="186"/>
          </rPr>
          <t xml:space="preserve">
from January 2014</t>
        </r>
      </text>
    </comment>
    <comment ref="C28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186"/>
          </rPr>
          <t>Kristīne Jakovļeva:</t>
        </r>
        <r>
          <rPr>
            <sz val="9"/>
            <color indexed="81"/>
            <rFont val="Tahoma"/>
            <family val="2"/>
            <charset val="186"/>
          </rPr>
          <t xml:space="preserve">
from January 2014</t>
        </r>
      </text>
    </comment>
    <comment ref="BY29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186"/>
          </rPr>
          <t>Regīna Ozola:</t>
        </r>
        <r>
          <rPr>
            <sz val="9"/>
            <color indexed="81"/>
            <rFont val="Tahoma"/>
            <family val="2"/>
            <charset val="186"/>
          </rPr>
          <t xml:space="preserve">
Īpašuma nodokļa parādi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Kristīne Gavrovska</author>
    <author>Kristīne Jakovļeva</author>
  </authors>
  <commentList>
    <comment ref="PQ6" authorId="0" shapeId="0" xr:uid="{2D4A1BA4-4797-4B6A-8745-AA9E5CEA40C0}">
      <text>
        <r>
          <rPr>
            <b/>
            <sz val="9"/>
            <color indexed="81"/>
            <rFont val="Tahoma"/>
            <family val="2"/>
            <charset val="186"/>
          </rPr>
          <t>Kristīne Gavrovska:</t>
        </r>
        <r>
          <rPr>
            <sz val="9"/>
            <color indexed="81"/>
            <rFont val="Tahoma"/>
            <family val="2"/>
            <charset val="186"/>
          </rPr>
          <t xml:space="preserve">
2022. gada pārskats:
Ieņemumi - 3.1.2. pielikums “Likuma par valsts budžetu 2. pielikuma “Valsts budžeta ieņēmumi” izpilde I Valsts pamatbudžeta ieņēmumi”
e-pārskats: 2_PB (Min) – Budžeta izpildes pārskats
Par ĀFP daļu izdevumos vajag pieprasīt informāciju no Silvijas un Ērika no VK, jo pārskatos ir tikai lielas pozīcijas, bet nav apakšpozīciju.
</t>
        </r>
      </text>
    </comment>
    <comment ref="A29" authorId="1" shapeId="0" xr:uid="{4339D12C-8CB5-487E-889E-E1493498B245}">
      <text>
        <r>
          <rPr>
            <b/>
            <sz val="9"/>
            <color indexed="81"/>
            <rFont val="Tahoma"/>
            <family val="2"/>
            <charset val="186"/>
          </rPr>
          <t>Kristīne Jakovļeva:</t>
        </r>
        <r>
          <rPr>
            <sz val="9"/>
            <color indexed="81"/>
            <rFont val="Tahoma"/>
            <family val="2"/>
            <charset val="186"/>
          </rPr>
          <t xml:space="preserve">
from January 2014</t>
        </r>
      </text>
    </comment>
    <comment ref="C29" authorId="1" shapeId="0" xr:uid="{00000000-0006-0000-0200-00004B010000}">
      <text>
        <r>
          <rPr>
            <b/>
            <sz val="9"/>
            <color indexed="81"/>
            <rFont val="Tahoma"/>
            <family val="2"/>
            <charset val="186"/>
          </rPr>
          <t>Kristīne Jakovļeva:</t>
        </r>
        <r>
          <rPr>
            <sz val="9"/>
            <color indexed="81"/>
            <rFont val="Tahoma"/>
            <family val="2"/>
            <charset val="186"/>
          </rPr>
          <t xml:space="preserve">
from January 2014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Kristīne Gavrovska</author>
  </authors>
  <commentList>
    <comment ref="OY6" authorId="0" shapeId="0" xr:uid="{5F8E12C7-0104-46A9-AE8A-70EDE2AFA8F1}">
      <text>
        <r>
          <rPr>
            <b/>
            <sz val="9"/>
            <color indexed="81"/>
            <rFont val="Tahoma"/>
            <family val="2"/>
            <charset val="186"/>
          </rPr>
          <t>Kristīne Gavrovska:</t>
        </r>
        <r>
          <rPr>
            <sz val="9"/>
            <color indexed="81"/>
            <rFont val="Tahoma"/>
            <family val="2"/>
            <charset val="186"/>
          </rPr>
          <t xml:space="preserve">
2022. gada pārskats: 
3.2. pielikums “Konsolidētais pašvaldību budžeta izpildes pārskats”
e-pārskats: Pasv_kons_sk. - Konsolidētā pašvaldību budžeta izpilde
</t>
        </r>
      </text>
    </comment>
    <comment ref="RP47" authorId="0" shapeId="0" xr:uid="{3B3F7254-9998-440F-9F87-D48B2F12FA68}">
      <text>
        <r>
          <rPr>
            <b/>
            <sz val="9"/>
            <color indexed="81"/>
            <rFont val="Tahoma"/>
            <family val="2"/>
            <charset val="186"/>
          </rPr>
          <t>Kristīne Gavrovska:</t>
        </r>
        <r>
          <rPr>
            <sz val="9"/>
            <color indexed="81"/>
            <rFont val="Tahoma"/>
            <family val="2"/>
            <charset val="186"/>
          </rPr>
          <t xml:space="preserve">
Veidlapa Nr. 1-ES/Pas (Pārskats par izdevumiem Eiropas Savienības un pārējās ārvalstu finanšu palīdzības līdzfinansēto projektu īstenošanai) oktobrī satur kļūdu 246 551 eiro apmērā. VK nelabos pārskatu. </t>
        </r>
      </text>
    </comment>
  </commentList>
</comments>
</file>

<file path=xl/sharedStrings.xml><?xml version="1.0" encoding="utf-8"?>
<sst xmlns="http://schemas.openxmlformats.org/spreadsheetml/2006/main" count="12119" uniqueCount="261">
  <si>
    <t>Actual</t>
  </si>
  <si>
    <t>I-XII</t>
  </si>
  <si>
    <t>Consolidated General Budget, net (cash flow), mln euro</t>
  </si>
  <si>
    <t>Konsolidētais kopbudžets, bruto (naudas plūsma), milj. euro</t>
  </si>
  <si>
    <t>EKK</t>
  </si>
  <si>
    <t>2026/2025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</si>
  <si>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</si>
  <si>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</si>
  <si>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</si>
  <si>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</si>
  <si>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</si>
  <si>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</si>
  <si>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</si>
  <si>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</si>
  <si>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</si>
  <si>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</si>
  <si>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</si>
  <si>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</si>
  <si>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Fakts</t>
  </si>
  <si>
    <t>Basic functions</t>
  </si>
  <si>
    <t>EU funds and other FFA</t>
  </si>
  <si>
    <t>Total</t>
  </si>
  <si>
    <t>Pamat
funkcijas</t>
  </si>
  <si>
    <t>ES fondi un pārējā ĀFP</t>
  </si>
  <si>
    <t>Kopā</t>
  </si>
  <si>
    <t>Revenue</t>
  </si>
  <si>
    <t>Ieņēmumi</t>
  </si>
  <si>
    <t>Tax revenue</t>
  </si>
  <si>
    <t>1.0.</t>
  </si>
  <si>
    <t>Nodokļu ieņēmumi</t>
  </si>
  <si>
    <t>Direct taxes</t>
  </si>
  <si>
    <t>Tiešie nodokļi</t>
  </si>
  <si>
    <t>Corporate income tax</t>
  </si>
  <si>
    <t>1.2.0.0.</t>
  </si>
  <si>
    <t>Uzņēmumu ienākuma nodoklis</t>
  </si>
  <si>
    <t>Revenue from solidarity contributions</t>
  </si>
  <si>
    <t>Ieņēmumi no solidaritātes iemaksām</t>
  </si>
  <si>
    <t>Personal income tax</t>
  </si>
  <si>
    <t>1.1.0.0.</t>
  </si>
  <si>
    <t>Iedzīvotāju ienākuma nodoklis</t>
  </si>
  <si>
    <t>Social security contributions</t>
  </si>
  <si>
    <t>Sociālās apdrošināšanas iemaksas</t>
  </si>
  <si>
    <t>State social security contributions</t>
  </si>
  <si>
    <t>2.0.0.0.</t>
  </si>
  <si>
    <t>Valsts sociālās apdrošināšanas obligātās iemaksas</t>
  </si>
  <si>
    <t>Solidarity tax</t>
  </si>
  <si>
    <t>x</t>
  </si>
  <si>
    <t>Social security contributions for health care</t>
  </si>
  <si>
    <t>Valsts sociālās apdrošināšanas obligātās iemaksas veselības aprūpei</t>
  </si>
  <si>
    <t>Real estate tax</t>
  </si>
  <si>
    <t>4.0.0.0.</t>
  </si>
  <si>
    <t>Īpašuma nodokļi</t>
  </si>
  <si>
    <t>Indirect taxes</t>
  </si>
  <si>
    <t>Netiešie nodokļi</t>
  </si>
  <si>
    <t>Value added tax</t>
  </si>
  <si>
    <t>5.1.0.0.</t>
  </si>
  <si>
    <t>Pievienotās vērtības nodoklis</t>
  </si>
  <si>
    <t>Excise tax</t>
  </si>
  <si>
    <t>5.2.0.0.,5.3.0.0.,5.6.0.0.</t>
  </si>
  <si>
    <t>Akcīzes nodoklis</t>
  </si>
  <si>
    <t>Other indirect taxes</t>
  </si>
  <si>
    <t>Pārējie netiešie nodokļi</t>
  </si>
  <si>
    <t>Nature resource tax</t>
  </si>
  <si>
    <t>5.5.3.0.</t>
  </si>
  <si>
    <t>Dabas resursu nodoklis</t>
  </si>
  <si>
    <t>Taxes on lotteries and gambling</t>
  </si>
  <si>
    <t>5.4.1.0.,5.4.2.0.</t>
  </si>
  <si>
    <t>Izložu un azartspēļu nodoklis</t>
  </si>
  <si>
    <t>Car and motorcycle tax</t>
  </si>
  <si>
    <t>5.4.3.0.</t>
  </si>
  <si>
    <t>Vieglo automobiļu un motociklu nodoklis</t>
  </si>
  <si>
    <t>Vehicle exploitation tax</t>
  </si>
  <si>
    <t>5.4.5.0.</t>
  </si>
  <si>
    <t>Transportlīdzekļu ekspluatācijas nodoklis</t>
  </si>
  <si>
    <t>Company car tax</t>
  </si>
  <si>
    <t>5.4.6.0.</t>
  </si>
  <si>
    <t>Uzņēmumu vieglo transportlīdzekļu nodoklis</t>
  </si>
  <si>
    <t xml:space="preserve">Tax on electricity </t>
  </si>
  <si>
    <t>5.4.4.0.</t>
  </si>
  <si>
    <t>Elektroenerģijas nodoklis</t>
  </si>
  <si>
    <t>Customs duty</t>
  </si>
  <si>
    <t>6.0.0.0.</t>
  </si>
  <si>
    <t>Muitas nodoklis</t>
  </si>
  <si>
    <t>Subsidized electricity tax</t>
  </si>
  <si>
    <t>5.4.7.0.</t>
  </si>
  <si>
    <t>Other taxes</t>
  </si>
  <si>
    <t>7.0.0.0.</t>
  </si>
  <si>
    <t>Pārējie nodokļi</t>
  </si>
  <si>
    <t>Undisposed reserves in the single tax account</t>
  </si>
  <si>
    <t>Ieņēmumi, kas iemaksāti vienotajā nodokļu kontā</t>
  </si>
  <si>
    <t>Non tax revenue</t>
  </si>
  <si>
    <t>2.0.</t>
  </si>
  <si>
    <t>Nenodokļu ieņēmumi</t>
  </si>
  <si>
    <t>Self-earned revenue</t>
  </si>
  <si>
    <t>3.0.</t>
  </si>
  <si>
    <t>Maksas pakalpojumi un citi pašu ieņēmumi</t>
  </si>
  <si>
    <t>Donations</t>
  </si>
  <si>
    <t>23.0.0.0.</t>
  </si>
  <si>
    <t>Ziedojumi un dāvinājumi</t>
  </si>
  <si>
    <t>Transfers</t>
  </si>
  <si>
    <t>5.0.</t>
  </si>
  <si>
    <t>Transferti</t>
  </si>
  <si>
    <t>Central government budget transfers</t>
  </si>
  <si>
    <t>18.0.0.0.</t>
  </si>
  <si>
    <t>Valsts budžeta transferti</t>
  </si>
  <si>
    <t>Local government budget transfers</t>
  </si>
  <si>
    <t>19.0.0.0.</t>
  </si>
  <si>
    <t>Pašvaldību budžetu transferti</t>
  </si>
  <si>
    <t>Derived public persons budget transfers</t>
  </si>
  <si>
    <t>17.0.0.0.</t>
  </si>
  <si>
    <t>Daļēji finansēto atvasināto publisko personu un budžeta nefinansētu iestāžu transferti</t>
  </si>
  <si>
    <t>Foreign financial assistance</t>
  </si>
  <si>
    <t>4.0.</t>
  </si>
  <si>
    <t>Ārvalstu finanšu palīdzība</t>
  </si>
  <si>
    <t>Expenditure</t>
  </si>
  <si>
    <t>Izdevumi</t>
  </si>
  <si>
    <t xml:space="preserve">Non-capital expenditure </t>
  </si>
  <si>
    <t>Uzturēšanas izdevumi</t>
  </si>
  <si>
    <t>Current expenditure</t>
  </si>
  <si>
    <t>1.1.</t>
  </si>
  <si>
    <t>Kārtējie izdevumi</t>
  </si>
  <si>
    <t>Remuneration</t>
  </si>
  <si>
    <t>Atlīdzība</t>
  </si>
  <si>
    <t>Wages and salaries</t>
  </si>
  <si>
    <t>Atalgojums</t>
  </si>
  <si>
    <t>Employer's social security contributions</t>
  </si>
  <si>
    <t>Darba devēja valsts sociālās apdrošināšanas obligātās iemaksas, pabalsti un kompensācijas</t>
  </si>
  <si>
    <t>Goods and services</t>
  </si>
  <si>
    <t>Preces un pakalpojumi</t>
  </si>
  <si>
    <t>Interest payments</t>
  </si>
  <si>
    <t>1.2.</t>
  </si>
  <si>
    <t>Procentu izdevumi</t>
  </si>
  <si>
    <t>Subsidies and grants</t>
  </si>
  <si>
    <t>Subsīdijas un dotācijas</t>
  </si>
  <si>
    <t>Agricultural subsidies</t>
  </si>
  <si>
    <t>Subsīdijas lauksaimniecības ražošanai</t>
  </si>
  <si>
    <t>Subsidies to companies and institutions excl. agricultural</t>
  </si>
  <si>
    <t>Subsīdijas un dotācijas komersantiem, biedrībām, nodibinājumiem un fiziskām personām</t>
  </si>
  <si>
    <t>Subsidies to companies to provide public transport services</t>
  </si>
  <si>
    <t>Subsīdijas komersantiem sabiedriskā transporta pakalpojumu nodrošināšanai (par pasažieru regulārajiem pārvadājumiem)</t>
  </si>
  <si>
    <t>Other subsidies</t>
  </si>
  <si>
    <t>3500,3800,3900</t>
  </si>
  <si>
    <t>Pārējās subsīdijas</t>
  </si>
  <si>
    <t>Non-capital expenditure transfers</t>
  </si>
  <si>
    <t>1.5.</t>
  </si>
  <si>
    <t>Uzturēšanas izdevumu transferti</t>
  </si>
  <si>
    <t>7100,7300,7400,7500</t>
  </si>
  <si>
    <t>Valsts budžeta transferti un uzturēšanas izdevumu transferti</t>
  </si>
  <si>
    <t>Daļēji finansētu atvasinātu publisku personu un budžeta nefinansētu iestāžu transferti un uzturēšanas izdevumu transferti</t>
  </si>
  <si>
    <t>Pašvaldību transferti un uzturēšanas izdevumu transferti</t>
  </si>
  <si>
    <t>Social support</t>
  </si>
  <si>
    <t>Sociāla rakstura maksājumi un kompensācijas</t>
  </si>
  <si>
    <t>Pensions</t>
  </si>
  <si>
    <t>Valsts pensijas</t>
  </si>
  <si>
    <t>Other social support</t>
  </si>
  <si>
    <t>Pārējie sociāla rakstura maksājumi un kompensācijas</t>
  </si>
  <si>
    <t xml:space="preserve">International collaboration </t>
  </si>
  <si>
    <t>Starptautiskā sadarbība</t>
  </si>
  <si>
    <t xml:space="preserve">Payments to EU budget </t>
  </si>
  <si>
    <t>Kārtējie maksājumi Eiropas Savienības budžetā</t>
  </si>
  <si>
    <t>Capital expenditure</t>
  </si>
  <si>
    <t>Kapitālie izdevumi</t>
  </si>
  <si>
    <t xml:space="preserve">Fixed capital formation </t>
  </si>
  <si>
    <t>2.1.</t>
  </si>
  <si>
    <t>Pamatkapitāla veidošana</t>
  </si>
  <si>
    <t>Intangible assets</t>
  </si>
  <si>
    <t>Nemateriālie ieguldījumi</t>
  </si>
  <si>
    <t>Fixed assets</t>
  </si>
  <si>
    <t>Pamatlīdzekļi</t>
  </si>
  <si>
    <t>Capital expenditure for co-financing projects of EU policy instruments</t>
  </si>
  <si>
    <t>Kapitālie izdevumi ES politiku instrumentu līdzfinansēto projektu īstenošanai</t>
  </si>
  <si>
    <t>Capital expenditure transfers</t>
  </si>
  <si>
    <t>2.2.</t>
  </si>
  <si>
    <t>Kapitālo izdevumu transferti</t>
  </si>
  <si>
    <t>9100,9500,9600,9700</t>
  </si>
  <si>
    <t>Valsts budžeta kapitālo izdevumu transferti</t>
  </si>
  <si>
    <t>Daļēji finansētu atvasinātu publisku personu un budžeta nefinansētu iestāžu kapitālo izdevumu transferti</t>
  </si>
  <si>
    <t>Pašvaldību kapitālo izdevumu transferti</t>
  </si>
  <si>
    <t>Other expenditure</t>
  </si>
  <si>
    <t>Pārējie izdevumi</t>
  </si>
  <si>
    <t>Financial surplus(+)/ deficit(-)</t>
  </si>
  <si>
    <t>Finansiālā bilance</t>
  </si>
  <si>
    <t>Data source: State Treasury</t>
  </si>
  <si>
    <t>Datu avots: Valsts kase</t>
  </si>
  <si>
    <t>Consolidated State Budget  (including derived public persons), net (cash flow), mln euro</t>
  </si>
  <si>
    <t>Valsts budžets (ieskaitot atvasinātās publiskās personas, tai skaitā ziedojumus un dāvinājumus), bruto (naudas plūsma), milj. euro</t>
  </si>
  <si>
    <t xml:space="preserve">Foreign financial assistance </t>
  </si>
  <si>
    <t>I-XII 
Basic functions</t>
  </si>
  <si>
    <t>I-XII 
EU funds and other FFA</t>
  </si>
  <si>
    <t xml:space="preserve">I-XII </t>
  </si>
  <si>
    <t>Actual
Basic functions</t>
  </si>
  <si>
    <t>Actual
EU funds and other FFA</t>
  </si>
  <si>
    <t>Actual
Total</t>
  </si>
  <si>
    <t>I-XII
Basic functions</t>
  </si>
  <si>
    <t>I-XII
EU funds and other FFA</t>
  </si>
  <si>
    <t>I-XII
Total</t>
  </si>
  <si>
    <t>State Basic Budget, gross (cash flow), mln euro</t>
  </si>
  <si>
    <t>Valsts pamatbudžets, bruto (naudas plūsma), milj. euro</t>
  </si>
  <si>
    <t>Solidaritātes nodoklis</t>
  </si>
  <si>
    <t>Tax on lotteries</t>
  </si>
  <si>
    <t>5.4.2.0.</t>
  </si>
  <si>
    <t>Izložu nodoklis</t>
  </si>
  <si>
    <t>Tax on gambling</t>
  </si>
  <si>
    <t>5.4.1.0.</t>
  </si>
  <si>
    <t>Azartspēļu nodoklis</t>
  </si>
  <si>
    <t>Transportlīdzekļa ekspluatācijas nodoklis</t>
  </si>
  <si>
    <t>Ieņēmumi no maksas pakalpojumiem un citi pašu ieņēmumi</t>
  </si>
  <si>
    <t>Central government special budget transfers</t>
  </si>
  <si>
    <t>To central government special budget</t>
  </si>
  <si>
    <t>uz valsts speciālo budžetu</t>
  </si>
  <si>
    <t>To local government budget</t>
  </si>
  <si>
    <t>7310,7320,7460</t>
  </si>
  <si>
    <t>uz pašvaldības budžetu</t>
  </si>
  <si>
    <t>To derived public persons budget</t>
  </si>
  <si>
    <t>7350;7470</t>
  </si>
  <si>
    <t>uz daļēji finansētām atvasinātām publiskām personām un budžeta nefinansētām iestādēm</t>
  </si>
  <si>
    <t>Fixed capital formation</t>
  </si>
  <si>
    <t>9510,9580,9710</t>
  </si>
  <si>
    <t>State Special Budget, gross (cash flow), mln euro</t>
  </si>
  <si>
    <t>Valsts speciālais budžets, bruto (naudas plūsma), milj. euro</t>
  </si>
  <si>
    <t>Transfer from central government basic budget</t>
  </si>
  <si>
    <t>Transfer from local government budget</t>
  </si>
  <si>
    <t xml:space="preserve">Subsidies and grants </t>
  </si>
  <si>
    <t xml:space="preserve">Non-capital expenditure transfers </t>
  </si>
  <si>
    <t>To central government basic budget</t>
  </si>
  <si>
    <t>uz valsts pamatbudžetu</t>
  </si>
  <si>
    <t>incl. old age pensions</t>
  </si>
  <si>
    <t> t. sk. vecuma pensijas</t>
  </si>
  <si>
    <t>incl. unemployment benefits</t>
  </si>
  <si>
    <t>t. sk. bezdarbnieka pabalsts</t>
  </si>
  <si>
    <t>incl. sickness benefits</t>
  </si>
  <si>
    <t>t. sk. slimības pabalsts</t>
  </si>
  <si>
    <t>Local Government Budget, net (cash flow), mln euro</t>
  </si>
  <si>
    <t>Pašvaldību budžeta bilance, bruto (naudas plūsma), milj. euro</t>
  </si>
  <si>
    <t>Nekustamā īpašuma nodoklis</t>
  </si>
  <si>
    <t>Taxes on gambling</t>
  </si>
  <si>
    <t>Transfer from central government budget</t>
  </si>
  <si>
    <t>Transfers from local government budget</t>
  </si>
  <si>
    <t>Transfer from derived public persons budget</t>
  </si>
  <si>
    <t>to central government budget</t>
  </si>
  <si>
    <t>uz valsts budžetu</t>
  </si>
  <si>
    <t>to local government budget</t>
  </si>
  <si>
    <t>to derived public persons budget</t>
  </si>
  <si>
    <t>Pamatlīdzekļi, ieguldījuma īpašumi un bioloģiskie aktīvi</t>
  </si>
  <si>
    <t xml:space="preserve">Finansiālā bilance </t>
  </si>
  <si>
    <t>Derived Public Persons Budget including donations, gross (cash flow), mln euro</t>
  </si>
  <si>
    <t>Atvasinātu publisku personu budžets, tai skaitā ziedojumi un dāvinājumi, bruto (naudas plūsma), miljoni euro</t>
  </si>
  <si>
    <t xml:space="preserve"> Ieņēmumi</t>
  </si>
  <si>
    <t>8.0.0.0.</t>
  </si>
  <si>
    <t xml:space="preserve"> Atalgojums</t>
  </si>
  <si>
    <t xml:space="preserve"> Darba devēja valsts sociālās apdrošināšanas obligātās iemaksas, pabalsti un kompensācijas</t>
  </si>
  <si>
    <t>7130,7400,7500,7810</t>
  </si>
  <si>
    <t>7350,7830,7840</t>
  </si>
  <si>
    <t>Payments to EU budget</t>
  </si>
  <si>
    <t>9500;9600</t>
  </si>
  <si>
    <t>State Government Budget, net (cash flow), mln euro</t>
  </si>
  <si>
    <t>Valsts konsolidētais budžets, neto (naudas plūsma), milj. euro</t>
  </si>
  <si>
    <t xml:space="preserve">       Izložu un azartspēļu nodoklis</t>
  </si>
  <si>
    <t>Subsidized energy tax</t>
  </si>
  <si>
    <t>Subsīdijas, dotācijas, sociālie maksājumi un kompensācijas</t>
  </si>
  <si>
    <t>I-IV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</si>
</sst>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-* #,##0.00_-;\-* #,##0.00_-;_-* &quot;-&quot;??_-;_-@_-"/>
    <numFmt numFmtId="164" formatCode="0.000000"/>
    <numFmt numFmtId="165" formatCode="#,##0.000000"/>
    <numFmt numFmtId="166" formatCode="#,##0.000"/>
    <numFmt numFmtId="167" formatCode="0.00000"/>
    <numFmt numFmtId="168" formatCode="#,##0.0"/>
    <numFmt numFmtId="169" formatCode="#,##0.00000"/>
    <numFmt numFmtId="170" formatCode="#,##0.00000000"/>
    <numFmt numFmtId="171" formatCode="0.0"/>
    <numFmt numFmtId="172" formatCode="#,##0.0000000"/>
    <numFmt numFmtId="173" formatCode="#,##0.0000"/>
    <numFmt numFmtId="174" formatCode="0.0000000"/>
    <numFmt numFmtId="175" formatCode="#,##0.000000000"/>
    <numFmt numFmtId="176" formatCode="0.000"/>
    <numFmt numFmtId="177" formatCode="0.0%"/>
    <numFmt numFmtId="178" formatCode="0.0000"/>
    <numFmt numFmtId="179" formatCode="_-* #,##0.0_-;\-* #,##0.0_-;_-* &quot;-&quot;??_-;_-@_-"/>
    <numFmt numFmtId="180" formatCode="_-* #,##0_-;\-* #,##0_-;_-* &quot;-&quot;??_-;_-@_-"/>
    <numFmt numFmtId="181" formatCode="#,##0.00000000000000"/>
    <numFmt numFmtId="182" formatCode="_-* #,##0.000000000_-;\-* #,##0.000000000_-;_-* &quot;-&quot;??_-;_-@_-"/>
    <numFmt numFmtId="183" formatCode="_-* #,##0\ _€_-;\-* #,##0\ _€_-;_-* &quot;-&quot;?????????\ _€_-;_-@_-"/>
    <numFmt numFmtId="184" formatCode="_-* #,##0.000\ _€_-;\-* #,##0.000\ _€_-;_-* &quot;-&quot;???\ _€_-;_-@_-"/>
    <numFmt numFmtId="185" formatCode="_-* #,##0.00000_-;\-* #,##0.00000_-;_-* &quot;-&quot;??_-;_-@_-"/>
    <numFmt numFmtId="186" formatCode="0.000%"/>
  </numFmts>
  <fonts count="73">
    <font>
      <sz val="12"/>
      <color theme="1"/>
      <name val="Times New Roman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6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i/>
      <sz val="16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16"/>
      <color rgb="FFFF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6"/>
      <name val="Times New Roman"/>
      <family val="1"/>
      <charset val="186"/>
    </font>
    <font>
      <sz val="16"/>
      <color theme="5" tint="0.79998168889431442"/>
      <name val="Times New Roman"/>
      <family val="1"/>
      <charset val="186"/>
    </font>
    <font>
      <sz val="16"/>
      <color rgb="FFFF0000"/>
      <name val="Times New Roman"/>
      <family val="1"/>
      <charset val="186"/>
    </font>
    <font>
      <b/>
      <sz val="20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sz val="16"/>
      <color theme="0"/>
      <name val="Times New Roman"/>
      <family val="1"/>
      <charset val="186"/>
    </font>
    <font>
      <i/>
      <sz val="16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9"/>
      <color rgb="FFFF0000"/>
      <name val="Times New Roman"/>
      <family val="1"/>
      <charset val="186"/>
    </font>
    <font>
      <sz val="16"/>
      <color theme="5" tint="0.59999389629810485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Arial"/>
      <family val="2"/>
      <charset val="186"/>
    </font>
    <font>
      <sz val="10"/>
      <color indexed="9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Helv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4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name val="BaltGaramond"/>
      <family val="2"/>
      <charset val="186"/>
    </font>
    <font>
      <b/>
      <sz val="11"/>
      <color theme="1"/>
      <name val="Times New Roman"/>
      <family val="1"/>
      <charset val="186"/>
    </font>
    <font>
      <i/>
      <sz val="16"/>
      <color rgb="FFFF0000"/>
      <name val="Times New Roman"/>
      <family val="1"/>
      <charset val="186"/>
    </font>
    <font>
      <b/>
      <sz val="18"/>
      <name val="Times New Roman"/>
      <family val="1"/>
      <charset val="186"/>
    </font>
    <font>
      <sz val="24"/>
      <name val="Times New Roman"/>
      <family val="1"/>
      <charset val="186"/>
    </font>
    <font>
      <sz val="20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8"/>
      <color theme="1"/>
      <name val="Times New Roman"/>
      <family val="2"/>
      <charset val="186"/>
    </font>
    <font>
      <sz val="12"/>
      <color rgb="FFFF0000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i/>
      <sz val="16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20"/>
      <color theme="1"/>
      <name val="Times New Roman"/>
      <family val="1"/>
      <charset val="186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8E6C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08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5" fillId="0" borderId="0" applyFont="0" applyFill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7" fillId="15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7" fillId="1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21" borderId="0" applyNumberFormat="0" applyBorder="0" applyAlignment="0" applyProtection="0"/>
    <xf numFmtId="0" fontId="26" fillId="14" borderId="0" applyNumberFormat="0" applyBorder="0" applyAlignment="0" applyProtection="0"/>
    <xf numFmtId="0" fontId="27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6" fillId="0" borderId="0"/>
    <xf numFmtId="4" fontId="29" fillId="26" borderId="34" applyNumberFormat="0" applyProtection="0">
      <alignment vertical="center"/>
    </xf>
    <xf numFmtId="4" fontId="30" fillId="26" borderId="34" applyNumberFormat="0" applyProtection="0">
      <alignment vertical="center"/>
    </xf>
    <xf numFmtId="4" fontId="29" fillId="26" borderId="34" applyNumberFormat="0" applyProtection="0">
      <alignment horizontal="left" vertical="center" indent="1"/>
    </xf>
    <xf numFmtId="0" fontId="29" fillId="26" borderId="34" applyNumberFormat="0" applyProtection="0">
      <alignment horizontal="left" vertical="top" indent="1"/>
    </xf>
    <xf numFmtId="4" fontId="29" fillId="28" borderId="0" applyNumberFormat="0" applyProtection="0">
      <alignment horizontal="left" vertical="center" indent="1"/>
    </xf>
    <xf numFmtId="4" fontId="31" fillId="3" borderId="34" applyNumberFormat="0" applyProtection="0">
      <alignment horizontal="right" vertical="center"/>
    </xf>
    <xf numFmtId="4" fontId="31" fillId="5" borderId="34" applyNumberFormat="0" applyProtection="0">
      <alignment horizontal="right" vertical="center"/>
    </xf>
    <xf numFmtId="4" fontId="31" fillId="12" borderId="34" applyNumberFormat="0" applyProtection="0">
      <alignment horizontal="right" vertical="center"/>
    </xf>
    <xf numFmtId="4" fontId="31" fillId="7" borderId="34" applyNumberFormat="0" applyProtection="0">
      <alignment horizontal="right" vertical="center"/>
    </xf>
    <xf numFmtId="4" fontId="31" fillId="8" borderId="34" applyNumberFormat="0" applyProtection="0">
      <alignment horizontal="right" vertical="center"/>
    </xf>
    <xf numFmtId="4" fontId="31" fillId="20" borderId="34" applyNumberFormat="0" applyProtection="0">
      <alignment horizontal="right" vertical="center"/>
    </xf>
    <xf numFmtId="4" fontId="31" fillId="16" borderId="34" applyNumberFormat="0" applyProtection="0">
      <alignment horizontal="right" vertical="center"/>
    </xf>
    <xf numFmtId="4" fontId="31" fillId="29" borderId="34" applyNumberFormat="0" applyProtection="0">
      <alignment horizontal="right" vertical="center"/>
    </xf>
    <xf numFmtId="4" fontId="31" fillId="6" borderId="34" applyNumberFormat="0" applyProtection="0">
      <alignment horizontal="right" vertical="center"/>
    </xf>
    <xf numFmtId="4" fontId="29" fillId="30" borderId="35" applyNumberFormat="0" applyProtection="0">
      <alignment horizontal="left" vertical="center" indent="1"/>
    </xf>
    <xf numFmtId="4" fontId="31" fillId="31" borderId="0" applyNumberFormat="0" applyProtection="0">
      <alignment horizontal="left" vertical="center" indent="1"/>
    </xf>
    <xf numFmtId="4" fontId="32" fillId="32" borderId="0" applyNumberFormat="0" applyProtection="0">
      <alignment horizontal="left" vertical="center" indent="1"/>
    </xf>
    <xf numFmtId="4" fontId="31" fillId="28" borderId="34" applyNumberFormat="0" applyProtection="0">
      <alignment horizontal="right" vertical="center"/>
    </xf>
    <xf numFmtId="4" fontId="33" fillId="31" borderId="0" applyNumberFormat="0" applyProtection="0">
      <alignment horizontal="left" vertical="center" indent="1"/>
    </xf>
    <xf numFmtId="4" fontId="33" fillId="28" borderId="0" applyNumberFormat="0" applyProtection="0">
      <alignment horizontal="left" vertical="center" indent="1"/>
    </xf>
    <xf numFmtId="0" fontId="6" fillId="32" borderId="34" applyNumberFormat="0" applyProtection="0">
      <alignment horizontal="left" vertical="center" indent="1"/>
    </xf>
    <xf numFmtId="0" fontId="6" fillId="32" borderId="34" applyNumberFormat="0" applyProtection="0">
      <alignment horizontal="left" vertical="top" indent="1"/>
    </xf>
    <xf numFmtId="0" fontId="6" fillId="28" borderId="34" applyNumberFormat="0" applyProtection="0">
      <alignment horizontal="left" vertical="center" indent="1"/>
    </xf>
    <xf numFmtId="0" fontId="6" fillId="28" borderId="34" applyNumberFormat="0" applyProtection="0">
      <alignment horizontal="left" vertical="top" indent="1"/>
    </xf>
    <xf numFmtId="0" fontId="6" fillId="4" borderId="34" applyNumberFormat="0" applyProtection="0">
      <alignment horizontal="left" vertical="center" indent="1"/>
    </xf>
    <xf numFmtId="0" fontId="6" fillId="4" borderId="34" applyNumberFormat="0" applyProtection="0">
      <alignment horizontal="left" vertical="top" indent="1"/>
    </xf>
    <xf numFmtId="0" fontId="6" fillId="31" borderId="34" applyNumberFormat="0" applyProtection="0">
      <alignment horizontal="left" vertical="center" indent="1"/>
    </xf>
    <xf numFmtId="0" fontId="6" fillId="31" borderId="34" applyNumberFormat="0" applyProtection="0">
      <alignment horizontal="left" vertical="top" indent="1"/>
    </xf>
    <xf numFmtId="0" fontId="6" fillId="33" borderId="1" applyNumberFormat="0">
      <protection locked="0"/>
    </xf>
    <xf numFmtId="4" fontId="31" fillId="27" borderId="34" applyNumberFormat="0" applyProtection="0">
      <alignment vertical="center"/>
    </xf>
    <xf numFmtId="4" fontId="34" fillId="27" borderId="34" applyNumberFormat="0" applyProtection="0">
      <alignment vertical="center"/>
    </xf>
    <xf numFmtId="4" fontId="31" fillId="27" borderId="34" applyNumberFormat="0" applyProtection="0">
      <alignment horizontal="left" vertical="center" indent="1"/>
    </xf>
    <xf numFmtId="0" fontId="31" fillId="27" borderId="34" applyNumberFormat="0" applyProtection="0">
      <alignment horizontal="left" vertical="top" indent="1"/>
    </xf>
    <xf numFmtId="4" fontId="31" fillId="31" borderId="34" applyNumberFormat="0" applyProtection="0">
      <alignment horizontal="right" vertical="center"/>
    </xf>
    <xf numFmtId="4" fontId="34" fillId="31" borderId="34" applyNumberFormat="0" applyProtection="0">
      <alignment horizontal="right" vertical="center"/>
    </xf>
    <xf numFmtId="4" fontId="31" fillId="28" borderId="34" applyNumberFormat="0" applyProtection="0">
      <alignment horizontal="left" vertical="center" indent="1"/>
    </xf>
    <xf numFmtId="0" fontId="31" fillId="28" borderId="34" applyNumberFormat="0" applyProtection="0">
      <alignment horizontal="left" vertical="top" indent="1"/>
    </xf>
    <xf numFmtId="4" fontId="35" fillId="34" borderId="0" applyNumberFormat="0" applyProtection="0">
      <alignment horizontal="left" vertical="center" indent="1"/>
    </xf>
    <xf numFmtId="4" fontId="36" fillId="31" borderId="34" applyNumberFormat="0" applyProtection="0">
      <alignment horizontal="right" vertical="center"/>
    </xf>
    <xf numFmtId="0" fontId="37" fillId="0" borderId="0" applyNumberFormat="0" applyFill="0" applyBorder="0" applyAlignment="0" applyProtection="0"/>
    <xf numFmtId="4" fontId="29" fillId="26" borderId="36" applyNumberFormat="0" applyProtection="0">
      <alignment vertical="center"/>
    </xf>
    <xf numFmtId="4" fontId="30" fillId="26" borderId="36" applyNumberFormat="0" applyProtection="0">
      <alignment vertical="center"/>
    </xf>
    <xf numFmtId="4" fontId="29" fillId="26" borderId="36" applyNumberFormat="0" applyProtection="0">
      <alignment horizontal="left" vertical="center" indent="1"/>
    </xf>
    <xf numFmtId="0" fontId="29" fillId="26" borderId="36" applyNumberFormat="0" applyProtection="0">
      <alignment horizontal="left" vertical="top" indent="1"/>
    </xf>
    <xf numFmtId="4" fontId="31" fillId="3" borderId="36" applyNumberFormat="0" applyProtection="0">
      <alignment horizontal="right" vertical="center"/>
    </xf>
    <xf numFmtId="4" fontId="31" fillId="5" borderId="36" applyNumberFormat="0" applyProtection="0">
      <alignment horizontal="right" vertical="center"/>
    </xf>
    <xf numFmtId="4" fontId="31" fillId="12" borderId="36" applyNumberFormat="0" applyProtection="0">
      <alignment horizontal="right" vertical="center"/>
    </xf>
    <xf numFmtId="4" fontId="31" fillId="7" borderId="36" applyNumberFormat="0" applyProtection="0">
      <alignment horizontal="right" vertical="center"/>
    </xf>
    <xf numFmtId="4" fontId="31" fillId="8" borderId="36" applyNumberFormat="0" applyProtection="0">
      <alignment horizontal="right" vertical="center"/>
    </xf>
    <xf numFmtId="4" fontId="31" fillId="20" borderId="36" applyNumberFormat="0" applyProtection="0">
      <alignment horizontal="right" vertical="center"/>
    </xf>
    <xf numFmtId="4" fontId="31" fillId="16" borderId="36" applyNumberFormat="0" applyProtection="0">
      <alignment horizontal="right" vertical="center"/>
    </xf>
    <xf numFmtId="4" fontId="31" fillId="29" borderId="36" applyNumberFormat="0" applyProtection="0">
      <alignment horizontal="right" vertical="center"/>
    </xf>
    <xf numFmtId="4" fontId="31" fillId="6" borderId="36" applyNumberFormat="0" applyProtection="0">
      <alignment horizontal="right" vertical="center"/>
    </xf>
    <xf numFmtId="4" fontId="31" fillId="28" borderId="36" applyNumberFormat="0" applyProtection="0">
      <alignment horizontal="right" vertical="center"/>
    </xf>
    <xf numFmtId="0" fontId="6" fillId="32" borderId="36" applyNumberFormat="0" applyProtection="0">
      <alignment horizontal="left" vertical="center" indent="1"/>
    </xf>
    <xf numFmtId="0" fontId="6" fillId="32" borderId="36" applyNumberFormat="0" applyProtection="0">
      <alignment horizontal="left" vertical="top" indent="1"/>
    </xf>
    <xf numFmtId="0" fontId="6" fillId="28" borderId="36" applyNumberFormat="0" applyProtection="0">
      <alignment horizontal="left" vertical="center" indent="1"/>
    </xf>
    <xf numFmtId="0" fontId="6" fillId="28" borderId="36" applyNumberFormat="0" applyProtection="0">
      <alignment horizontal="left" vertical="top" indent="1"/>
    </xf>
    <xf numFmtId="0" fontId="6" fillId="4" borderId="36" applyNumberFormat="0" applyProtection="0">
      <alignment horizontal="left" vertical="center" indent="1"/>
    </xf>
    <xf numFmtId="0" fontId="6" fillId="4" borderId="36" applyNumberFormat="0" applyProtection="0">
      <alignment horizontal="left" vertical="top" indent="1"/>
    </xf>
    <xf numFmtId="0" fontId="6" fillId="31" borderId="36" applyNumberFormat="0" applyProtection="0">
      <alignment horizontal="left" vertical="center" indent="1"/>
    </xf>
    <xf numFmtId="0" fontId="6" fillId="31" borderId="36" applyNumberFormat="0" applyProtection="0">
      <alignment horizontal="left" vertical="top" indent="1"/>
    </xf>
    <xf numFmtId="4" fontId="31" fillId="27" borderId="36" applyNumberFormat="0" applyProtection="0">
      <alignment vertical="center"/>
    </xf>
    <xf numFmtId="4" fontId="34" fillId="27" borderId="36" applyNumberFormat="0" applyProtection="0">
      <alignment vertical="center"/>
    </xf>
    <xf numFmtId="4" fontId="31" fillId="27" borderId="36" applyNumberFormat="0" applyProtection="0">
      <alignment horizontal="left" vertical="center" indent="1"/>
    </xf>
    <xf numFmtId="0" fontId="31" fillId="27" borderId="36" applyNumberFormat="0" applyProtection="0">
      <alignment horizontal="left" vertical="top" indent="1"/>
    </xf>
    <xf numFmtId="4" fontId="31" fillId="31" borderId="36" applyNumberFormat="0" applyProtection="0">
      <alignment horizontal="right" vertical="center"/>
    </xf>
    <xf numFmtId="4" fontId="34" fillId="31" borderId="36" applyNumberFormat="0" applyProtection="0">
      <alignment horizontal="right" vertical="center"/>
    </xf>
    <xf numFmtId="4" fontId="31" fillId="28" borderId="36" applyNumberFormat="0" applyProtection="0">
      <alignment horizontal="left" vertical="center" indent="1"/>
    </xf>
    <xf numFmtId="0" fontId="31" fillId="28" borderId="36" applyNumberFormat="0" applyProtection="0">
      <alignment horizontal="left" vertical="top" indent="1"/>
    </xf>
    <xf numFmtId="4" fontId="36" fillId="31" borderId="36" applyNumberFormat="0" applyProtection="0">
      <alignment horizontal="right" vertical="center"/>
    </xf>
    <xf numFmtId="0" fontId="38" fillId="0" borderId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7" borderId="0" applyNumberFormat="0" applyBorder="0" applyAlignment="0" applyProtection="0"/>
    <xf numFmtId="0" fontId="31" fillId="33" borderId="0" applyNumberFormat="0" applyBorder="0" applyAlignment="0" applyProtection="0"/>
    <xf numFmtId="0" fontId="31" fillId="4" borderId="0" applyNumberFormat="0" applyBorder="0" applyAlignment="0" applyProtection="0"/>
    <xf numFmtId="0" fontId="31" fillId="3" borderId="0" applyNumberFormat="0" applyBorder="0" applyAlignment="0" applyProtection="0"/>
    <xf numFmtId="0" fontId="31" fillId="32" borderId="0" applyNumberFormat="0" applyBorder="0" applyAlignment="0" applyProtection="0"/>
    <xf numFmtId="0" fontId="31" fillId="5" borderId="0" applyNumberFormat="0" applyBorder="0" applyAlignment="0" applyProtection="0"/>
    <xf numFmtId="0" fontId="31" fillId="16" borderId="0" applyNumberFormat="0" applyBorder="0" applyAlignment="0" applyProtection="0"/>
    <xf numFmtId="0" fontId="31" fillId="35" borderId="0" applyNumberFormat="0" applyBorder="0" applyAlignment="0" applyProtection="0"/>
    <xf numFmtId="0" fontId="31" fillId="32" borderId="0" applyNumberFormat="0" applyBorder="0" applyAlignment="0" applyProtection="0"/>
    <xf numFmtId="0" fontId="31" fillId="36" borderId="0" applyNumberFormat="0" applyBorder="0" applyAlignment="0" applyProtection="0"/>
    <xf numFmtId="0" fontId="39" fillId="32" borderId="0" applyNumberFormat="0" applyBorder="0" applyAlignment="0" applyProtection="0"/>
    <xf numFmtId="0" fontId="39" fillId="5" borderId="0" applyNumberFormat="0" applyBorder="0" applyAlignment="0" applyProtection="0"/>
    <xf numFmtId="0" fontId="39" fillId="16" borderId="0" applyNumberFormat="0" applyBorder="0" applyAlignment="0" applyProtection="0"/>
    <xf numFmtId="0" fontId="39" fillId="35" borderId="0" applyNumberFormat="0" applyBorder="0" applyAlignment="0" applyProtection="0"/>
    <xf numFmtId="0" fontId="39" fillId="32" borderId="0" applyNumberFormat="0" applyBorder="0" applyAlignment="0" applyProtection="0"/>
    <xf numFmtId="0" fontId="39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41" borderId="0" applyNumberFormat="0" applyBorder="0" applyAlignment="0" applyProtection="0"/>
    <xf numFmtId="0" fontId="27" fillId="15" borderId="0" applyNumberFormat="0" applyBorder="0" applyAlignment="0" applyProtection="0"/>
    <xf numFmtId="4" fontId="55" fillId="0" borderId="0" applyNumberFormat="0" applyProtection="0">
      <alignment horizontal="left" wrapText="1" indent="1"/>
    </xf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40" fillId="14" borderId="0" applyNumberFormat="0" applyBorder="0" applyAlignment="0" applyProtection="0"/>
    <xf numFmtId="0" fontId="41" fillId="42" borderId="37" applyNumberFormat="0" applyAlignment="0" applyProtection="0"/>
    <xf numFmtId="0" fontId="42" fillId="15" borderId="38" applyNumberFormat="0" applyAlignment="0" applyProtection="0"/>
    <xf numFmtId="0" fontId="43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22" borderId="37" applyNumberFormat="0" applyAlignment="0" applyProtection="0"/>
    <xf numFmtId="0" fontId="49" fillId="0" borderId="42" applyNumberFormat="0" applyFill="0" applyAlignment="0" applyProtection="0"/>
    <xf numFmtId="0" fontId="50" fillId="22" borderId="0" applyNumberFormat="0" applyBorder="0" applyAlignment="0" applyProtection="0"/>
    <xf numFmtId="0" fontId="6" fillId="21" borderId="43" applyNumberFormat="0" applyFont="0" applyAlignment="0" applyProtection="0"/>
    <xf numFmtId="0" fontId="51" fillId="42" borderId="44" applyNumberFormat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39" borderId="0" applyNumberFormat="0" applyBorder="0" applyAlignment="0" applyProtection="0"/>
    <xf numFmtId="0" fontId="27" fillId="15" borderId="0" applyNumberFormat="0" applyBorder="0" applyAlignment="0" applyProtection="0"/>
    <xf numFmtId="0" fontId="27" fillId="41" borderId="0" applyNumberFormat="0" applyBorder="0" applyAlignment="0" applyProtection="0"/>
    <xf numFmtId="0" fontId="27" fillId="15" borderId="0" applyNumberFormat="0" applyBorder="0" applyAlignment="0" applyProtection="0"/>
    <xf numFmtId="0" fontId="27" fillId="41" borderId="0" applyNumberFormat="0" applyBorder="0" applyAlignment="0" applyProtection="0"/>
    <xf numFmtId="0" fontId="27" fillId="40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37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15" borderId="0" applyNumberFormat="0" applyBorder="0" applyAlignment="0" applyProtection="0"/>
    <xf numFmtId="0" fontId="27" fillId="39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15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41" borderId="0" applyNumberFormat="0" applyBorder="0" applyAlignment="0" applyProtection="0"/>
    <xf numFmtId="0" fontId="53" fillId="0" borderId="0"/>
    <xf numFmtId="0" fontId="37" fillId="0" borderId="0" applyNumberFormat="0" applyFill="0" applyBorder="0" applyAlignment="0" applyProtection="0"/>
    <xf numFmtId="0" fontId="28" fillId="0" borderId="45" applyNumberFormat="0" applyFill="0" applyAlignment="0" applyProtection="0"/>
    <xf numFmtId="0" fontId="52" fillId="0" borderId="0" applyNumberFormat="0" applyFill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1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2" fontId="2" fillId="0" borderId="0" applyProtection="0">
      <alignment horizontal="left" wrapText="1" indent="1"/>
    </xf>
    <xf numFmtId="0" fontId="2" fillId="0" borderId="0" applyNumberFormat="0" applyProtection="0">
      <alignment horizontal="left" wrapText="1" indent="1"/>
    </xf>
    <xf numFmtId="0" fontId="27" fillId="37" borderId="0" applyNumberFormat="0" applyBorder="0" applyAlignment="0" applyProtection="0"/>
    <xf numFmtId="0" fontId="2" fillId="0" borderId="0" applyNumberFormat="0" applyProtection="0">
      <alignment horizontal="left" wrapText="1" indent="1"/>
    </xf>
    <xf numFmtId="0" fontId="27" fillId="39" borderId="0" applyNumberFormat="0" applyBorder="0" applyAlignment="0" applyProtection="0"/>
    <xf numFmtId="0" fontId="2" fillId="0" borderId="0" applyNumberFormat="0" applyProtection="0">
      <alignment horizontal="left" wrapText="1" indent="1"/>
    </xf>
    <xf numFmtId="0" fontId="27" fillId="15" borderId="0" applyNumberFormat="0" applyBorder="0" applyAlignment="0" applyProtection="0"/>
    <xf numFmtId="4" fontId="54" fillId="0" borderId="0" applyNumberFormat="0" applyProtection="0">
      <alignment horizontal="right" wrapText="1"/>
    </xf>
    <xf numFmtId="4" fontId="54" fillId="0" borderId="0" applyNumberFormat="0" applyProtection="0">
      <alignment horizontal="left" wrapText="1" indent="1"/>
    </xf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7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0" borderId="0" applyNumberFormat="0" applyBorder="0" applyAlignment="0" applyProtection="0"/>
    <xf numFmtId="0" fontId="27" fillId="39" borderId="0" applyNumberFormat="0" applyBorder="0" applyAlignment="0" applyProtection="0"/>
    <xf numFmtId="0" fontId="27" fillId="15" borderId="0" applyNumberFormat="0" applyBorder="0" applyAlignment="0" applyProtection="0"/>
    <xf numFmtId="0" fontId="27" fillId="38" borderId="0" applyNumberFormat="0" applyBorder="0" applyAlignment="0" applyProtection="0"/>
    <xf numFmtId="0" fontId="27" fillId="37" borderId="0" applyNumberFormat="0" applyBorder="0" applyAlignment="0" applyProtection="0"/>
    <xf numFmtId="0" fontId="27" fillId="15" borderId="0" applyNumberFormat="0" applyBorder="0" applyAlignment="0" applyProtection="0"/>
    <xf numFmtId="0" fontId="27" fillId="38" borderId="0" applyNumberFormat="0" applyBorder="0" applyAlignment="0" applyProtection="0"/>
    <xf numFmtId="0" fontId="27" fillId="37" borderId="0" applyNumberFormat="0" applyBorder="0" applyAlignment="0" applyProtection="0"/>
    <xf numFmtId="171" fontId="58" fillId="45" borderId="0" applyBorder="0" applyProtection="0"/>
    <xf numFmtId="43" fontId="25" fillId="0" borderId="0" applyFont="0" applyFill="0" applyBorder="0" applyAlignment="0" applyProtection="0"/>
    <xf numFmtId="0" fontId="65" fillId="0" borderId="0"/>
    <xf numFmtId="0" fontId="69" fillId="0" borderId="0"/>
    <xf numFmtId="0" fontId="65" fillId="0" borderId="0"/>
  </cellStyleXfs>
  <cellXfs count="367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4" fillId="0" borderId="0" xfId="0" applyFont="1" applyAlignment="1">
      <alignment horizontal="center"/>
    </xf>
    <xf numFmtId="167" fontId="5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8" fontId="4" fillId="0" borderId="0" xfId="0" applyNumberFormat="1" applyFont="1"/>
    <xf numFmtId="1" fontId="4" fillId="0" borderId="0" xfId="0" applyNumberFormat="1" applyFont="1"/>
    <xf numFmtId="1" fontId="1" fillId="0" borderId="0" xfId="0" applyNumberFormat="1" applyFont="1"/>
    <xf numFmtId="1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165" fontId="2" fillId="0" borderId="0" xfId="0" applyNumberFormat="1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5" fontId="13" fillId="0" borderId="0" xfId="0" applyNumberFormat="1" applyFont="1"/>
    <xf numFmtId="168" fontId="13" fillId="0" borderId="2" xfId="0" applyNumberFormat="1" applyFont="1" applyBorder="1" applyAlignment="1">
      <alignment horizontal="center" vertical="center" wrapText="1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168" fontId="15" fillId="0" borderId="24" xfId="0" applyNumberFormat="1" applyFont="1" applyBorder="1" applyAlignment="1">
      <alignment horizontal="right"/>
    </xf>
    <xf numFmtId="168" fontId="5" fillId="0" borderId="5" xfId="0" applyNumberFormat="1" applyFont="1" applyBorder="1"/>
    <xf numFmtId="168" fontId="5" fillId="0" borderId="5" xfId="0" applyNumberFormat="1" applyFont="1" applyBorder="1" applyAlignment="1">
      <alignment horizontal="right"/>
    </xf>
    <xf numFmtId="168" fontId="5" fillId="0" borderId="23" xfId="0" applyNumberFormat="1" applyFont="1" applyBorder="1"/>
    <xf numFmtId="168" fontId="5" fillId="0" borderId="9" xfId="0" applyNumberFormat="1" applyFont="1" applyBorder="1"/>
    <xf numFmtId="168" fontId="5" fillId="0" borderId="14" xfId="0" applyNumberFormat="1" applyFont="1" applyBorder="1"/>
    <xf numFmtId="168" fontId="13" fillId="0" borderId="6" xfId="0" applyNumberFormat="1" applyFont="1" applyBorder="1"/>
    <xf numFmtId="168" fontId="13" fillId="0" borderId="17" xfId="0" applyNumberFormat="1" applyFont="1" applyBorder="1"/>
    <xf numFmtId="168" fontId="13" fillId="0" borderId="6" xfId="0" applyNumberFormat="1" applyFont="1" applyBorder="1" applyAlignment="1">
      <alignment horizontal="right"/>
    </xf>
    <xf numFmtId="168" fontId="13" fillId="0" borderId="24" xfId="0" applyNumberFormat="1" applyFont="1" applyBorder="1"/>
    <xf numFmtId="168" fontId="13" fillId="0" borderId="6" xfId="0" applyNumberFormat="1" applyFont="1" applyBorder="1" applyAlignment="1">
      <alignment horizontal="left" indent="1"/>
    </xf>
    <xf numFmtId="168" fontId="13" fillId="0" borderId="6" xfId="0" applyNumberFormat="1" applyFont="1" applyBorder="1" applyAlignment="1">
      <alignment horizontal="left" indent="2"/>
    </xf>
    <xf numFmtId="168" fontId="13" fillId="0" borderId="6" xfId="0" applyNumberFormat="1" applyFont="1" applyBorder="1" applyAlignment="1">
      <alignment horizontal="left" wrapText="1" indent="3"/>
    </xf>
    <xf numFmtId="168" fontId="13" fillId="0" borderId="17" xfId="0" applyNumberFormat="1" applyFont="1" applyBorder="1" applyAlignment="1">
      <alignment horizontal="right"/>
    </xf>
    <xf numFmtId="168" fontId="13" fillId="0" borderId="24" xfId="0" applyNumberFormat="1" applyFont="1" applyBorder="1" applyAlignment="1">
      <alignment horizontal="right"/>
    </xf>
    <xf numFmtId="168" fontId="13" fillId="0" borderId="6" xfId="0" applyNumberFormat="1" applyFont="1" applyBorder="1" applyAlignment="1">
      <alignment horizontal="left" wrapText="1" indent="1"/>
    </xf>
    <xf numFmtId="168" fontId="13" fillId="0" borderId="28" xfId="0" applyNumberFormat="1" applyFont="1" applyBorder="1" applyAlignment="1">
      <alignment horizontal="right"/>
    </xf>
    <xf numFmtId="168" fontId="5" fillId="0" borderId="6" xfId="0" applyNumberFormat="1" applyFont="1" applyBorder="1"/>
    <xf numFmtId="168" fontId="5" fillId="0" borderId="24" xfId="0" applyNumberFormat="1" applyFont="1" applyBorder="1"/>
    <xf numFmtId="168" fontId="5" fillId="0" borderId="24" xfId="0" applyNumberFormat="1" applyFont="1" applyBorder="1" applyAlignment="1">
      <alignment horizontal="right"/>
    </xf>
    <xf numFmtId="168" fontId="13" fillId="0" borderId="6" xfId="0" applyNumberFormat="1" applyFont="1" applyBorder="1" applyAlignment="1">
      <alignment horizontal="left" wrapText="1" indent="2"/>
    </xf>
    <xf numFmtId="168" fontId="13" fillId="0" borderId="6" xfId="0" applyNumberFormat="1" applyFont="1" applyBorder="1" applyAlignment="1">
      <alignment horizontal="left" vertical="center" wrapText="1" indent="2"/>
    </xf>
    <xf numFmtId="168" fontId="5" fillId="0" borderId="7" xfId="0" applyNumberFormat="1" applyFont="1" applyBorder="1"/>
    <xf numFmtId="168" fontId="5" fillId="0" borderId="30" xfId="0" applyNumberFormat="1" applyFont="1" applyBorder="1"/>
    <xf numFmtId="168" fontId="5" fillId="0" borderId="16" xfId="0" applyNumberFormat="1" applyFont="1" applyBorder="1"/>
    <xf numFmtId="168" fontId="5" fillId="0" borderId="17" xfId="0" applyNumberFormat="1" applyFont="1" applyBorder="1"/>
    <xf numFmtId="168" fontId="13" fillId="0" borderId="21" xfId="0" applyNumberFormat="1" applyFont="1" applyBorder="1"/>
    <xf numFmtId="168" fontId="13" fillId="0" borderId="27" xfId="0" applyNumberFormat="1" applyFont="1" applyBorder="1" applyAlignment="1">
      <alignment horizontal="left" wrapText="1" indent="2"/>
    </xf>
    <xf numFmtId="168" fontId="5" fillId="0" borderId="26" xfId="0" applyNumberFormat="1" applyFont="1" applyBorder="1"/>
    <xf numFmtId="168" fontId="5" fillId="0" borderId="20" xfId="0" applyNumberFormat="1" applyFont="1" applyBorder="1"/>
    <xf numFmtId="168" fontId="5" fillId="0" borderId="9" xfId="0" applyNumberFormat="1" applyFont="1" applyBorder="1" applyAlignment="1">
      <alignment horizontal="right"/>
    </xf>
    <xf numFmtId="168" fontId="5" fillId="0" borderId="23" xfId="0" applyNumberFormat="1" applyFont="1" applyBorder="1" applyAlignment="1">
      <alignment horizontal="right"/>
    </xf>
    <xf numFmtId="168" fontId="5" fillId="0" borderId="29" xfId="0" applyNumberFormat="1" applyFont="1" applyBorder="1"/>
    <xf numFmtId="168" fontId="13" fillId="0" borderId="28" xfId="0" applyNumberFormat="1" applyFont="1" applyBorder="1"/>
    <xf numFmtId="168" fontId="13" fillId="0" borderId="21" xfId="0" applyNumberFormat="1" applyFont="1" applyBorder="1" applyAlignment="1">
      <alignment horizontal="left" indent="1"/>
    </xf>
    <xf numFmtId="168" fontId="13" fillId="0" borderId="21" xfId="0" applyNumberFormat="1" applyFont="1" applyBorder="1" applyAlignment="1">
      <alignment horizontal="left" indent="2"/>
    </xf>
    <xf numFmtId="168" fontId="13" fillId="0" borderId="21" xfId="0" applyNumberFormat="1" applyFont="1" applyBorder="1" applyAlignment="1">
      <alignment horizontal="left" indent="3"/>
    </xf>
    <xf numFmtId="4" fontId="13" fillId="0" borderId="24" xfId="0" applyNumberFormat="1" applyFont="1" applyBorder="1" applyAlignment="1">
      <alignment horizontal="right"/>
    </xf>
    <xf numFmtId="168" fontId="5" fillId="0" borderId="6" xfId="0" applyNumberFormat="1" applyFont="1" applyBorder="1" applyAlignment="1">
      <alignment horizontal="right"/>
    </xf>
    <xf numFmtId="168" fontId="5" fillId="0" borderId="28" xfId="0" applyNumberFormat="1" applyFont="1" applyBorder="1"/>
    <xf numFmtId="168" fontId="13" fillId="0" borderId="6" xfId="0" applyNumberFormat="1" applyFont="1" applyBorder="1" applyAlignment="1">
      <alignment horizontal="left" indent="8"/>
    </xf>
    <xf numFmtId="168" fontId="13" fillId="0" borderId="6" xfId="0" applyNumberFormat="1" applyFont="1" applyBorder="1" applyAlignment="1">
      <alignment horizontal="left" indent="3"/>
    </xf>
    <xf numFmtId="168" fontId="5" fillId="0" borderId="7" xfId="0" applyNumberFormat="1" applyFont="1" applyBorder="1" applyAlignment="1">
      <alignment horizontal="right"/>
    </xf>
    <xf numFmtId="168" fontId="5" fillId="0" borderId="31" xfId="0" applyNumberFormat="1" applyFont="1" applyBorder="1"/>
    <xf numFmtId="169" fontId="13" fillId="0" borderId="6" xfId="0" applyNumberFormat="1" applyFont="1" applyBorder="1" applyAlignment="1">
      <alignment horizontal="left" indent="1"/>
    </xf>
    <xf numFmtId="168" fontId="5" fillId="0" borderId="1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left" wrapText="1" indent="1"/>
    </xf>
    <xf numFmtId="168" fontId="5" fillId="0" borderId="17" xfId="0" applyNumberFormat="1" applyFont="1" applyBorder="1" applyAlignment="1">
      <alignment horizontal="right"/>
    </xf>
    <xf numFmtId="168" fontId="13" fillId="0" borderId="14" xfId="0" applyNumberFormat="1" applyFont="1" applyBorder="1"/>
    <xf numFmtId="168" fontId="13" fillId="0" borderId="14" xfId="0" applyNumberFormat="1" applyFont="1" applyBorder="1" applyAlignment="1">
      <alignment horizontal="right"/>
    </xf>
    <xf numFmtId="168" fontId="13" fillId="0" borderId="24" xfId="0" applyNumberFormat="1" applyFont="1" applyBorder="1" applyAlignment="1">
      <alignment vertical="center"/>
    </xf>
    <xf numFmtId="168" fontId="13" fillId="0" borderId="24" xfId="0" applyNumberFormat="1" applyFont="1" applyBorder="1" applyAlignment="1">
      <alignment horizontal="right" vertical="center"/>
    </xf>
    <xf numFmtId="168" fontId="13" fillId="0" borderId="5" xfId="0" applyNumberFormat="1" applyFont="1" applyBorder="1" applyAlignment="1">
      <alignment horizontal="right"/>
    </xf>
    <xf numFmtId="168" fontId="13" fillId="0" borderId="13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/>
    </xf>
    <xf numFmtId="168" fontId="5" fillId="0" borderId="30" xfId="0" applyNumberFormat="1" applyFont="1" applyBorder="1" applyAlignment="1">
      <alignment horizontal="right"/>
    </xf>
    <xf numFmtId="168" fontId="13" fillId="0" borderId="6" xfId="0" applyNumberFormat="1" applyFont="1" applyBorder="1" applyAlignment="1">
      <alignment horizontal="left" indent="4"/>
    </xf>
    <xf numFmtId="168" fontId="13" fillId="0" borderId="8" xfId="0" applyNumberFormat="1" applyFont="1" applyBorder="1" applyAlignment="1">
      <alignment horizontal="left" indent="2"/>
    </xf>
    <xf numFmtId="168" fontId="17" fillId="0" borderId="24" xfId="0" applyNumberFormat="1" applyFont="1" applyBorder="1" applyAlignment="1">
      <alignment horizontal="right"/>
    </xf>
    <xf numFmtId="168" fontId="17" fillId="0" borderId="6" xfId="0" applyNumberFormat="1" applyFont="1" applyBorder="1" applyAlignment="1">
      <alignment horizontal="right"/>
    </xf>
    <xf numFmtId="168" fontId="17" fillId="0" borderId="24" xfId="0" applyNumberFormat="1" applyFont="1" applyBorder="1"/>
    <xf numFmtId="168" fontId="1" fillId="0" borderId="0" xfId="0" applyNumberFormat="1" applyFont="1"/>
    <xf numFmtId="0" fontId="13" fillId="0" borderId="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65" fontId="13" fillId="0" borderId="6" xfId="0" applyNumberFormat="1" applyFont="1" applyBorder="1"/>
    <xf numFmtId="165" fontId="5" fillId="0" borderId="0" xfId="0" applyNumberFormat="1" applyFont="1" applyAlignment="1">
      <alignment vertical="center" wrapText="1"/>
    </xf>
    <xf numFmtId="168" fontId="5" fillId="0" borderId="0" xfId="0" applyNumberFormat="1" applyFont="1"/>
    <xf numFmtId="0" fontId="9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4" fontId="13" fillId="0" borderId="6" xfId="0" applyNumberFormat="1" applyFont="1" applyBorder="1" applyAlignment="1">
      <alignment horizontal="right"/>
    </xf>
    <xf numFmtId="173" fontId="13" fillId="0" borderId="6" xfId="0" applyNumberFormat="1" applyFont="1" applyBorder="1"/>
    <xf numFmtId="169" fontId="13" fillId="0" borderId="6" xfId="0" applyNumberFormat="1" applyFont="1" applyBorder="1"/>
    <xf numFmtId="165" fontId="13" fillId="0" borderId="6" xfId="0" applyNumberFormat="1" applyFont="1" applyBorder="1" applyAlignment="1">
      <alignment horizontal="right"/>
    </xf>
    <xf numFmtId="172" fontId="13" fillId="0" borderId="6" xfId="0" applyNumberFormat="1" applyFont="1" applyBorder="1"/>
    <xf numFmtId="0" fontId="22" fillId="0" borderId="0" xfId="0" applyFont="1" applyAlignment="1">
      <alignment vertical="center" wrapText="1"/>
    </xf>
    <xf numFmtId="0" fontId="12" fillId="0" borderId="0" xfId="0" applyFont="1"/>
    <xf numFmtId="165" fontId="13" fillId="0" borderId="24" xfId="0" applyNumberFormat="1" applyFont="1" applyBorder="1" applyAlignment="1">
      <alignment horizontal="right"/>
    </xf>
    <xf numFmtId="49" fontId="9" fillId="0" borderId="0" xfId="0" applyNumberFormat="1" applyFont="1" applyAlignment="1">
      <alignment vertical="center" wrapText="1"/>
    </xf>
    <xf numFmtId="0" fontId="9" fillId="0" borderId="0" xfId="0" applyFont="1"/>
    <xf numFmtId="164" fontId="23" fillId="0" borderId="0" xfId="0" applyNumberFormat="1" applyFont="1"/>
    <xf numFmtId="168" fontId="19" fillId="0" borderId="24" xfId="0" applyNumberFormat="1" applyFont="1" applyBorder="1" applyAlignment="1">
      <alignment horizontal="right"/>
    </xf>
    <xf numFmtId="168" fontId="14" fillId="0" borderId="24" xfId="0" applyNumberFormat="1" applyFont="1" applyBorder="1" applyAlignment="1">
      <alignment horizontal="right"/>
    </xf>
    <xf numFmtId="172" fontId="19" fillId="0" borderId="24" xfId="0" applyNumberFormat="1" applyFont="1" applyBorder="1" applyAlignment="1">
      <alignment horizontal="right"/>
    </xf>
    <xf numFmtId="172" fontId="19" fillId="0" borderId="24" xfId="0" applyNumberFormat="1" applyFont="1" applyBorder="1"/>
    <xf numFmtId="172" fontId="13" fillId="0" borderId="24" xfId="0" applyNumberFormat="1" applyFont="1" applyBorder="1"/>
    <xf numFmtId="4" fontId="14" fillId="0" borderId="24" xfId="0" applyNumberFormat="1" applyFont="1" applyBorder="1" applyAlignment="1">
      <alignment horizontal="right"/>
    </xf>
    <xf numFmtId="168" fontId="13" fillId="0" borderId="33" xfId="0" applyNumberFormat="1" applyFont="1" applyBorder="1" applyAlignment="1">
      <alignment horizontal="right"/>
    </xf>
    <xf numFmtId="168" fontId="13" fillId="0" borderId="8" xfId="0" applyNumberFormat="1" applyFont="1" applyBorder="1"/>
    <xf numFmtId="168" fontId="17" fillId="0" borderId="8" xfId="0" applyNumberFormat="1" applyFont="1" applyBorder="1" applyAlignment="1">
      <alignment horizontal="right"/>
    </xf>
    <xf numFmtId="168" fontId="14" fillId="0" borderId="8" xfId="0" applyNumberFormat="1" applyFont="1" applyBorder="1" applyAlignment="1">
      <alignment horizontal="right"/>
    </xf>
    <xf numFmtId="3" fontId="13" fillId="0" borderId="6" xfId="0" applyNumberFormat="1" applyFont="1" applyBorder="1"/>
    <xf numFmtId="168" fontId="24" fillId="0" borderId="6" xfId="0" applyNumberFormat="1" applyFont="1" applyBorder="1"/>
    <xf numFmtId="0" fontId="13" fillId="0" borderId="3" xfId="0" applyFont="1" applyBorder="1" applyAlignment="1">
      <alignment horizontal="center" vertical="center"/>
    </xf>
    <xf numFmtId="168" fontId="13" fillId="0" borderId="14" xfId="0" applyNumberFormat="1" applyFont="1" applyBorder="1" applyAlignment="1">
      <alignment horizontal="right" vertical="center"/>
    </xf>
    <xf numFmtId="168" fontId="15" fillId="0" borderId="14" xfId="0" applyNumberFormat="1" applyFont="1" applyBorder="1" applyAlignment="1">
      <alignment horizontal="right"/>
    </xf>
    <xf numFmtId="166" fontId="13" fillId="0" borderId="6" xfId="0" applyNumberFormat="1" applyFont="1" applyBorder="1"/>
    <xf numFmtId="2" fontId="4" fillId="0" borderId="0" xfId="0" applyNumberFormat="1" applyFont="1"/>
    <xf numFmtId="0" fontId="5" fillId="0" borderId="12" xfId="0" applyFont="1" applyBorder="1" applyAlignment="1">
      <alignment horizontal="center" vertical="center"/>
    </xf>
    <xf numFmtId="168" fontId="5" fillId="0" borderId="29" xfId="0" applyNumberFormat="1" applyFont="1" applyBorder="1" applyAlignment="1">
      <alignment horizontal="right"/>
    </xf>
    <xf numFmtId="168" fontId="5" fillId="0" borderId="28" xfId="0" applyNumberFormat="1" applyFont="1" applyBorder="1" applyAlignment="1">
      <alignment horizontal="right"/>
    </xf>
    <xf numFmtId="170" fontId="13" fillId="0" borderId="24" xfId="0" applyNumberFormat="1" applyFont="1" applyBorder="1"/>
    <xf numFmtId="168" fontId="13" fillId="0" borderId="2" xfId="0" applyNumberFormat="1" applyFont="1" applyBorder="1" applyAlignment="1">
      <alignment horizontal="right"/>
    </xf>
    <xf numFmtId="4" fontId="13" fillId="0" borderId="24" xfId="0" applyNumberFormat="1" applyFont="1" applyBorder="1"/>
    <xf numFmtId="168" fontId="13" fillId="2" borderId="6" xfId="0" applyNumberFormat="1" applyFont="1" applyFill="1" applyBorder="1" applyAlignment="1">
      <alignment horizontal="right"/>
    </xf>
    <xf numFmtId="171" fontId="4" fillId="0" borderId="0" xfId="0" applyNumberFormat="1" applyFont="1"/>
    <xf numFmtId="171" fontId="5" fillId="0" borderId="0" xfId="0" applyNumberFormat="1" applyFont="1" applyAlignment="1">
      <alignment vertical="center" wrapText="1"/>
    </xf>
    <xf numFmtId="171" fontId="9" fillId="0" borderId="0" xfId="0" applyNumberFormat="1" applyFont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171" fontId="21" fillId="0" borderId="0" xfId="0" applyNumberFormat="1" applyFont="1"/>
    <xf numFmtId="171" fontId="22" fillId="0" borderId="0" xfId="0" applyNumberFormat="1" applyFont="1"/>
    <xf numFmtId="172" fontId="13" fillId="0" borderId="14" xfId="0" applyNumberFormat="1" applyFont="1" applyBorder="1" applyAlignment="1">
      <alignment horizontal="right"/>
    </xf>
    <xf numFmtId="168" fontId="13" fillId="0" borderId="0" xfId="0" applyNumberFormat="1" applyFont="1"/>
    <xf numFmtId="4" fontId="5" fillId="0" borderId="23" xfId="0" applyNumberFormat="1" applyFont="1" applyBorder="1" applyAlignment="1">
      <alignment horizontal="right"/>
    </xf>
    <xf numFmtId="4" fontId="5" fillId="0" borderId="24" xfId="0" applyNumberFormat="1" applyFont="1" applyBorder="1"/>
    <xf numFmtId="4" fontId="5" fillId="0" borderId="30" xfId="0" applyNumberFormat="1" applyFont="1" applyBorder="1"/>
    <xf numFmtId="0" fontId="13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168" fontId="13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0" fontId="1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8" fontId="57" fillId="0" borderId="23" xfId="0" applyNumberFormat="1" applyFont="1" applyBorder="1" applyAlignment="1">
      <alignment horizontal="right"/>
    </xf>
    <xf numFmtId="168" fontId="57" fillId="0" borderId="24" xfId="0" applyNumberFormat="1" applyFont="1" applyBorder="1" applyAlignment="1">
      <alignment horizontal="right"/>
    </xf>
    <xf numFmtId="168" fontId="57" fillId="0" borderId="30" xfId="0" applyNumberFormat="1" applyFont="1" applyBorder="1"/>
    <xf numFmtId="169" fontId="13" fillId="0" borderId="24" xfId="0" applyNumberFormat="1" applyFont="1" applyBorder="1" applyAlignment="1">
      <alignment horizontal="right"/>
    </xf>
    <xf numFmtId="172" fontId="13" fillId="0" borderId="24" xfId="0" applyNumberFormat="1" applyFont="1" applyBorder="1" applyAlignment="1">
      <alignment horizontal="right"/>
    </xf>
    <xf numFmtId="168" fontId="13" fillId="0" borderId="1" xfId="0" applyNumberFormat="1" applyFont="1" applyBorder="1" applyAlignment="1">
      <alignment horizontal="center" vertical="center" wrapText="1"/>
    </xf>
    <xf numFmtId="168" fontId="15" fillId="0" borderId="2" xfId="0" applyNumberFormat="1" applyFont="1" applyBorder="1" applyAlignment="1">
      <alignment horizontal="right"/>
    </xf>
    <xf numFmtId="168" fontId="17" fillId="0" borderId="6" xfId="0" applyNumberFormat="1" applyFont="1" applyBorder="1"/>
    <xf numFmtId="168" fontId="5" fillId="0" borderId="4" xfId="0" applyNumberFormat="1" applyFont="1" applyBorder="1" applyAlignment="1">
      <alignment horizontal="right"/>
    </xf>
    <xf numFmtId="0" fontId="13" fillId="0" borderId="12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 wrapText="1"/>
    </xf>
    <xf numFmtId="178" fontId="5" fillId="0" borderId="0" xfId="0" applyNumberFormat="1" applyFont="1" applyAlignment="1">
      <alignment vertical="center" wrapText="1"/>
    </xf>
    <xf numFmtId="0" fontId="13" fillId="0" borderId="46" xfId="0" applyFont="1" applyBorder="1" applyAlignment="1">
      <alignment horizontal="center" vertical="center"/>
    </xf>
    <xf numFmtId="168" fontId="5" fillId="0" borderId="14" xfId="0" applyNumberFormat="1" applyFont="1" applyBorder="1" applyAlignment="1">
      <alignment horizontal="right"/>
    </xf>
    <xf numFmtId="179" fontId="5" fillId="0" borderId="23" xfId="204" applyNumberFormat="1" applyFont="1" applyFill="1" applyBorder="1" applyAlignment="1">
      <alignment horizontal="right"/>
    </xf>
    <xf numFmtId="179" fontId="13" fillId="0" borderId="24" xfId="204" applyNumberFormat="1" applyFont="1" applyFill="1" applyBorder="1" applyAlignment="1">
      <alignment horizontal="right"/>
    </xf>
    <xf numFmtId="179" fontId="13" fillId="0" borderId="24" xfId="204" applyNumberFormat="1" applyFont="1" applyFill="1" applyBorder="1" applyAlignment="1">
      <alignment horizontal="right" vertical="center"/>
    </xf>
    <xf numFmtId="179" fontId="5" fillId="0" borderId="30" xfId="204" applyNumberFormat="1" applyFont="1" applyFill="1" applyBorder="1" applyAlignment="1">
      <alignment horizontal="right"/>
    </xf>
    <xf numFmtId="168" fontId="59" fillId="0" borderId="6" xfId="0" applyNumberFormat="1" applyFont="1" applyBorder="1"/>
    <xf numFmtId="168" fontId="15" fillId="0" borderId="6" xfId="0" applyNumberFormat="1" applyFont="1" applyBorder="1" applyAlignment="1">
      <alignment horizontal="right"/>
    </xf>
    <xf numFmtId="168" fontId="4" fillId="0" borderId="6" xfId="0" applyNumberFormat="1" applyFont="1" applyBorder="1"/>
    <xf numFmtId="168" fontId="4" fillId="0" borderId="25" xfId="0" applyNumberFormat="1" applyFont="1" applyBorder="1"/>
    <xf numFmtId="179" fontId="5" fillId="0" borderId="7" xfId="204" applyNumberFormat="1" applyFont="1" applyFill="1" applyBorder="1" applyAlignment="1">
      <alignment horizontal="right"/>
    </xf>
    <xf numFmtId="179" fontId="5" fillId="0" borderId="31" xfId="204" applyNumberFormat="1" applyFont="1" applyFill="1" applyBorder="1" applyAlignment="1">
      <alignment horizontal="right"/>
    </xf>
    <xf numFmtId="168" fontId="4" fillId="0" borderId="11" xfId="0" applyNumberFormat="1" applyFont="1" applyBorder="1"/>
    <xf numFmtId="168" fontId="4" fillId="0" borderId="24" xfId="0" applyNumberFormat="1" applyFont="1" applyBorder="1"/>
    <xf numFmtId="168" fontId="13" fillId="0" borderId="32" xfId="0" applyNumberFormat="1" applyFont="1" applyBorder="1" applyAlignment="1">
      <alignment horizontal="right"/>
    </xf>
    <xf numFmtId="179" fontId="5" fillId="0" borderId="9" xfId="204" applyNumberFormat="1" applyFont="1" applyFill="1" applyBorder="1" applyAlignment="1">
      <alignment horizontal="right"/>
    </xf>
    <xf numFmtId="179" fontId="5" fillId="0" borderId="26" xfId="204" applyNumberFormat="1" applyFont="1" applyFill="1" applyBorder="1" applyAlignment="1">
      <alignment horizontal="right"/>
    </xf>
    <xf numFmtId="168" fontId="5" fillId="0" borderId="31" xfId="0" applyNumberFormat="1" applyFont="1" applyBorder="1" applyAlignment="1">
      <alignment horizontal="right"/>
    </xf>
    <xf numFmtId="179" fontId="5" fillId="0" borderId="29" xfId="204" applyNumberFormat="1" applyFont="1" applyFill="1" applyBorder="1" applyAlignment="1">
      <alignment horizontal="right"/>
    </xf>
    <xf numFmtId="168" fontId="5" fillId="0" borderId="32" xfId="0" applyNumberFormat="1" applyFont="1" applyBorder="1" applyAlignment="1">
      <alignment horizontal="right"/>
    </xf>
    <xf numFmtId="168" fontId="1" fillId="0" borderId="11" xfId="0" applyNumberFormat="1" applyFont="1" applyBorder="1"/>
    <xf numFmtId="171" fontId="5" fillId="0" borderId="0" xfId="5" applyNumberFormat="1" applyFont="1" applyFill="1" applyBorder="1" applyAlignment="1">
      <alignment vertical="center" wrapText="1"/>
    </xf>
    <xf numFmtId="168" fontId="4" fillId="0" borderId="8" xfId="0" applyNumberFormat="1" applyFont="1" applyBorder="1"/>
    <xf numFmtId="168" fontId="13" fillId="0" borderId="6" xfId="204" applyNumberFormat="1" applyFont="1" applyFill="1" applyBorder="1" applyAlignment="1">
      <alignment horizontal="right"/>
    </xf>
    <xf numFmtId="168" fontId="4" fillId="0" borderId="5" xfId="0" applyNumberFormat="1" applyFont="1" applyBorder="1"/>
    <xf numFmtId="168" fontId="4" fillId="0" borderId="2" xfId="0" applyNumberFormat="1" applyFont="1" applyBorder="1"/>
    <xf numFmtId="0" fontId="13" fillId="0" borderId="24" xfId="0" applyFont="1" applyBorder="1" applyAlignment="1">
      <alignment horizontal="right"/>
    </xf>
    <xf numFmtId="171" fontId="13" fillId="0" borderId="24" xfId="0" applyNumberFormat="1" applyFont="1" applyBorder="1" applyAlignment="1">
      <alignment horizontal="right"/>
    </xf>
    <xf numFmtId="169" fontId="61" fillId="0" borderId="0" xfId="0" applyNumberFormat="1" applyFont="1" applyAlignment="1">
      <alignment vertical="center" wrapText="1"/>
    </xf>
    <xf numFmtId="174" fontId="5" fillId="0" borderId="0" xfId="0" applyNumberFormat="1" applyFont="1" applyAlignment="1">
      <alignment vertical="center" wrapText="1"/>
    </xf>
    <xf numFmtId="180" fontId="5" fillId="0" borderId="0" xfId="204" applyNumberFormat="1" applyFont="1" applyFill="1" applyBorder="1" applyAlignment="1">
      <alignment vertical="center" wrapText="1"/>
    </xf>
    <xf numFmtId="181" fontId="3" fillId="0" borderId="0" xfId="0" applyNumberFormat="1" applyFont="1" applyAlignment="1">
      <alignment vertical="center" wrapText="1"/>
    </xf>
    <xf numFmtId="180" fontId="61" fillId="0" borderId="0" xfId="204" applyNumberFormat="1" applyFont="1" applyFill="1" applyBorder="1" applyAlignment="1">
      <alignment vertical="center" wrapText="1"/>
    </xf>
    <xf numFmtId="171" fontId="5" fillId="0" borderId="0" xfId="0" applyNumberFormat="1" applyFont="1"/>
    <xf numFmtId="168" fontId="4" fillId="0" borderId="14" xfId="0" applyNumberFormat="1" applyFont="1" applyBorder="1"/>
    <xf numFmtId="168" fontId="57" fillId="0" borderId="30" xfId="0" applyNumberFormat="1" applyFont="1" applyBorder="1" applyAlignment="1">
      <alignment horizontal="right"/>
    </xf>
    <xf numFmtId="168" fontId="1" fillId="0" borderId="2" xfId="0" applyNumberFormat="1" applyFont="1" applyBorder="1"/>
    <xf numFmtId="9" fontId="5" fillId="0" borderId="0" xfId="5" applyFont="1" applyAlignment="1">
      <alignment vertical="center" wrapText="1"/>
    </xf>
    <xf numFmtId="168" fontId="57" fillId="0" borderId="7" xfId="0" applyNumberFormat="1" applyFont="1" applyBorder="1" applyAlignment="1">
      <alignment horizontal="right"/>
    </xf>
    <xf numFmtId="173" fontId="13" fillId="0" borderId="24" xfId="0" applyNumberFormat="1" applyFont="1" applyBorder="1" applyAlignment="1">
      <alignment horizontal="right"/>
    </xf>
    <xf numFmtId="166" fontId="5" fillId="0" borderId="0" xfId="0" applyNumberFormat="1" applyFont="1" applyAlignment="1">
      <alignment vertical="center" wrapText="1"/>
    </xf>
    <xf numFmtId="173" fontId="5" fillId="0" borderId="0" xfId="0" applyNumberFormat="1" applyFont="1" applyAlignment="1">
      <alignment vertical="center" wrapText="1"/>
    </xf>
    <xf numFmtId="2" fontId="5" fillId="0" borderId="0" xfId="0" applyNumberFormat="1" applyFont="1"/>
    <xf numFmtId="3" fontId="62" fillId="0" borderId="0" xfId="0" applyNumberFormat="1" applyFont="1"/>
    <xf numFmtId="182" fontId="5" fillId="0" borderId="0" xfId="204" applyNumberFormat="1" applyFont="1" applyAlignment="1">
      <alignment vertical="center" wrapText="1"/>
    </xf>
    <xf numFmtId="183" fontId="5" fillId="0" borderId="0" xfId="0" applyNumberFormat="1" applyFont="1" applyAlignment="1">
      <alignment vertical="center" wrapText="1"/>
    </xf>
    <xf numFmtId="168" fontId="13" fillId="0" borderId="2" xfId="0" applyNumberFormat="1" applyFont="1" applyBorder="1"/>
    <xf numFmtId="176" fontId="5" fillId="0" borderId="0" xfId="0" applyNumberFormat="1" applyFont="1"/>
    <xf numFmtId="1" fontId="5" fillId="0" borderId="0" xfId="0" applyNumberFormat="1" applyFont="1" applyAlignment="1">
      <alignment vertical="center" wrapText="1"/>
    </xf>
    <xf numFmtId="166" fontId="5" fillId="0" borderId="23" xfId="0" applyNumberFormat="1" applyFont="1" applyBorder="1"/>
    <xf numFmtId="166" fontId="5" fillId="0" borderId="24" xfId="0" applyNumberFormat="1" applyFont="1" applyBorder="1"/>
    <xf numFmtId="4" fontId="5" fillId="0" borderId="24" xfId="0" applyNumberFormat="1" applyFont="1" applyBorder="1" applyAlignment="1">
      <alignment horizontal="right"/>
    </xf>
    <xf numFmtId="180" fontId="5" fillId="0" borderId="0" xfId="204" applyNumberFormat="1" applyFont="1" applyAlignment="1">
      <alignment vertical="center" wrapText="1"/>
    </xf>
    <xf numFmtId="165" fontId="63" fillId="0" borderId="0" xfId="0" applyNumberFormat="1" applyFont="1"/>
    <xf numFmtId="166" fontId="63" fillId="0" borderId="0" xfId="0" applyNumberFormat="1" applyFont="1"/>
    <xf numFmtId="164" fontId="15" fillId="0" borderId="0" xfId="0" applyNumberFormat="1" applyFont="1"/>
    <xf numFmtId="168" fontId="13" fillId="0" borderId="11" xfId="0" applyNumberFormat="1" applyFont="1" applyBorder="1"/>
    <xf numFmtId="184" fontId="5" fillId="0" borderId="0" xfId="0" applyNumberFormat="1" applyFont="1" applyAlignment="1">
      <alignment vertical="center" wrapText="1"/>
    </xf>
    <xf numFmtId="180" fontId="5" fillId="0" borderId="0" xfId="0" applyNumberFormat="1" applyFont="1" applyAlignment="1">
      <alignment vertical="center" wrapText="1"/>
    </xf>
    <xf numFmtId="168" fontId="13" fillId="0" borderId="30" xfId="0" applyNumberFormat="1" applyFont="1" applyBorder="1" applyAlignment="1">
      <alignment horizontal="right"/>
    </xf>
    <xf numFmtId="168" fontId="19" fillId="0" borderId="14" xfId="0" applyNumberFormat="1" applyFont="1" applyBorder="1" applyAlignment="1">
      <alignment horizontal="right"/>
    </xf>
    <xf numFmtId="0" fontId="64" fillId="0" borderId="0" xfId="0" applyFont="1" applyAlignment="1">
      <alignment vertical="center" wrapText="1"/>
    </xf>
    <xf numFmtId="171" fontId="61" fillId="0" borderId="0" xfId="0" applyNumberFormat="1" applyFont="1" applyAlignment="1">
      <alignment vertical="center" wrapText="1"/>
    </xf>
    <xf numFmtId="0" fontId="18" fillId="0" borderId="0" xfId="0" applyFont="1"/>
    <xf numFmtId="0" fontId="11" fillId="0" borderId="0" xfId="0" applyFont="1"/>
    <xf numFmtId="0" fontId="15" fillId="0" borderId="0" xfId="0" applyFont="1"/>
    <xf numFmtId="0" fontId="66" fillId="0" borderId="0" xfId="0" applyFont="1"/>
    <xf numFmtId="164" fontId="67" fillId="0" borderId="0" xfId="0" applyNumberFormat="1" applyFont="1"/>
    <xf numFmtId="0" fontId="67" fillId="0" borderId="0" xfId="0" applyFont="1"/>
    <xf numFmtId="172" fontId="5" fillId="0" borderId="0" xfId="0" applyNumberFormat="1" applyFont="1"/>
    <xf numFmtId="174" fontId="0" fillId="0" borderId="0" xfId="0" applyNumberFormat="1"/>
    <xf numFmtId="4" fontId="5" fillId="0" borderId="0" xfId="0" applyNumberFormat="1" applyFont="1"/>
    <xf numFmtId="168" fontId="9" fillId="0" borderId="0" xfId="0" applyNumberFormat="1" applyFont="1"/>
    <xf numFmtId="168" fontId="56" fillId="0" borderId="0" xfId="0" applyNumberFormat="1" applyFont="1"/>
    <xf numFmtId="0" fontId="56" fillId="0" borderId="0" xfId="0" applyFont="1"/>
    <xf numFmtId="0" fontId="68" fillId="0" borderId="0" xfId="0" applyFont="1"/>
    <xf numFmtId="0" fontId="1" fillId="0" borderId="0" xfId="0" applyFont="1" applyAlignment="1">
      <alignment wrapText="1"/>
    </xf>
    <xf numFmtId="3" fontId="13" fillId="0" borderId="24" xfId="0" applyNumberFormat="1" applyFont="1" applyBorder="1" applyAlignment="1">
      <alignment horizontal="right"/>
    </xf>
    <xf numFmtId="1" fontId="13" fillId="0" borderId="0" xfId="0" applyNumberFormat="1" applyFont="1"/>
    <xf numFmtId="175" fontId="13" fillId="0" borderId="0" xfId="0" applyNumberFormat="1" applyFont="1"/>
    <xf numFmtId="169" fontId="15" fillId="0" borderId="0" xfId="0" applyNumberFormat="1" applyFont="1"/>
    <xf numFmtId="171" fontId="3" fillId="0" borderId="0" xfId="0" applyNumberFormat="1" applyFont="1" applyAlignment="1">
      <alignment vertical="center" wrapText="1"/>
    </xf>
    <xf numFmtId="177" fontId="3" fillId="0" borderId="0" xfId="5" applyNumberFormat="1" applyFont="1" applyAlignment="1">
      <alignment vertical="center" wrapText="1"/>
    </xf>
    <xf numFmtId="177" fontId="5" fillId="0" borderId="0" xfId="5" applyNumberFormat="1" applyFont="1" applyAlignment="1">
      <alignment vertical="center" wrapText="1"/>
    </xf>
    <xf numFmtId="168" fontId="13" fillId="0" borderId="33" xfId="0" applyNumberFormat="1" applyFont="1" applyBorder="1"/>
    <xf numFmtId="179" fontId="13" fillId="0" borderId="33" xfId="204" applyNumberFormat="1" applyFont="1" applyFill="1" applyBorder="1" applyAlignment="1">
      <alignment horizontal="right"/>
    </xf>
    <xf numFmtId="168" fontId="13" fillId="0" borderId="49" xfId="0" applyNumberFormat="1" applyFont="1" applyBorder="1" applyAlignment="1">
      <alignment horizontal="right"/>
    </xf>
    <xf numFmtId="168" fontId="17" fillId="0" borderId="33" xfId="0" applyNumberFormat="1" applyFont="1" applyBorder="1" applyAlignment="1">
      <alignment horizontal="right"/>
    </xf>
    <xf numFmtId="179" fontId="5" fillId="0" borderId="14" xfId="204" applyNumberFormat="1" applyFont="1" applyFill="1" applyBorder="1" applyAlignment="1">
      <alignment horizontal="right"/>
    </xf>
    <xf numFmtId="179" fontId="5" fillId="0" borderId="5" xfId="204" applyNumberFormat="1" applyFont="1" applyFill="1" applyBorder="1" applyAlignment="1">
      <alignment horizontal="right"/>
    </xf>
    <xf numFmtId="179" fontId="5" fillId="0" borderId="32" xfId="204" applyNumberFormat="1" applyFont="1" applyFill="1" applyBorder="1" applyAlignment="1">
      <alignment horizontal="right"/>
    </xf>
    <xf numFmtId="168" fontId="57" fillId="0" borderId="14" xfId="0" applyNumberFormat="1" applyFont="1" applyBorder="1" applyAlignment="1">
      <alignment horizontal="right"/>
    </xf>
    <xf numFmtId="168" fontId="13" fillId="0" borderId="7" xfId="0" applyNumberFormat="1" applyFont="1" applyBorder="1" applyAlignment="1">
      <alignment horizontal="right"/>
    </xf>
    <xf numFmtId="169" fontId="5" fillId="0" borderId="0" xfId="0" applyNumberFormat="1" applyFont="1" applyAlignment="1">
      <alignment vertical="center" wrapText="1"/>
    </xf>
    <xf numFmtId="185" fontId="5" fillId="0" borderId="0" xfId="204" applyNumberFormat="1" applyFont="1" applyAlignment="1">
      <alignment vertical="center" wrapText="1"/>
    </xf>
    <xf numFmtId="179" fontId="5" fillId="0" borderId="14" xfId="204" applyNumberFormat="1" applyFont="1" applyBorder="1" applyAlignment="1">
      <alignment horizontal="right"/>
    </xf>
    <xf numFmtId="4" fontId="17" fillId="0" borderId="24" xfId="0" applyNumberFormat="1" applyFont="1" applyBorder="1"/>
    <xf numFmtId="172" fontId="63" fillId="0" borderId="0" xfId="0" applyNumberFormat="1" applyFont="1"/>
    <xf numFmtId="165" fontId="4" fillId="0" borderId="2" xfId="0" applyNumberFormat="1" applyFont="1" applyBorder="1"/>
    <xf numFmtId="0" fontId="5" fillId="46" borderId="1" xfId="0" applyFont="1" applyFill="1" applyBorder="1" applyAlignment="1">
      <alignment horizontal="center" vertical="center"/>
    </xf>
    <xf numFmtId="0" fontId="9" fillId="46" borderId="1" xfId="0" applyFont="1" applyFill="1" applyBorder="1" applyAlignment="1">
      <alignment horizontal="center" vertical="center"/>
    </xf>
    <xf numFmtId="0" fontId="13" fillId="46" borderId="1" xfId="0" applyFont="1" applyFill="1" applyBorder="1" applyAlignment="1">
      <alignment horizontal="center" vertical="center"/>
    </xf>
    <xf numFmtId="0" fontId="21" fillId="46" borderId="1" xfId="0" applyFont="1" applyFill="1" applyBorder="1" applyAlignment="1">
      <alignment horizontal="center" vertical="center" wrapText="1"/>
    </xf>
    <xf numFmtId="168" fontId="5" fillId="46" borderId="23" xfId="0" applyNumberFormat="1" applyFont="1" applyFill="1" applyBorder="1"/>
    <xf numFmtId="168" fontId="9" fillId="46" borderId="24" xfId="0" applyNumberFormat="1" applyFont="1" applyFill="1" applyBorder="1" applyAlignment="1">
      <alignment horizontal="right"/>
    </xf>
    <xf numFmtId="168" fontId="13" fillId="46" borderId="24" xfId="0" applyNumberFormat="1" applyFont="1" applyFill="1" applyBorder="1" applyAlignment="1">
      <alignment horizontal="right"/>
    </xf>
    <xf numFmtId="168" fontId="20" fillId="46" borderId="24" xfId="0" applyNumberFormat="1" applyFont="1" applyFill="1" applyBorder="1" applyAlignment="1">
      <alignment horizontal="right"/>
    </xf>
    <xf numFmtId="168" fontId="5" fillId="46" borderId="24" xfId="0" applyNumberFormat="1" applyFont="1" applyFill="1" applyBorder="1" applyAlignment="1">
      <alignment horizontal="right"/>
    </xf>
    <xf numFmtId="168" fontId="9" fillId="46" borderId="24" xfId="0" applyNumberFormat="1" applyFont="1" applyFill="1" applyBorder="1"/>
    <xf numFmtId="168" fontId="20" fillId="46" borderId="24" xfId="0" applyNumberFormat="1" applyFont="1" applyFill="1" applyBorder="1"/>
    <xf numFmtId="168" fontId="70" fillId="46" borderId="24" xfId="0" applyNumberFormat="1" applyFont="1" applyFill="1" applyBorder="1"/>
    <xf numFmtId="168" fontId="9" fillId="46" borderId="30" xfId="0" applyNumberFormat="1" applyFont="1" applyFill="1" applyBorder="1"/>
    <xf numFmtId="168" fontId="13" fillId="46" borderId="24" xfId="0" applyNumberFormat="1" applyFont="1" applyFill="1" applyBorder="1"/>
    <xf numFmtId="168" fontId="5" fillId="46" borderId="24" xfId="0" applyNumberFormat="1" applyFont="1" applyFill="1" applyBorder="1"/>
    <xf numFmtId="168" fontId="4" fillId="46" borderId="2" xfId="0" applyNumberFormat="1" applyFont="1" applyFill="1" applyBorder="1"/>
    <xf numFmtId="168" fontId="5" fillId="46" borderId="30" xfId="0" applyNumberFormat="1" applyFont="1" applyFill="1" applyBorder="1"/>
    <xf numFmtId="0" fontId="9" fillId="46" borderId="3" xfId="0" applyFont="1" applyFill="1" applyBorder="1" applyAlignment="1">
      <alignment horizontal="center" vertical="center"/>
    </xf>
    <xf numFmtId="0" fontId="13" fillId="46" borderId="3" xfId="0" applyFont="1" applyFill="1" applyBorder="1" applyAlignment="1">
      <alignment horizontal="center" vertical="center"/>
    </xf>
    <xf numFmtId="0" fontId="13" fillId="46" borderId="1" xfId="0" applyFont="1" applyFill="1" applyBorder="1" applyAlignment="1">
      <alignment horizontal="center" vertical="center" wrapText="1"/>
    </xf>
    <xf numFmtId="168" fontId="5" fillId="46" borderId="23" xfId="0" applyNumberFormat="1" applyFont="1" applyFill="1" applyBorder="1" applyAlignment="1">
      <alignment horizontal="right"/>
    </xf>
    <xf numFmtId="168" fontId="5" fillId="46" borderId="6" xfId="0" applyNumberFormat="1" applyFont="1" applyFill="1" applyBorder="1" applyAlignment="1">
      <alignment horizontal="right"/>
    </xf>
    <xf numFmtId="168" fontId="13" fillId="46" borderId="6" xfId="0" applyNumberFormat="1" applyFont="1" applyFill="1" applyBorder="1" applyAlignment="1">
      <alignment horizontal="right"/>
    </xf>
    <xf numFmtId="168" fontId="20" fillId="46" borderId="33" xfId="0" applyNumberFormat="1" applyFont="1" applyFill="1" applyBorder="1" applyAlignment="1">
      <alignment horizontal="right"/>
    </xf>
    <xf numFmtId="168" fontId="9" fillId="46" borderId="14" xfId="0" applyNumberFormat="1" applyFont="1" applyFill="1" applyBorder="1" applyAlignment="1">
      <alignment horizontal="right"/>
    </xf>
    <xf numFmtId="168" fontId="5" fillId="46" borderId="7" xfId="0" applyNumberFormat="1" applyFont="1" applyFill="1" applyBorder="1" applyAlignment="1">
      <alignment horizontal="right"/>
    </xf>
    <xf numFmtId="168" fontId="5" fillId="46" borderId="30" xfId="0" applyNumberFormat="1" applyFont="1" applyFill="1" applyBorder="1" applyAlignment="1">
      <alignment horizontal="right"/>
    </xf>
    <xf numFmtId="168" fontId="9" fillId="46" borderId="30" xfId="0" applyNumberFormat="1" applyFont="1" applyFill="1" applyBorder="1" applyAlignment="1">
      <alignment horizontal="right"/>
    </xf>
    <xf numFmtId="0" fontId="5" fillId="46" borderId="1" xfId="0" applyFont="1" applyFill="1" applyBorder="1" applyAlignment="1">
      <alignment horizontal="center" vertical="center" wrapText="1"/>
    </xf>
    <xf numFmtId="168" fontId="5" fillId="46" borderId="9" xfId="0" applyNumberFormat="1" applyFont="1" applyFill="1" applyBorder="1"/>
    <xf numFmtId="168" fontId="13" fillId="46" borderId="6" xfId="0" applyNumberFormat="1" applyFont="1" applyFill="1" applyBorder="1"/>
    <xf numFmtId="168" fontId="5" fillId="46" borderId="6" xfId="0" applyNumberFormat="1" applyFont="1" applyFill="1" applyBorder="1"/>
    <xf numFmtId="168" fontId="5" fillId="46" borderId="7" xfId="0" applyNumberFormat="1" applyFont="1" applyFill="1" applyBorder="1"/>
    <xf numFmtId="168" fontId="9" fillId="46" borderId="26" xfId="0" applyNumberFormat="1" applyFont="1" applyFill="1" applyBorder="1"/>
    <xf numFmtId="0" fontId="20" fillId="46" borderId="1" xfId="0" applyFont="1" applyFill="1" applyBorder="1" applyAlignment="1">
      <alignment horizontal="center" vertical="center" wrapText="1"/>
    </xf>
    <xf numFmtId="168" fontId="5" fillId="46" borderId="9" xfId="0" applyNumberFormat="1" applyFont="1" applyFill="1" applyBorder="1" applyAlignment="1">
      <alignment horizontal="right"/>
    </xf>
    <xf numFmtId="168" fontId="9" fillId="46" borderId="7" xfId="0" applyNumberFormat="1" applyFont="1" applyFill="1" applyBorder="1" applyAlignment="1">
      <alignment horizontal="right"/>
    </xf>
    <xf numFmtId="168" fontId="13" fillId="46" borderId="5" xfId="0" applyNumberFormat="1" applyFont="1" applyFill="1" applyBorder="1" applyAlignment="1">
      <alignment horizontal="right"/>
    </xf>
    <xf numFmtId="168" fontId="20" fillId="46" borderId="14" xfId="0" applyNumberFormat="1" applyFont="1" applyFill="1" applyBorder="1" applyAlignment="1">
      <alignment horizontal="right"/>
    </xf>
    <xf numFmtId="168" fontId="20" fillId="46" borderId="14" xfId="0" applyNumberFormat="1" applyFont="1" applyFill="1" applyBorder="1" applyAlignment="1">
      <alignment horizontal="right" vertical="center"/>
    </xf>
    <xf numFmtId="168" fontId="20" fillId="46" borderId="14" xfId="0" applyNumberFormat="1" applyFont="1" applyFill="1" applyBorder="1"/>
    <xf numFmtId="168" fontId="5" fillId="46" borderId="5" xfId="0" applyNumberFormat="1" applyFont="1" applyFill="1" applyBorder="1" applyAlignment="1">
      <alignment horizontal="right"/>
    </xf>
    <xf numFmtId="168" fontId="60" fillId="46" borderId="14" xfId="0" applyNumberFormat="1" applyFont="1" applyFill="1" applyBorder="1" applyAlignment="1">
      <alignment horizontal="right"/>
    </xf>
    <xf numFmtId="168" fontId="13" fillId="0" borderId="6" xfId="0" applyNumberFormat="1" applyFont="1" applyBorder="1" applyAlignment="1">
      <alignment horizontal="left" vertical="top" wrapText="1" indent="2"/>
    </xf>
    <xf numFmtId="168" fontId="13" fillId="0" borderId="6" xfId="0" applyNumberFormat="1" applyFont="1" applyBorder="1" applyAlignment="1">
      <alignment horizontal="left"/>
    </xf>
    <xf numFmtId="168" fontId="13" fillId="0" borderId="6" xfId="0" applyNumberFormat="1" applyFont="1" applyBorder="1" applyAlignment="1">
      <alignment horizontal="left" vertical="center"/>
    </xf>
    <xf numFmtId="168" fontId="17" fillId="0" borderId="6" xfId="0" applyNumberFormat="1" applyFont="1" applyBorder="1" applyAlignment="1">
      <alignment horizontal="left"/>
    </xf>
    <xf numFmtId="168" fontId="4" fillId="0" borderId="28" xfId="0" applyNumberFormat="1" applyFont="1" applyBorder="1"/>
    <xf numFmtId="168" fontId="4" fillId="0" borderId="17" xfId="0" applyNumberFormat="1" applyFont="1" applyBorder="1"/>
    <xf numFmtId="168" fontId="13" fillId="0" borderId="8" xfId="0" applyNumberFormat="1" applyFont="1" applyBorder="1" applyAlignment="1">
      <alignment horizontal="left"/>
    </xf>
    <xf numFmtId="4" fontId="13" fillId="0" borderId="6" xfId="0" applyNumberFormat="1" applyFont="1" applyBorder="1"/>
    <xf numFmtId="169" fontId="13" fillId="0" borderId="6" xfId="0" applyNumberFormat="1" applyFont="1" applyBorder="1" applyAlignment="1">
      <alignment horizontal="left"/>
    </xf>
    <xf numFmtId="168" fontId="13" fillId="44" borderId="24" xfId="0" applyNumberFormat="1" applyFont="1" applyFill="1" applyBorder="1"/>
    <xf numFmtId="173" fontId="13" fillId="0" borderId="24" xfId="0" applyNumberFormat="1" applyFont="1" applyBorder="1"/>
    <xf numFmtId="173" fontId="13" fillId="0" borderId="2" xfId="0" applyNumberFormat="1" applyFont="1" applyBorder="1"/>
    <xf numFmtId="168" fontId="13" fillId="0" borderId="21" xfId="0" applyNumberFormat="1" applyFont="1" applyBorder="1" applyAlignment="1">
      <alignment horizontal="left"/>
    </xf>
    <xf numFmtId="186" fontId="71" fillId="0" borderId="0" xfId="5" applyNumberFormat="1" applyFont="1" applyAlignment="1">
      <alignment vertical="center" wrapText="1"/>
    </xf>
    <xf numFmtId="168" fontId="9" fillId="46" borderId="7" xfId="0" applyNumberFormat="1" applyFont="1" applyFill="1" applyBorder="1"/>
    <xf numFmtId="0" fontId="13" fillId="0" borderId="4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165" fontId="72" fillId="0" borderId="0" xfId="0" applyNumberFormat="1" applyFont="1"/>
    <xf numFmtId="168" fontId="13" fillId="0" borderId="17" xfId="0" applyNumberFormat="1" applyFont="1" applyBorder="1" applyAlignment="1">
      <alignment horizontal="left" indent="1"/>
    </xf>
    <xf numFmtId="168" fontId="13" fillId="0" borderId="17" xfId="0" applyNumberFormat="1" applyFont="1" applyBorder="1" applyAlignment="1">
      <alignment horizontal="left" wrapText="1" indent="2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4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46" borderId="10" xfId="0" applyFont="1" applyFill="1" applyBorder="1" applyAlignment="1">
      <alignment horizontal="center" vertical="center"/>
    </xf>
    <xf numFmtId="0" fontId="5" fillId="46" borderId="12" xfId="0" applyFont="1" applyFill="1" applyBorder="1" applyAlignment="1">
      <alignment horizontal="center" vertical="center"/>
    </xf>
    <xf numFmtId="0" fontId="5" fillId="46" borderId="3" xfId="0" applyFont="1" applyFill="1" applyBorder="1" applyAlignment="1">
      <alignment horizontal="center" vertical="center"/>
    </xf>
    <xf numFmtId="0" fontId="13" fillId="46" borderId="10" xfId="0" applyFont="1" applyFill="1" applyBorder="1" applyAlignment="1">
      <alignment horizontal="center" vertical="center"/>
    </xf>
    <xf numFmtId="0" fontId="13" fillId="46" borderId="12" xfId="0" applyFont="1" applyFill="1" applyBorder="1" applyAlignment="1">
      <alignment horizontal="center" vertical="center"/>
    </xf>
    <xf numFmtId="0" fontId="13" fillId="46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4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</cellXfs>
  <cellStyles count="208">
    <cellStyle name="20% - Accent1 2" xfId="100" xr:uid="{00000000-0005-0000-0000-000000000000}"/>
    <cellStyle name="20% - Accent2 2" xfId="101" xr:uid="{00000000-0005-0000-0000-000001000000}"/>
    <cellStyle name="20% - Accent3 2" xfId="102" xr:uid="{00000000-0005-0000-0000-000002000000}"/>
    <cellStyle name="20% - Accent4 2" xfId="103" xr:uid="{00000000-0005-0000-0000-000003000000}"/>
    <cellStyle name="20% - Accent5 2" xfId="104" xr:uid="{00000000-0005-0000-0000-000004000000}"/>
    <cellStyle name="20% - Accent6 2" xfId="105" xr:uid="{00000000-0005-0000-0000-000005000000}"/>
    <cellStyle name="40% - Accent1 2" xfId="106" xr:uid="{00000000-0005-0000-0000-000006000000}"/>
    <cellStyle name="40% - Accent2 2" xfId="107" xr:uid="{00000000-0005-0000-0000-000007000000}"/>
    <cellStyle name="40% - Accent3 2" xfId="108" xr:uid="{00000000-0005-0000-0000-000008000000}"/>
    <cellStyle name="40% - Accent4 2" xfId="109" xr:uid="{00000000-0005-0000-0000-000009000000}"/>
    <cellStyle name="40% - Accent5 2" xfId="110" xr:uid="{00000000-0005-0000-0000-00000A000000}"/>
    <cellStyle name="40% - Accent6 2" xfId="111" xr:uid="{00000000-0005-0000-0000-00000B000000}"/>
    <cellStyle name="60% - Accent1 2" xfId="112" xr:uid="{00000000-0005-0000-0000-00000C000000}"/>
    <cellStyle name="60% - Accent2 2" xfId="113" xr:uid="{00000000-0005-0000-0000-00000D000000}"/>
    <cellStyle name="60% - Accent3 2" xfId="114" xr:uid="{00000000-0005-0000-0000-00000E000000}"/>
    <cellStyle name="60% - Accent4 2" xfId="115" xr:uid="{00000000-0005-0000-0000-00000F000000}"/>
    <cellStyle name="60% - Accent5 2" xfId="116" xr:uid="{00000000-0005-0000-0000-000010000000}"/>
    <cellStyle name="60% - Accent6 2" xfId="117" xr:uid="{00000000-0005-0000-0000-000011000000}"/>
    <cellStyle name="Accent1 - 20%" xfId="6" xr:uid="{00000000-0005-0000-0000-000012000000}"/>
    <cellStyle name="Accent1 - 40%" xfId="7" xr:uid="{00000000-0005-0000-0000-000013000000}"/>
    <cellStyle name="Accent1 - 60%" xfId="8" xr:uid="{00000000-0005-0000-0000-000014000000}"/>
    <cellStyle name="Accent1 10" xfId="199" xr:uid="{00000000-0005-0000-0000-000015000000}"/>
    <cellStyle name="Accent1 11" xfId="202" xr:uid="{00000000-0005-0000-0000-000016000000}"/>
    <cellStyle name="Accent1 2" xfId="118" xr:uid="{00000000-0005-0000-0000-000017000000}"/>
    <cellStyle name="Accent1 3" xfId="155" xr:uid="{00000000-0005-0000-0000-000018000000}"/>
    <cellStyle name="Accent1 4" xfId="179" xr:uid="{00000000-0005-0000-0000-000019000000}"/>
    <cellStyle name="Accent1 5" xfId="163" xr:uid="{00000000-0005-0000-0000-00001A000000}"/>
    <cellStyle name="Accent1 6" xfId="183" xr:uid="{00000000-0005-0000-0000-00001B000000}"/>
    <cellStyle name="Accent1 7" xfId="190" xr:uid="{00000000-0005-0000-0000-00001C000000}"/>
    <cellStyle name="Accent1 8" xfId="192" xr:uid="{00000000-0005-0000-0000-00001D000000}"/>
    <cellStyle name="Accent1 9" xfId="160" xr:uid="{00000000-0005-0000-0000-00001E000000}"/>
    <cellStyle name="Accent2 - 20%" xfId="9" xr:uid="{00000000-0005-0000-0000-00001F000000}"/>
    <cellStyle name="Accent2 - 40%" xfId="10" xr:uid="{00000000-0005-0000-0000-000020000000}"/>
    <cellStyle name="Accent2 - 60%" xfId="11" xr:uid="{00000000-0005-0000-0000-000021000000}"/>
    <cellStyle name="Accent2 10" xfId="198" xr:uid="{00000000-0005-0000-0000-000022000000}"/>
    <cellStyle name="Accent2 11" xfId="201" xr:uid="{00000000-0005-0000-0000-000023000000}"/>
    <cellStyle name="Accent2 2" xfId="119" xr:uid="{00000000-0005-0000-0000-000024000000}"/>
    <cellStyle name="Accent2 3" xfId="152" xr:uid="{00000000-0005-0000-0000-000025000000}"/>
    <cellStyle name="Accent2 4" xfId="177" xr:uid="{00000000-0005-0000-0000-000026000000}"/>
    <cellStyle name="Accent2 5" xfId="161" xr:uid="{00000000-0005-0000-0000-000027000000}"/>
    <cellStyle name="Accent2 6" xfId="180" xr:uid="{00000000-0005-0000-0000-000028000000}"/>
    <cellStyle name="Accent2 7" xfId="164" xr:uid="{00000000-0005-0000-0000-000029000000}"/>
    <cellStyle name="Accent2 8" xfId="191" xr:uid="{00000000-0005-0000-0000-00002A000000}"/>
    <cellStyle name="Accent2 9" xfId="153" xr:uid="{00000000-0005-0000-0000-00002B000000}"/>
    <cellStyle name="Accent3 - 20%" xfId="12" xr:uid="{00000000-0005-0000-0000-00002C000000}"/>
    <cellStyle name="Accent3 - 40%" xfId="13" xr:uid="{00000000-0005-0000-0000-00002D000000}"/>
    <cellStyle name="Accent3 - 60%" xfId="14" xr:uid="{00000000-0005-0000-0000-00002E000000}"/>
    <cellStyle name="Accent3 10" xfId="197" xr:uid="{00000000-0005-0000-0000-00002F000000}"/>
    <cellStyle name="Accent3 11" xfId="200" xr:uid="{00000000-0005-0000-0000-000030000000}"/>
    <cellStyle name="Accent3 2" xfId="121" xr:uid="{00000000-0005-0000-0000-000031000000}"/>
    <cellStyle name="Accent3 3" xfId="149" xr:uid="{00000000-0005-0000-0000-000032000000}"/>
    <cellStyle name="Accent3 4" xfId="175" xr:uid="{00000000-0005-0000-0000-000033000000}"/>
    <cellStyle name="Accent3 5" xfId="158" xr:uid="{00000000-0005-0000-0000-000034000000}"/>
    <cellStyle name="Accent3 6" xfId="176" xr:uid="{00000000-0005-0000-0000-000035000000}"/>
    <cellStyle name="Accent3 7" xfId="162" xr:uid="{00000000-0005-0000-0000-000036000000}"/>
    <cellStyle name="Accent3 8" xfId="187" xr:uid="{00000000-0005-0000-0000-000037000000}"/>
    <cellStyle name="Accent3 9" xfId="147" xr:uid="{00000000-0005-0000-0000-000038000000}"/>
    <cellStyle name="Accent4 - 20%" xfId="15" xr:uid="{00000000-0005-0000-0000-000039000000}"/>
    <cellStyle name="Accent4 - 40%" xfId="16" xr:uid="{00000000-0005-0000-0000-00003A000000}"/>
    <cellStyle name="Accent4 - 60%" xfId="17" xr:uid="{00000000-0005-0000-0000-00003B000000}"/>
    <cellStyle name="Accent4 10" xfId="196" xr:uid="{00000000-0005-0000-0000-00003C000000}"/>
    <cellStyle name="Accent4 11" xfId="157" xr:uid="{00000000-0005-0000-0000-00003D000000}"/>
    <cellStyle name="Accent4 2" xfId="123" xr:uid="{00000000-0005-0000-0000-00003E000000}"/>
    <cellStyle name="Accent4 3" xfId="146" xr:uid="{00000000-0005-0000-0000-00003F000000}"/>
    <cellStyle name="Accent4 4" xfId="172" xr:uid="{00000000-0005-0000-0000-000040000000}"/>
    <cellStyle name="Accent4 5" xfId="156" xr:uid="{00000000-0005-0000-0000-000041000000}"/>
    <cellStyle name="Accent4 6" xfId="173" xr:uid="{00000000-0005-0000-0000-000042000000}"/>
    <cellStyle name="Accent4 7" xfId="159" xr:uid="{00000000-0005-0000-0000-000043000000}"/>
    <cellStyle name="Accent4 8" xfId="185" xr:uid="{00000000-0005-0000-0000-000044000000}"/>
    <cellStyle name="Accent4 9" xfId="143" xr:uid="{00000000-0005-0000-0000-000045000000}"/>
    <cellStyle name="Accent5 - 20%" xfId="18" xr:uid="{00000000-0005-0000-0000-000046000000}"/>
    <cellStyle name="Accent5 - 40%" xfId="19" xr:uid="{00000000-0005-0000-0000-000047000000}"/>
    <cellStyle name="Accent5 - 60%" xfId="20" xr:uid="{00000000-0005-0000-0000-000048000000}"/>
    <cellStyle name="Accent5 10" xfId="195" xr:uid="{00000000-0005-0000-0000-000049000000}"/>
    <cellStyle name="Accent5 11" xfId="145" xr:uid="{00000000-0005-0000-0000-00004A000000}"/>
    <cellStyle name="Accent5 2" xfId="124" xr:uid="{00000000-0005-0000-0000-00004B000000}"/>
    <cellStyle name="Accent5 3" xfId="144" xr:uid="{00000000-0005-0000-0000-00004C000000}"/>
    <cellStyle name="Accent5 4" xfId="170" xr:uid="{00000000-0005-0000-0000-00004D000000}"/>
    <cellStyle name="Accent5 5" xfId="151" xr:uid="{00000000-0005-0000-0000-00004E000000}"/>
    <cellStyle name="Accent5 6" xfId="171" xr:uid="{00000000-0005-0000-0000-00004F000000}"/>
    <cellStyle name="Accent5 7" xfId="154" xr:uid="{00000000-0005-0000-0000-000050000000}"/>
    <cellStyle name="Accent5 8" xfId="178" xr:uid="{00000000-0005-0000-0000-000051000000}"/>
    <cellStyle name="Accent5 9" xfId="193" xr:uid="{00000000-0005-0000-0000-000052000000}"/>
    <cellStyle name="Accent6 - 20%" xfId="21" xr:uid="{00000000-0005-0000-0000-000053000000}"/>
    <cellStyle name="Accent6 - 40%" xfId="22" xr:uid="{00000000-0005-0000-0000-000054000000}"/>
    <cellStyle name="Accent6 - 60%" xfId="23" xr:uid="{00000000-0005-0000-0000-000055000000}"/>
    <cellStyle name="Accent6 10" xfId="194" xr:uid="{00000000-0005-0000-0000-000056000000}"/>
    <cellStyle name="Accent6 11" xfId="142" xr:uid="{00000000-0005-0000-0000-000057000000}"/>
    <cellStyle name="Accent6 2" xfId="125" xr:uid="{00000000-0005-0000-0000-000058000000}"/>
    <cellStyle name="Accent6 3" xfId="141" xr:uid="{00000000-0005-0000-0000-000059000000}"/>
    <cellStyle name="Accent6 4" xfId="165" xr:uid="{00000000-0005-0000-0000-00005A000000}"/>
    <cellStyle name="Accent6 5" xfId="148" xr:uid="{00000000-0005-0000-0000-00005B000000}"/>
    <cellStyle name="Accent6 6" xfId="120" xr:uid="{00000000-0005-0000-0000-00005C000000}"/>
    <cellStyle name="Accent6 7" xfId="150" xr:uid="{00000000-0005-0000-0000-00005D000000}"/>
    <cellStyle name="Accent6 8" xfId="174" xr:uid="{00000000-0005-0000-0000-00005E000000}"/>
    <cellStyle name="Accent6 9" xfId="126" xr:uid="{00000000-0005-0000-0000-00005F000000}"/>
    <cellStyle name="Bad 2" xfId="127" xr:uid="{00000000-0005-0000-0000-000060000000}"/>
    <cellStyle name="Calculation 2" xfId="128" xr:uid="{00000000-0005-0000-0000-000061000000}"/>
    <cellStyle name="Check Cell 2" xfId="129" xr:uid="{00000000-0005-0000-0000-000062000000}"/>
    <cellStyle name="Comma" xfId="204" builtinId="3"/>
    <cellStyle name="Emphasis 1" xfId="24" xr:uid="{00000000-0005-0000-0000-000064000000}"/>
    <cellStyle name="Emphasis 2" xfId="25" xr:uid="{00000000-0005-0000-0000-000065000000}"/>
    <cellStyle name="Emphasis 3" xfId="26" xr:uid="{00000000-0005-0000-0000-000066000000}"/>
    <cellStyle name="Excel Built-in Normal" xfId="205" xr:uid="{6EB9FC42-EFFA-4643-A346-DD16D1652A82}"/>
    <cellStyle name="Excel Built-in Normal 2" xfId="207" xr:uid="{9C6099D7-1796-4D5D-8C64-CA9DE51D73FE}"/>
    <cellStyle name="Explanatory Text 2" xfId="130" xr:uid="{00000000-0005-0000-0000-000067000000}"/>
    <cellStyle name="Good 2" xfId="131" xr:uid="{00000000-0005-0000-0000-000068000000}"/>
    <cellStyle name="Heading 1 2" xfId="132" xr:uid="{00000000-0005-0000-0000-000069000000}"/>
    <cellStyle name="Heading 2 2" xfId="133" xr:uid="{00000000-0005-0000-0000-00006A000000}"/>
    <cellStyle name="Heading 3 2" xfId="134" xr:uid="{00000000-0005-0000-0000-00006B000000}"/>
    <cellStyle name="Heading 4 2" xfId="135" xr:uid="{00000000-0005-0000-0000-00006C000000}"/>
    <cellStyle name="Input 2" xfId="136" xr:uid="{00000000-0005-0000-0000-00006D000000}"/>
    <cellStyle name="Linked Cell 2" xfId="137" xr:uid="{00000000-0005-0000-0000-00006E000000}"/>
    <cellStyle name="Neutral 2" xfId="138" xr:uid="{00000000-0005-0000-0000-00006F000000}"/>
    <cellStyle name="Normal" xfId="0" builtinId="0"/>
    <cellStyle name="Normal 10" xfId="4" xr:uid="{00000000-0005-0000-0000-000071000000}"/>
    <cellStyle name="Normal 2" xfId="3" xr:uid="{00000000-0005-0000-0000-000072000000}"/>
    <cellStyle name="Normal 2 3" xfId="27" xr:uid="{00000000-0005-0000-0000-000073000000}"/>
    <cellStyle name="Normal 3" xfId="2" xr:uid="{00000000-0005-0000-0000-000074000000}"/>
    <cellStyle name="Normal 4" xfId="1" xr:uid="{00000000-0005-0000-0000-000075000000}"/>
    <cellStyle name="Normal 5" xfId="99" xr:uid="{00000000-0005-0000-0000-000076000000}"/>
    <cellStyle name="Normal 6" xfId="206" xr:uid="{9EA7DB43-C6F7-4D59-8F61-A15CA3E69B8B}"/>
    <cellStyle name="Note 2" xfId="139" xr:uid="{00000000-0005-0000-0000-000077000000}"/>
    <cellStyle name="Output 2" xfId="140" xr:uid="{00000000-0005-0000-0000-000078000000}"/>
    <cellStyle name="Percent" xfId="5" builtinId="5"/>
    <cellStyle name="SAPBEXaggData" xfId="28" xr:uid="{00000000-0005-0000-0000-00007A000000}"/>
    <cellStyle name="SAPBEXaggData 2" xfId="68" xr:uid="{00000000-0005-0000-0000-00007B000000}"/>
    <cellStyle name="SAPBEXaggDataEmph" xfId="29" xr:uid="{00000000-0005-0000-0000-00007C000000}"/>
    <cellStyle name="SAPBEXaggDataEmph 2" xfId="69" xr:uid="{00000000-0005-0000-0000-00007D000000}"/>
    <cellStyle name="SAPBEXaggItem" xfId="30" xr:uid="{00000000-0005-0000-0000-00007E000000}"/>
    <cellStyle name="SAPBEXaggItem 2" xfId="70" xr:uid="{00000000-0005-0000-0000-00007F000000}"/>
    <cellStyle name="SAPBEXaggItemX" xfId="31" xr:uid="{00000000-0005-0000-0000-000080000000}"/>
    <cellStyle name="SAPBEXaggItemX 2" xfId="71" xr:uid="{00000000-0005-0000-0000-000081000000}"/>
    <cellStyle name="SAPBEXchaText" xfId="32" xr:uid="{00000000-0005-0000-0000-000082000000}"/>
    <cellStyle name="SAPBEXchaText 2" xfId="122" xr:uid="{00000000-0005-0000-0000-000083000000}"/>
    <cellStyle name="SAPBEXexcBad7" xfId="33" xr:uid="{00000000-0005-0000-0000-000084000000}"/>
    <cellStyle name="SAPBEXexcBad7 2" xfId="72" xr:uid="{00000000-0005-0000-0000-000085000000}"/>
    <cellStyle name="SAPBEXexcBad8" xfId="34" xr:uid="{00000000-0005-0000-0000-000086000000}"/>
    <cellStyle name="SAPBEXexcBad8 2" xfId="73" xr:uid="{00000000-0005-0000-0000-000087000000}"/>
    <cellStyle name="SAPBEXexcBad9" xfId="35" xr:uid="{00000000-0005-0000-0000-000088000000}"/>
    <cellStyle name="SAPBEXexcBad9 2" xfId="74" xr:uid="{00000000-0005-0000-0000-000089000000}"/>
    <cellStyle name="SAPBEXexcCritical4" xfId="36" xr:uid="{00000000-0005-0000-0000-00008A000000}"/>
    <cellStyle name="SAPBEXexcCritical4 2" xfId="75" xr:uid="{00000000-0005-0000-0000-00008B000000}"/>
    <cellStyle name="SAPBEXexcCritical5" xfId="37" xr:uid="{00000000-0005-0000-0000-00008C000000}"/>
    <cellStyle name="SAPBEXexcCritical5 2" xfId="76" xr:uid="{00000000-0005-0000-0000-00008D000000}"/>
    <cellStyle name="SAPBEXexcCritical6" xfId="38" xr:uid="{00000000-0005-0000-0000-00008E000000}"/>
    <cellStyle name="SAPBEXexcCritical6 2" xfId="77" xr:uid="{00000000-0005-0000-0000-00008F000000}"/>
    <cellStyle name="SAPBEXexcGood1" xfId="39" xr:uid="{00000000-0005-0000-0000-000090000000}"/>
    <cellStyle name="SAPBEXexcGood1 2" xfId="78" xr:uid="{00000000-0005-0000-0000-000091000000}"/>
    <cellStyle name="SAPBEXexcGood2" xfId="40" xr:uid="{00000000-0005-0000-0000-000092000000}"/>
    <cellStyle name="SAPBEXexcGood2 2" xfId="79" xr:uid="{00000000-0005-0000-0000-000093000000}"/>
    <cellStyle name="SAPBEXexcGood3" xfId="41" xr:uid="{00000000-0005-0000-0000-000094000000}"/>
    <cellStyle name="SAPBEXexcGood3 2" xfId="80" xr:uid="{00000000-0005-0000-0000-000095000000}"/>
    <cellStyle name="SAPBEXfilterDrill" xfId="42" xr:uid="{00000000-0005-0000-0000-000096000000}"/>
    <cellStyle name="SAPBEXfilterItem" xfId="43" xr:uid="{00000000-0005-0000-0000-000097000000}"/>
    <cellStyle name="SAPBEXfilterText" xfId="44" xr:uid="{00000000-0005-0000-0000-000098000000}"/>
    <cellStyle name="SAPBEXformats" xfId="45" xr:uid="{00000000-0005-0000-0000-000099000000}"/>
    <cellStyle name="SAPBEXformats 2" xfId="81" xr:uid="{00000000-0005-0000-0000-00009A000000}"/>
    <cellStyle name="SAPBEXheaderItem" xfId="46" xr:uid="{00000000-0005-0000-0000-00009B000000}"/>
    <cellStyle name="SAPBEXheaderText" xfId="47" xr:uid="{00000000-0005-0000-0000-00009C000000}"/>
    <cellStyle name="SAPBEXHLevel0" xfId="48" xr:uid="{00000000-0005-0000-0000-00009D000000}"/>
    <cellStyle name="SAPBEXHLevel0 2" xfId="82" xr:uid="{00000000-0005-0000-0000-00009E000000}"/>
    <cellStyle name="SAPBEXHLevel0 3" xfId="181" xr:uid="{00000000-0005-0000-0000-00009F000000}"/>
    <cellStyle name="SAPBEXHLevel0X" xfId="49" xr:uid="{00000000-0005-0000-0000-0000A0000000}"/>
    <cellStyle name="SAPBEXHLevel0X 2" xfId="83" xr:uid="{00000000-0005-0000-0000-0000A1000000}"/>
    <cellStyle name="SAPBEXHLevel1" xfId="50" xr:uid="{00000000-0005-0000-0000-0000A2000000}"/>
    <cellStyle name="SAPBEXHLevel1 2" xfId="84" xr:uid="{00000000-0005-0000-0000-0000A3000000}"/>
    <cellStyle name="SAPBEXHLevel1 3" xfId="182" xr:uid="{00000000-0005-0000-0000-0000A4000000}"/>
    <cellStyle name="SAPBEXHLevel1X" xfId="51" xr:uid="{00000000-0005-0000-0000-0000A5000000}"/>
    <cellStyle name="SAPBEXHLevel1X 2" xfId="85" xr:uid="{00000000-0005-0000-0000-0000A6000000}"/>
    <cellStyle name="SAPBEXHLevel2" xfId="52" xr:uid="{00000000-0005-0000-0000-0000A7000000}"/>
    <cellStyle name="SAPBEXHLevel2 2" xfId="86" xr:uid="{00000000-0005-0000-0000-0000A8000000}"/>
    <cellStyle name="SAPBEXHLevel2 3" xfId="184" xr:uid="{00000000-0005-0000-0000-0000A9000000}"/>
    <cellStyle name="SAPBEXHLevel2X" xfId="53" xr:uid="{00000000-0005-0000-0000-0000AA000000}"/>
    <cellStyle name="SAPBEXHLevel2X 2" xfId="87" xr:uid="{00000000-0005-0000-0000-0000AB000000}"/>
    <cellStyle name="SAPBEXHLevel3" xfId="54" xr:uid="{00000000-0005-0000-0000-0000AC000000}"/>
    <cellStyle name="SAPBEXHLevel3 2" xfId="88" xr:uid="{00000000-0005-0000-0000-0000AD000000}"/>
    <cellStyle name="SAPBEXHLevel3 3" xfId="186" xr:uid="{00000000-0005-0000-0000-0000AE000000}"/>
    <cellStyle name="SAPBEXHLevel3X" xfId="55" xr:uid="{00000000-0005-0000-0000-0000AF000000}"/>
    <cellStyle name="SAPBEXHLevel3X 2" xfId="89" xr:uid="{00000000-0005-0000-0000-0000B0000000}"/>
    <cellStyle name="SAPBEXinputData" xfId="56" xr:uid="{00000000-0005-0000-0000-0000B1000000}"/>
    <cellStyle name="SAPBEXresData" xfId="57" xr:uid="{00000000-0005-0000-0000-0000B2000000}"/>
    <cellStyle name="SAPBEXresData 2" xfId="90" xr:uid="{00000000-0005-0000-0000-0000B3000000}"/>
    <cellStyle name="SAPBEXresDataEmph" xfId="58" xr:uid="{00000000-0005-0000-0000-0000B4000000}"/>
    <cellStyle name="SAPBEXresDataEmph 2" xfId="91" xr:uid="{00000000-0005-0000-0000-0000B5000000}"/>
    <cellStyle name="SAPBEXresItem" xfId="59" xr:uid="{00000000-0005-0000-0000-0000B6000000}"/>
    <cellStyle name="SAPBEXresItem 2" xfId="92" xr:uid="{00000000-0005-0000-0000-0000B7000000}"/>
    <cellStyle name="SAPBEXresItemX" xfId="60" xr:uid="{00000000-0005-0000-0000-0000B8000000}"/>
    <cellStyle name="SAPBEXresItemX 2" xfId="93" xr:uid="{00000000-0005-0000-0000-0000B9000000}"/>
    <cellStyle name="SAPBEXstdData" xfId="61" xr:uid="{00000000-0005-0000-0000-0000BA000000}"/>
    <cellStyle name="SAPBEXstdData 2" xfId="94" xr:uid="{00000000-0005-0000-0000-0000BB000000}"/>
    <cellStyle name="SAPBEXstdData 3" xfId="188" xr:uid="{00000000-0005-0000-0000-0000BC000000}"/>
    <cellStyle name="SAPBEXstdDataEmph" xfId="62" xr:uid="{00000000-0005-0000-0000-0000BD000000}"/>
    <cellStyle name="SAPBEXstdDataEmph 2" xfId="95" xr:uid="{00000000-0005-0000-0000-0000BE000000}"/>
    <cellStyle name="SAPBEXstdItem" xfId="63" xr:uid="{00000000-0005-0000-0000-0000BF000000}"/>
    <cellStyle name="SAPBEXstdItem 2" xfId="96" xr:uid="{00000000-0005-0000-0000-0000C0000000}"/>
    <cellStyle name="SAPBEXstdItem 3" xfId="189" xr:uid="{00000000-0005-0000-0000-0000C1000000}"/>
    <cellStyle name="SAPBEXstdItemX" xfId="64" xr:uid="{00000000-0005-0000-0000-0000C2000000}"/>
    <cellStyle name="SAPBEXstdItemX 2" xfId="97" xr:uid="{00000000-0005-0000-0000-0000C3000000}"/>
    <cellStyle name="SAPBEXtitle" xfId="65" xr:uid="{00000000-0005-0000-0000-0000C4000000}"/>
    <cellStyle name="SAPBEXundefined" xfId="66" xr:uid="{00000000-0005-0000-0000-0000C5000000}"/>
    <cellStyle name="SAPBEXundefined 2" xfId="98" xr:uid="{00000000-0005-0000-0000-0000C6000000}"/>
    <cellStyle name="Sheet Title" xfId="67" xr:uid="{00000000-0005-0000-0000-0000C7000000}"/>
    <cellStyle name="Stils 1" xfId="166" xr:uid="{00000000-0005-0000-0000-0000C8000000}"/>
    <cellStyle name="Title 2" xfId="167" xr:uid="{00000000-0005-0000-0000-0000C9000000}"/>
    <cellStyle name="Total 2" xfId="168" xr:uid="{00000000-0005-0000-0000-0000CA000000}"/>
    <cellStyle name="V?st." xfId="203" xr:uid="{00000000-0005-0000-0000-0000CB000000}"/>
    <cellStyle name="Warning Text 2" xfId="169" xr:uid="{00000000-0005-0000-0000-0000CC000000}"/>
  </cellStyles>
  <dxfs count="4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AD58A"/>
      <color rgb="FFFFBEB7"/>
      <color rgb="FF9BD2D9"/>
      <color rgb="FF5CB4C0"/>
      <color rgb="FFFBDB9B"/>
      <color rgb="FFF7B32B"/>
      <color rgb="FF9DDFBE"/>
      <color rgb="FF88D8B0"/>
      <color rgb="FF5BC992"/>
      <color rgb="FFA8E6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5BC992"/>
    <pageSetUpPr fitToPage="1"/>
  </sheetPr>
  <dimension ref="A1:HY78"/>
  <sheetViews>
    <sheetView topLeftCell="A3" zoomScale="55" zoomScaleNormal="55" zoomScaleSheetLayoutView="70" workbookViewId="0">
      <pane xSplit="62" topLeftCell="BK1" activePane="topRight" state="frozen"/>
      <selection activeCell="B1" sqref="B1"/>
      <selection pane="topRight" activeCell="A13" sqref="A13:XFD13"/>
    </sheetView>
  </sheetViews>
  <sheetFormatPr defaultColWidth="9.25" defaultRowHeight="15.5" outlineLevelCol="2"/>
  <cols>
    <col min="1" max="1" width="28.75" style="2" hidden="1" customWidth="1"/>
    <col min="2" max="2" width="24.58203125" style="3" hidden="1" customWidth="1"/>
    <col min="3" max="3" width="54.58203125" style="2" customWidth="1"/>
    <col min="4" max="5" width="9.58203125" style="2" hidden="1" customWidth="1" outlineLevel="1"/>
    <col min="6" max="7" width="10.58203125" style="2" hidden="1" customWidth="1" outlineLevel="1"/>
    <col min="8" max="8" width="7.58203125" style="2" hidden="1" customWidth="1" outlineLevel="2"/>
    <col min="9" max="10" width="8.5" style="2" hidden="1" customWidth="1" outlineLevel="2"/>
    <col min="11" max="17" width="7.58203125" style="2" hidden="1" customWidth="1" outlineLevel="2"/>
    <col min="18" max="18" width="8.5" style="2" hidden="1" customWidth="1" outlineLevel="2"/>
    <col min="19" max="20" width="9.58203125" style="2" hidden="1" customWidth="1" outlineLevel="2"/>
    <col min="21" max="21" width="9.58203125" style="2" hidden="1" customWidth="1" outlineLevel="1" collapsed="1"/>
    <col min="22" max="31" width="7.58203125" style="2" hidden="1" customWidth="1" outlineLevel="2"/>
    <col min="32" max="33" width="8.5" style="2" hidden="1" customWidth="1" outlineLevel="2"/>
    <col min="34" max="34" width="9.58203125" style="2" hidden="1" customWidth="1" outlineLevel="2"/>
    <col min="35" max="35" width="9.58203125" style="2" hidden="1" customWidth="1" outlineLevel="1" collapsed="1"/>
    <col min="36" max="36" width="7.58203125" style="2" hidden="1" customWidth="1" outlineLevel="2"/>
    <col min="37" max="37" width="8.5" style="2" hidden="1" customWidth="1" outlineLevel="2"/>
    <col min="38" max="45" width="7.58203125" style="2" hidden="1" customWidth="1" outlineLevel="2"/>
    <col min="46" max="46" width="8.5" style="2" hidden="1" customWidth="1" outlineLevel="2"/>
    <col min="47" max="48" width="9.58203125" style="2" hidden="1" customWidth="1" outlineLevel="2"/>
    <col min="49" max="49" width="9.58203125" style="2" hidden="1" customWidth="1" outlineLevel="1" collapsed="1"/>
    <col min="50" max="50" width="7.58203125" style="2" hidden="1" customWidth="1" outlineLevel="1" collapsed="1"/>
    <col min="51" max="59" width="7.58203125" style="2" hidden="1" customWidth="1" outlineLevel="1"/>
    <col min="60" max="60" width="8.5" style="2" hidden="1" customWidth="1" outlineLevel="1"/>
    <col min="61" max="62" width="9.58203125" style="2" hidden="1" customWidth="1" outlineLevel="1"/>
    <col min="63" max="63" width="9.58203125" style="2" bestFit="1" customWidth="1" collapsed="1"/>
    <col min="64" max="73" width="7.58203125" style="2" hidden="1" customWidth="1" outlineLevel="1"/>
    <col min="74" max="74" width="8.5" style="2" hidden="1" customWidth="1" outlineLevel="1"/>
    <col min="75" max="76" width="9.58203125" style="2" hidden="1" customWidth="1" outlineLevel="1"/>
    <col min="77" max="77" width="9.58203125" style="2" bestFit="1" customWidth="1" collapsed="1"/>
    <col min="78" max="79" width="7.58203125" style="2" hidden="1" customWidth="1" outlineLevel="1"/>
    <col min="80" max="80" width="8.5" style="2" hidden="1" customWidth="1" outlineLevel="1"/>
    <col min="81" max="82" width="7.58203125" style="2" hidden="1" customWidth="1" outlineLevel="1"/>
    <col min="83" max="83" width="9" style="2" hidden="1" customWidth="1" outlineLevel="1"/>
    <col min="84" max="88" width="7.58203125" style="2" hidden="1" customWidth="1" outlineLevel="1"/>
    <col min="89" max="90" width="9.58203125" style="2" hidden="1" customWidth="1" outlineLevel="1"/>
    <col min="91" max="91" width="9.58203125" style="2" bestFit="1" customWidth="1" collapsed="1"/>
    <col min="92" max="101" width="7.58203125" style="2" hidden="1" customWidth="1" outlineLevel="1"/>
    <col min="102" max="102" width="8.5" style="2" hidden="1" customWidth="1" outlineLevel="1"/>
    <col min="103" max="104" width="9.58203125" style="2" hidden="1" customWidth="1" outlineLevel="1"/>
    <col min="105" max="105" width="9.58203125" style="2" bestFit="1" customWidth="1" collapsed="1"/>
    <col min="106" max="109" width="7.58203125" style="2" hidden="1" customWidth="1" outlineLevel="1"/>
    <col min="110" max="110" width="9.58203125" style="2" hidden="1" customWidth="1" outlineLevel="1"/>
    <col min="111" max="111" width="7.58203125" style="2" hidden="1" customWidth="1" outlineLevel="1"/>
    <col min="112" max="112" width="9.58203125" style="2" hidden="1" customWidth="1" outlineLevel="1"/>
    <col min="113" max="114" width="7.58203125" style="2" hidden="1" customWidth="1" outlineLevel="1"/>
    <col min="115" max="117" width="9.58203125" style="2" hidden="1" customWidth="1" outlineLevel="1"/>
    <col min="118" max="118" width="11" style="2" hidden="1" customWidth="1" outlineLevel="1"/>
    <col min="119" max="119" width="11" style="2" bestFit="1" customWidth="1" collapsed="1"/>
    <col min="120" max="120" width="7.58203125" style="2" hidden="1" customWidth="1" outlineLevel="1"/>
    <col min="121" max="121" width="9.58203125" style="2" hidden="1" customWidth="1" outlineLevel="1"/>
    <col min="122" max="122" width="7.58203125" style="2" hidden="1" customWidth="1" outlineLevel="1"/>
    <col min="123" max="125" width="9.58203125" style="2" hidden="1" customWidth="1" outlineLevel="1"/>
    <col min="126" max="128" width="7.58203125" style="2" hidden="1" customWidth="1" outlineLevel="1"/>
    <col min="129" max="129" width="9.58203125" style="2" hidden="1" customWidth="1" outlineLevel="1"/>
    <col min="130" max="130" width="8.5" style="2" hidden="1" customWidth="1" outlineLevel="1"/>
    <col min="131" max="131" width="9.58203125" style="2" hidden="1" customWidth="1" outlineLevel="1"/>
    <col min="132" max="132" width="11" style="2" hidden="1" customWidth="1" outlineLevel="1"/>
    <col min="133" max="133" width="11" style="2" bestFit="1" customWidth="1" collapsed="1"/>
    <col min="134" max="134" width="7.58203125" style="2" hidden="1" customWidth="1" outlineLevel="1"/>
    <col min="135" max="135" width="9.58203125" style="2" hidden="1" customWidth="1" outlineLevel="1"/>
    <col min="136" max="136" width="8.5" style="2" hidden="1" customWidth="1" outlineLevel="1"/>
    <col min="137" max="137" width="9.58203125" style="2" hidden="1" customWidth="1" outlineLevel="1"/>
    <col min="138" max="138" width="7.58203125" style="2" hidden="1" customWidth="1" outlineLevel="1"/>
    <col min="139" max="140" width="9.58203125" style="2" hidden="1" customWidth="1" outlineLevel="1"/>
    <col min="141" max="141" width="7.58203125" style="2" hidden="1" customWidth="1" outlineLevel="1"/>
    <col min="142" max="142" width="8.5" style="2" hidden="1" customWidth="1" outlineLevel="1"/>
    <col min="143" max="145" width="9.58203125" style="2" hidden="1" customWidth="1" outlineLevel="1"/>
    <col min="146" max="146" width="11" style="2" hidden="1" customWidth="1" outlineLevel="1"/>
    <col min="147" max="147" width="11" style="2" bestFit="1" customWidth="1" collapsed="1"/>
    <col min="148" max="159" width="9.58203125" style="2" hidden="1" customWidth="1" outlineLevel="1"/>
    <col min="160" max="160" width="11" style="2" hidden="1" customWidth="1" outlineLevel="1"/>
    <col min="161" max="161" width="11" style="2" bestFit="1" customWidth="1" collapsed="1"/>
    <col min="162" max="173" width="9.58203125" style="2" hidden="1" customWidth="1" outlineLevel="1"/>
    <col min="174" max="174" width="11" style="2" hidden="1" customWidth="1" outlineLevel="2" collapsed="1"/>
    <col min="175" max="175" width="11" style="2" bestFit="1" customWidth="1" collapsed="1"/>
    <col min="176" max="186" width="9.58203125" style="2" hidden="1" customWidth="1" outlineLevel="1"/>
    <col min="187" max="187" width="10.58203125" style="2" hidden="1" customWidth="1" outlineLevel="1"/>
    <col min="188" max="188" width="11" style="2" hidden="1" customWidth="1" outlineLevel="1"/>
    <col min="189" max="189" width="11" style="2" bestFit="1" customWidth="1" collapsed="1"/>
    <col min="190" max="201" width="9.58203125" style="2" hidden="1" customWidth="1" outlineLevel="1"/>
    <col min="202" max="202" width="11" style="2" hidden="1" customWidth="1" outlineLevel="1"/>
    <col min="203" max="203" width="11" style="2" bestFit="1" customWidth="1" collapsed="1"/>
    <col min="204" max="215" width="9.58203125" style="2" hidden="1" customWidth="1" outlineLevel="1"/>
    <col min="216" max="216" width="11" style="2" bestFit="1" customWidth="1" collapsed="1"/>
    <col min="217" max="217" width="9.58203125" style="2" bestFit="1" customWidth="1"/>
    <col min="218" max="218" width="10.33203125" style="2" customWidth="1"/>
    <col min="219" max="219" width="9.58203125" style="2" bestFit="1" customWidth="1"/>
    <col min="220" max="220" width="9.5" style="2" customWidth="1"/>
    <col min="221" max="221" width="3.25" style="2" hidden="1" customWidth="1" outlineLevel="1"/>
    <col min="222" max="222" width="4.25" style="2" hidden="1" customWidth="1" outlineLevel="1"/>
    <col min="223" max="223" width="5.08203125" style="2" hidden="1" customWidth="1" outlineLevel="1"/>
    <col min="224" max="224" width="6" style="2" hidden="1" customWidth="1" outlineLevel="1"/>
    <col min="225" max="225" width="4.5" style="2" hidden="1" customWidth="1" outlineLevel="1"/>
    <col min="226" max="226" width="3.5" style="2" hidden="1" customWidth="1" outlineLevel="1"/>
    <col min="227" max="227" width="4.5" style="2" hidden="1" customWidth="1" outlineLevel="1"/>
    <col min="228" max="228" width="5.33203125" style="2" hidden="1" customWidth="1" outlineLevel="1"/>
    <col min="229" max="229" width="9.58203125" style="2" bestFit="1" customWidth="1" collapsed="1"/>
    <col min="230" max="230" width="9.58203125" style="2" bestFit="1" customWidth="1"/>
    <col min="231" max="232" width="14" style="2" bestFit="1" customWidth="1"/>
    <col min="233" max="239" width="9.5" style="3" customWidth="1"/>
    <col min="240" max="16384" width="9.25" style="3"/>
  </cols>
  <sheetData>
    <row r="1" spans="1:232" ht="15.65" hidden="1" customHeight="1">
      <c r="D1" s="2">
        <v>2007</v>
      </c>
      <c r="E1" s="2">
        <v>2008</v>
      </c>
      <c r="F1" s="2">
        <v>2009</v>
      </c>
      <c r="G1" s="2">
        <v>2010</v>
      </c>
      <c r="H1" s="2">
        <v>2011</v>
      </c>
      <c r="I1" s="2">
        <v>2011</v>
      </c>
      <c r="J1" s="2">
        <v>2011</v>
      </c>
      <c r="K1" s="2">
        <v>2011</v>
      </c>
      <c r="L1" s="2">
        <v>2011</v>
      </c>
      <c r="M1" s="2">
        <v>2011</v>
      </c>
      <c r="N1" s="2">
        <v>2011</v>
      </c>
      <c r="O1" s="2">
        <v>2011</v>
      </c>
      <c r="P1" s="2">
        <v>2011</v>
      </c>
      <c r="Q1" s="2">
        <v>2011</v>
      </c>
      <c r="R1" s="2">
        <v>2011</v>
      </c>
      <c r="S1" s="2">
        <v>2011</v>
      </c>
      <c r="T1" s="2">
        <v>2011</v>
      </c>
      <c r="U1" s="2">
        <v>2011</v>
      </c>
      <c r="V1" s="2">
        <v>2012</v>
      </c>
      <c r="W1" s="2">
        <v>2012</v>
      </c>
      <c r="X1" s="2">
        <v>2012</v>
      </c>
      <c r="Y1" s="2">
        <v>2012</v>
      </c>
      <c r="Z1" s="2">
        <v>2012</v>
      </c>
      <c r="AA1" s="2">
        <v>2012</v>
      </c>
      <c r="AB1" s="2">
        <v>2012</v>
      </c>
      <c r="AC1" s="2">
        <v>2012</v>
      </c>
      <c r="AD1" s="2">
        <v>2012</v>
      </c>
      <c r="AE1" s="2">
        <v>2012</v>
      </c>
      <c r="AF1" s="2">
        <v>2012</v>
      </c>
      <c r="AG1" s="2">
        <v>2012</v>
      </c>
      <c r="AH1" s="2">
        <v>2012</v>
      </c>
      <c r="AI1" s="2">
        <v>2012</v>
      </c>
      <c r="AJ1" s="2">
        <v>2013</v>
      </c>
      <c r="AK1" s="2">
        <v>2013</v>
      </c>
      <c r="AL1" s="2">
        <v>2013</v>
      </c>
      <c r="AM1" s="2">
        <v>2013</v>
      </c>
      <c r="AN1" s="2">
        <v>2013</v>
      </c>
      <c r="AO1" s="2">
        <v>2013</v>
      </c>
      <c r="AP1" s="2">
        <v>2013</v>
      </c>
      <c r="AQ1" s="2">
        <v>2013</v>
      </c>
      <c r="AR1" s="2">
        <v>2013</v>
      </c>
      <c r="AS1" s="2">
        <v>2013</v>
      </c>
      <c r="AT1" s="2">
        <v>2013</v>
      </c>
      <c r="AU1" s="2">
        <v>2013</v>
      </c>
      <c r="AV1" s="2">
        <v>2013</v>
      </c>
      <c r="AW1" s="2">
        <v>2013</v>
      </c>
      <c r="AX1" s="2">
        <v>2014</v>
      </c>
      <c r="AY1" s="2">
        <v>2014</v>
      </c>
      <c r="AZ1" s="2">
        <v>2014</v>
      </c>
      <c r="BA1" s="2">
        <v>2014</v>
      </c>
      <c r="BB1" s="2">
        <v>2014</v>
      </c>
      <c r="BC1" s="2">
        <v>2014</v>
      </c>
      <c r="BD1" s="2">
        <v>2014</v>
      </c>
      <c r="BE1" s="2">
        <v>2014</v>
      </c>
      <c r="BF1" s="2">
        <v>2014</v>
      </c>
      <c r="BG1" s="2">
        <v>2014</v>
      </c>
      <c r="BH1" s="2">
        <v>2014</v>
      </c>
      <c r="BI1" s="2">
        <v>2014</v>
      </c>
      <c r="BJ1" s="2">
        <v>2014</v>
      </c>
      <c r="BK1" s="2">
        <v>2014</v>
      </c>
      <c r="BL1" s="2">
        <v>2015</v>
      </c>
      <c r="BM1" s="2">
        <v>2015</v>
      </c>
      <c r="BN1" s="2">
        <v>2015</v>
      </c>
      <c r="BO1" s="2">
        <v>2015</v>
      </c>
      <c r="BP1" s="2">
        <v>2015</v>
      </c>
      <c r="BQ1" s="2">
        <v>2015</v>
      </c>
      <c r="BR1" s="2">
        <v>2015</v>
      </c>
      <c r="BS1" s="2">
        <v>2015</v>
      </c>
      <c r="BT1" s="2">
        <v>2015</v>
      </c>
      <c r="BU1" s="2">
        <v>2015</v>
      </c>
      <c r="BV1" s="2">
        <v>2015</v>
      </c>
      <c r="BW1" s="2">
        <v>2015</v>
      </c>
      <c r="BX1" s="2">
        <v>2015</v>
      </c>
      <c r="BY1" s="2">
        <v>2015</v>
      </c>
      <c r="BZ1" s="2">
        <v>2016</v>
      </c>
      <c r="CA1" s="2">
        <v>2016</v>
      </c>
      <c r="CB1" s="2">
        <v>2016</v>
      </c>
      <c r="CC1" s="2">
        <v>2016</v>
      </c>
      <c r="CD1" s="2">
        <v>2016</v>
      </c>
      <c r="CE1" s="2">
        <v>2016</v>
      </c>
      <c r="CF1" s="2">
        <v>2016</v>
      </c>
      <c r="CG1" s="2">
        <v>2016</v>
      </c>
      <c r="CH1" s="2">
        <v>2016</v>
      </c>
      <c r="CI1" s="2">
        <v>2016</v>
      </c>
      <c r="CJ1" s="2">
        <v>2016</v>
      </c>
      <c r="CK1" s="2">
        <v>2016</v>
      </c>
      <c r="CL1" s="2">
        <v>2016</v>
      </c>
      <c r="CM1" s="2">
        <v>2016</v>
      </c>
      <c r="CN1" s="2">
        <v>2017</v>
      </c>
      <c r="CO1" s="2">
        <v>2017</v>
      </c>
      <c r="CP1" s="2">
        <v>2017</v>
      </c>
      <c r="CQ1" s="2">
        <v>2017</v>
      </c>
      <c r="CR1" s="2">
        <v>2017</v>
      </c>
      <c r="CS1" s="2">
        <v>2017</v>
      </c>
      <c r="CT1" s="2">
        <v>2017</v>
      </c>
      <c r="CU1" s="2">
        <v>2017</v>
      </c>
      <c r="CV1" s="2">
        <v>2017</v>
      </c>
      <c r="CW1" s="2">
        <v>2017</v>
      </c>
      <c r="CX1" s="2">
        <v>2017</v>
      </c>
      <c r="CY1" s="2">
        <v>2017</v>
      </c>
      <c r="CZ1" s="2">
        <v>2017</v>
      </c>
      <c r="DA1" s="2">
        <v>2017</v>
      </c>
      <c r="DB1" s="2">
        <v>2018</v>
      </c>
      <c r="DC1" s="2">
        <v>2018</v>
      </c>
      <c r="DD1" s="2">
        <v>2018</v>
      </c>
      <c r="DE1" s="2">
        <v>2018</v>
      </c>
      <c r="DF1" s="2">
        <v>2018</v>
      </c>
      <c r="DG1" s="2">
        <v>2018</v>
      </c>
      <c r="DH1" s="2">
        <v>2018</v>
      </c>
      <c r="DI1" s="2">
        <v>2018</v>
      </c>
      <c r="DJ1" s="2">
        <v>2018</v>
      </c>
      <c r="DK1" s="2">
        <v>2018</v>
      </c>
      <c r="DL1" s="2">
        <v>2018</v>
      </c>
      <c r="DM1" s="2">
        <v>2018</v>
      </c>
      <c r="DN1" s="2">
        <v>2018</v>
      </c>
      <c r="DO1" s="2">
        <v>2018</v>
      </c>
      <c r="DP1" s="2">
        <v>2019</v>
      </c>
      <c r="DQ1" s="2">
        <v>2019</v>
      </c>
      <c r="DR1" s="2">
        <v>2019</v>
      </c>
      <c r="DS1" s="2">
        <v>2019</v>
      </c>
      <c r="DT1" s="2">
        <v>2019</v>
      </c>
      <c r="DU1" s="2">
        <v>2019</v>
      </c>
      <c r="DV1" s="2">
        <v>2019</v>
      </c>
      <c r="DW1" s="2">
        <v>2019</v>
      </c>
      <c r="DX1" s="2">
        <v>2019</v>
      </c>
      <c r="DY1" s="2">
        <v>2019</v>
      </c>
      <c r="DZ1" s="2">
        <v>2019</v>
      </c>
      <c r="EA1" s="2">
        <v>2019</v>
      </c>
      <c r="EB1" s="2">
        <v>2019</v>
      </c>
      <c r="EC1" s="2">
        <v>2019</v>
      </c>
      <c r="ED1" s="2">
        <v>2020</v>
      </c>
      <c r="EE1" s="2">
        <v>2020</v>
      </c>
      <c r="EF1" s="2">
        <v>2020</v>
      </c>
      <c r="EG1" s="2">
        <v>2020</v>
      </c>
      <c r="EH1" s="2">
        <v>2020</v>
      </c>
      <c r="EI1" s="2">
        <v>2020</v>
      </c>
      <c r="EJ1" s="2">
        <v>2020</v>
      </c>
      <c r="EK1" s="2">
        <v>2020</v>
      </c>
      <c r="EL1" s="2">
        <v>2020</v>
      </c>
      <c r="EM1" s="2">
        <v>2020</v>
      </c>
      <c r="EN1" s="2">
        <v>2020</v>
      </c>
      <c r="EO1" s="2">
        <v>2020</v>
      </c>
      <c r="EP1" s="2">
        <v>2020</v>
      </c>
      <c r="EQ1" s="2">
        <v>2020</v>
      </c>
      <c r="ER1" s="2">
        <v>2021</v>
      </c>
      <c r="ES1" s="2">
        <v>2021</v>
      </c>
      <c r="ET1" s="2">
        <v>2021</v>
      </c>
      <c r="EU1" s="2">
        <v>2021</v>
      </c>
      <c r="EV1" s="2">
        <v>2021</v>
      </c>
      <c r="EW1" s="2">
        <v>2021</v>
      </c>
      <c r="EX1" s="2">
        <v>2021</v>
      </c>
      <c r="EY1" s="2">
        <v>2021</v>
      </c>
      <c r="EZ1" s="2">
        <v>2021</v>
      </c>
      <c r="FA1" s="2">
        <v>2021</v>
      </c>
      <c r="FB1" s="2">
        <v>2021</v>
      </c>
      <c r="FC1" s="2">
        <v>2021</v>
      </c>
      <c r="FD1" s="2">
        <v>2021</v>
      </c>
      <c r="FE1" s="2">
        <v>2021</v>
      </c>
      <c r="FF1" s="2">
        <v>2022</v>
      </c>
      <c r="FG1" s="2">
        <v>2022</v>
      </c>
      <c r="FH1" s="2">
        <v>2022</v>
      </c>
      <c r="FI1" s="2">
        <v>2022</v>
      </c>
      <c r="FJ1" s="2">
        <v>2022</v>
      </c>
      <c r="FK1" s="2">
        <v>2022</v>
      </c>
      <c r="FL1" s="2">
        <v>2022</v>
      </c>
      <c r="FM1" s="2">
        <v>2022</v>
      </c>
      <c r="FN1" s="2">
        <v>2022</v>
      </c>
      <c r="FO1" s="2">
        <v>2022</v>
      </c>
      <c r="FP1" s="2">
        <v>2022</v>
      </c>
      <c r="FQ1" s="2">
        <v>2022</v>
      </c>
      <c r="FR1" s="2">
        <v>2022</v>
      </c>
      <c r="FS1" s="2">
        <v>2022</v>
      </c>
      <c r="FT1" s="2">
        <v>2023</v>
      </c>
      <c r="FU1" s="2">
        <v>2023</v>
      </c>
      <c r="FV1" s="2">
        <v>2023</v>
      </c>
      <c r="FW1" s="2">
        <v>2023</v>
      </c>
      <c r="FX1" s="2">
        <v>2023</v>
      </c>
      <c r="FY1" s="2">
        <v>2023</v>
      </c>
      <c r="FZ1" s="2">
        <v>2023</v>
      </c>
      <c r="GA1" s="2">
        <v>2023</v>
      </c>
      <c r="GB1" s="2">
        <v>2023</v>
      </c>
      <c r="GC1" s="2">
        <v>2023</v>
      </c>
      <c r="GD1" s="2">
        <v>2023</v>
      </c>
      <c r="GE1" s="2">
        <v>2023</v>
      </c>
      <c r="GF1" s="2">
        <v>2023</v>
      </c>
    </row>
    <row r="2" spans="1:232" ht="46.9" hidden="1" customHeight="1"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1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  <c r="AC2" s="2" t="s">
        <v>0</v>
      </c>
      <c r="AD2" s="2" t="s">
        <v>0</v>
      </c>
      <c r="AE2" s="2" t="s">
        <v>0</v>
      </c>
      <c r="AF2" s="2" t="s">
        <v>0</v>
      </c>
      <c r="AG2" s="2" t="s">
        <v>0</v>
      </c>
      <c r="AH2" s="2" t="s">
        <v>1</v>
      </c>
      <c r="AI2" s="2" t="s">
        <v>0</v>
      </c>
      <c r="AJ2" s="2" t="s">
        <v>0</v>
      </c>
      <c r="AK2" s="2" t="s">
        <v>0</v>
      </c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1</v>
      </c>
      <c r="AW2" s="2" t="s">
        <v>0</v>
      </c>
      <c r="AX2" s="2" t="s">
        <v>0</v>
      </c>
      <c r="AY2" s="2" t="s">
        <v>0</v>
      </c>
      <c r="AZ2" s="2" t="s">
        <v>0</v>
      </c>
      <c r="BA2" s="2" t="s">
        <v>0</v>
      </c>
      <c r="BB2" s="2" t="s">
        <v>0</v>
      </c>
      <c r="BC2" s="2" t="s">
        <v>0</v>
      </c>
      <c r="BD2" s="2" t="s">
        <v>0</v>
      </c>
      <c r="BE2" s="2" t="s">
        <v>0</v>
      </c>
      <c r="BF2" s="2" t="s">
        <v>0</v>
      </c>
      <c r="BG2" s="2" t="s">
        <v>0</v>
      </c>
      <c r="BH2" s="2" t="s">
        <v>0</v>
      </c>
      <c r="BI2" s="2" t="s">
        <v>0</v>
      </c>
      <c r="BJ2" s="2" t="s">
        <v>1</v>
      </c>
      <c r="BK2" s="2" t="s">
        <v>0</v>
      </c>
      <c r="BL2" s="2" t="s">
        <v>0</v>
      </c>
      <c r="BM2" s="2" t="s">
        <v>0</v>
      </c>
      <c r="BN2" s="2" t="s">
        <v>0</v>
      </c>
      <c r="BO2" s="2" t="s">
        <v>0</v>
      </c>
      <c r="BP2" s="2" t="s">
        <v>0</v>
      </c>
      <c r="BQ2" s="2" t="s">
        <v>0</v>
      </c>
      <c r="BR2" s="2" t="s">
        <v>0</v>
      </c>
      <c r="BS2" s="2" t="s">
        <v>0</v>
      </c>
      <c r="BT2" s="2" t="s">
        <v>0</v>
      </c>
      <c r="BU2" s="2" t="s">
        <v>0</v>
      </c>
      <c r="BV2" s="2" t="s">
        <v>0</v>
      </c>
      <c r="BW2" s="2" t="s">
        <v>0</v>
      </c>
      <c r="BX2" s="2" t="s">
        <v>1</v>
      </c>
      <c r="BY2" s="2" t="s">
        <v>0</v>
      </c>
      <c r="BZ2" s="2" t="s">
        <v>0</v>
      </c>
      <c r="CA2" s="2" t="s">
        <v>0</v>
      </c>
      <c r="CB2" s="2" t="s">
        <v>0</v>
      </c>
      <c r="CC2" s="2" t="s">
        <v>0</v>
      </c>
      <c r="CD2" s="2" t="s">
        <v>0</v>
      </c>
      <c r="CE2" s="2" t="s">
        <v>0</v>
      </c>
      <c r="CF2" s="2" t="s">
        <v>0</v>
      </c>
      <c r="CG2" s="2" t="s">
        <v>0</v>
      </c>
      <c r="CH2" s="2" t="s">
        <v>0</v>
      </c>
      <c r="CI2" s="2" t="s">
        <v>0</v>
      </c>
      <c r="CJ2" s="2" t="s">
        <v>0</v>
      </c>
      <c r="CK2" s="2" t="s">
        <v>0</v>
      </c>
      <c r="CL2" s="2" t="s">
        <v>1</v>
      </c>
      <c r="CM2" s="2" t="s">
        <v>0</v>
      </c>
      <c r="CN2" s="2" t="s">
        <v>0</v>
      </c>
      <c r="CO2" s="2" t="s">
        <v>0</v>
      </c>
      <c r="CP2" s="2" t="s">
        <v>0</v>
      </c>
      <c r="CQ2" s="2" t="s">
        <v>0</v>
      </c>
      <c r="CR2" s="2" t="s">
        <v>0</v>
      </c>
      <c r="CS2" s="2" t="s">
        <v>0</v>
      </c>
      <c r="CT2" s="2" t="s">
        <v>0</v>
      </c>
      <c r="CU2" s="2" t="s">
        <v>0</v>
      </c>
      <c r="CV2" s="2" t="s">
        <v>0</v>
      </c>
      <c r="CW2" s="2" t="s">
        <v>0</v>
      </c>
      <c r="CX2" s="2" t="s">
        <v>0</v>
      </c>
      <c r="CY2" s="2" t="s">
        <v>0</v>
      </c>
      <c r="CZ2" s="2" t="s">
        <v>1</v>
      </c>
      <c r="DA2" s="2" t="s">
        <v>0</v>
      </c>
      <c r="DB2" s="2" t="s">
        <v>0</v>
      </c>
      <c r="DC2" s="2" t="s">
        <v>0</v>
      </c>
      <c r="DD2" s="2" t="s">
        <v>0</v>
      </c>
      <c r="DE2" s="2" t="s">
        <v>0</v>
      </c>
      <c r="DF2" s="2" t="s">
        <v>0</v>
      </c>
      <c r="DG2" s="2" t="s">
        <v>0</v>
      </c>
      <c r="DH2" s="2" t="s">
        <v>0</v>
      </c>
      <c r="DI2" s="2" t="s">
        <v>0</v>
      </c>
      <c r="DJ2" s="2" t="s">
        <v>0</v>
      </c>
      <c r="DK2" s="2" t="s">
        <v>0</v>
      </c>
      <c r="DL2" s="2" t="s">
        <v>0</v>
      </c>
      <c r="DM2" s="2" t="s">
        <v>0</v>
      </c>
      <c r="DN2" s="2" t="s">
        <v>1</v>
      </c>
      <c r="DO2" s="2" t="s">
        <v>0</v>
      </c>
      <c r="DP2" s="2" t="s">
        <v>0</v>
      </c>
      <c r="DQ2" s="2" t="s">
        <v>0</v>
      </c>
      <c r="DR2" s="2" t="s">
        <v>0</v>
      </c>
      <c r="DS2" s="2" t="s">
        <v>0</v>
      </c>
      <c r="DT2" s="2" t="s">
        <v>0</v>
      </c>
      <c r="DU2" s="2" t="s">
        <v>0</v>
      </c>
      <c r="DV2" s="2" t="s">
        <v>0</v>
      </c>
      <c r="DW2" s="2" t="s">
        <v>0</v>
      </c>
      <c r="DX2" s="2" t="s">
        <v>0</v>
      </c>
      <c r="DY2" s="2" t="s">
        <v>0</v>
      </c>
      <c r="DZ2" s="2" t="s">
        <v>0</v>
      </c>
      <c r="EA2" s="2" t="s">
        <v>0</v>
      </c>
      <c r="EB2" s="2" t="s">
        <v>1</v>
      </c>
      <c r="EC2" s="2" t="s">
        <v>0</v>
      </c>
      <c r="ED2" s="2" t="s">
        <v>0</v>
      </c>
      <c r="EE2" s="2" t="s">
        <v>0</v>
      </c>
      <c r="EF2" s="2" t="s">
        <v>0</v>
      </c>
      <c r="EG2" s="2" t="s">
        <v>0</v>
      </c>
      <c r="EH2" s="2" t="s">
        <v>0</v>
      </c>
      <c r="EI2" s="2" t="s">
        <v>0</v>
      </c>
      <c r="EJ2" s="2" t="s">
        <v>0</v>
      </c>
      <c r="EK2" s="2" t="s">
        <v>0</v>
      </c>
      <c r="EL2" s="2" t="s">
        <v>0</v>
      </c>
      <c r="EM2" s="2" t="s">
        <v>0</v>
      </c>
      <c r="EN2" s="2" t="s">
        <v>0</v>
      </c>
      <c r="EO2" s="2" t="s">
        <v>0</v>
      </c>
      <c r="EP2" s="2" t="s">
        <v>1</v>
      </c>
      <c r="EQ2" s="2" t="s">
        <v>0</v>
      </c>
      <c r="ER2" s="2" t="s">
        <v>0</v>
      </c>
      <c r="ES2" s="2" t="s">
        <v>0</v>
      </c>
      <c r="ET2" s="2" t="s">
        <v>0</v>
      </c>
      <c r="EU2" s="2" t="s">
        <v>0</v>
      </c>
      <c r="EV2" s="2" t="s">
        <v>0</v>
      </c>
      <c r="EW2" s="2" t="s">
        <v>0</v>
      </c>
      <c r="EX2" s="2" t="s">
        <v>0</v>
      </c>
      <c r="EY2" s="2" t="s">
        <v>0</v>
      </c>
      <c r="EZ2" s="2" t="s">
        <v>0</v>
      </c>
      <c r="FA2" s="2" t="s">
        <v>0</v>
      </c>
      <c r="FB2" s="2" t="s">
        <v>0</v>
      </c>
      <c r="FC2" s="2" t="s">
        <v>0</v>
      </c>
      <c r="FD2" s="2" t="s">
        <v>1</v>
      </c>
      <c r="FE2" s="2" t="s">
        <v>0</v>
      </c>
      <c r="FF2" s="2" t="s">
        <v>0</v>
      </c>
      <c r="FG2" s="2" t="s">
        <v>0</v>
      </c>
      <c r="FH2" s="2" t="s">
        <v>0</v>
      </c>
      <c r="FI2" s="2" t="s">
        <v>0</v>
      </c>
      <c r="FJ2" s="2" t="s">
        <v>0</v>
      </c>
      <c r="FK2" s="2" t="s">
        <v>0</v>
      </c>
      <c r="FL2" s="2" t="s">
        <v>0</v>
      </c>
      <c r="FM2" s="2" t="s">
        <v>0</v>
      </c>
      <c r="FN2" s="2" t="s">
        <v>0</v>
      </c>
      <c r="FO2" s="2" t="s">
        <v>0</v>
      </c>
      <c r="FP2" s="2" t="s">
        <v>0</v>
      </c>
      <c r="FQ2" s="2" t="s">
        <v>0</v>
      </c>
      <c r="FR2" s="2" t="s">
        <v>1</v>
      </c>
      <c r="FS2" s="2" t="s">
        <v>0</v>
      </c>
      <c r="FT2" s="2" t="s">
        <v>0</v>
      </c>
      <c r="FU2" s="2" t="s">
        <v>0</v>
      </c>
      <c r="FV2" s="2" t="s">
        <v>0</v>
      </c>
      <c r="FW2" s="2" t="s">
        <v>0</v>
      </c>
      <c r="FX2" s="2" t="s">
        <v>0</v>
      </c>
      <c r="FY2" s="2" t="s">
        <v>0</v>
      </c>
      <c r="FZ2" s="2" t="s">
        <v>0</v>
      </c>
      <c r="GA2" s="2" t="s">
        <v>0</v>
      </c>
      <c r="GB2" s="2" t="s">
        <v>0</v>
      </c>
      <c r="GC2" s="2" t="s">
        <v>0</v>
      </c>
      <c r="GD2" s="2" t="s">
        <v>0</v>
      </c>
      <c r="GE2" s="2" t="s">
        <v>0</v>
      </c>
      <c r="GF2" s="2" t="s">
        <v>1</v>
      </c>
    </row>
    <row r="3" spans="1:232" ht="25">
      <c r="A3" s="34" t="s">
        <v>2</v>
      </c>
      <c r="C3" s="3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101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232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</row>
    <row r="4" spans="1:232" s="141" customFormat="1" ht="21" customHeight="1">
      <c r="A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1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1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1"/>
      <c r="ER4" s="169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223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233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254"/>
      <c r="GI4" s="254"/>
      <c r="GJ4" s="254"/>
      <c r="GK4" s="254"/>
      <c r="GL4" s="254"/>
      <c r="GM4" s="254"/>
      <c r="GN4" s="254"/>
      <c r="GO4" s="254"/>
      <c r="GP4" s="254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1"/>
      <c r="HV4" s="11"/>
      <c r="HW4" s="142"/>
      <c r="HX4" s="142"/>
    </row>
    <row r="5" spans="1:232" ht="100.5" customHeight="1">
      <c r="A5" s="358"/>
      <c r="B5" s="353" t="s">
        <v>4</v>
      </c>
      <c r="C5" s="358"/>
      <c r="D5" s="20">
        <v>2007</v>
      </c>
      <c r="E5" s="20">
        <v>2008</v>
      </c>
      <c r="F5" s="20">
        <v>2009</v>
      </c>
      <c r="G5" s="20">
        <v>2010</v>
      </c>
      <c r="H5" s="341">
        <v>2011</v>
      </c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20">
        <v>2011</v>
      </c>
      <c r="U5" s="20">
        <v>2011</v>
      </c>
      <c r="V5" s="341">
        <v>2012</v>
      </c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20">
        <v>2012</v>
      </c>
      <c r="AI5" s="20">
        <v>2012</v>
      </c>
      <c r="AJ5" s="341">
        <v>2013</v>
      </c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20">
        <v>2013</v>
      </c>
      <c r="AW5" s="20">
        <v>2013</v>
      </c>
      <c r="AX5" s="335">
        <v>2014</v>
      </c>
      <c r="AY5" s="336"/>
      <c r="AZ5" s="336"/>
      <c r="BA5" s="336"/>
      <c r="BB5" s="336"/>
      <c r="BC5" s="336"/>
      <c r="BD5" s="336"/>
      <c r="BE5" s="336"/>
      <c r="BF5" s="336"/>
      <c r="BG5" s="336"/>
      <c r="BH5" s="336"/>
      <c r="BI5" s="337"/>
      <c r="BJ5" s="20">
        <v>2014</v>
      </c>
      <c r="BK5" s="20">
        <v>2014</v>
      </c>
      <c r="BL5" s="335">
        <v>2015</v>
      </c>
      <c r="BM5" s="336"/>
      <c r="BN5" s="336"/>
      <c r="BO5" s="336"/>
      <c r="BP5" s="336"/>
      <c r="BQ5" s="336"/>
      <c r="BR5" s="336"/>
      <c r="BS5" s="336"/>
      <c r="BT5" s="336"/>
      <c r="BU5" s="336"/>
      <c r="BV5" s="336"/>
      <c r="BW5" s="337"/>
      <c r="BX5" s="134">
        <v>2015</v>
      </c>
      <c r="BY5" s="20">
        <v>2015</v>
      </c>
      <c r="BZ5" s="341">
        <v>2016</v>
      </c>
      <c r="CA5" s="341"/>
      <c r="CB5" s="341"/>
      <c r="CC5" s="341"/>
      <c r="CD5" s="341"/>
      <c r="CE5" s="341"/>
      <c r="CF5" s="341"/>
      <c r="CG5" s="341"/>
      <c r="CH5" s="341"/>
      <c r="CI5" s="341"/>
      <c r="CJ5" s="341"/>
      <c r="CK5" s="341"/>
      <c r="CL5" s="20">
        <v>2016</v>
      </c>
      <c r="CM5" s="158">
        <v>2016</v>
      </c>
      <c r="CN5" s="335">
        <v>2017</v>
      </c>
      <c r="CO5" s="336"/>
      <c r="CP5" s="336"/>
      <c r="CQ5" s="336"/>
      <c r="CR5" s="336"/>
      <c r="CS5" s="336"/>
      <c r="CT5" s="336"/>
      <c r="CU5" s="336"/>
      <c r="CV5" s="336"/>
      <c r="CW5" s="336"/>
      <c r="CX5" s="336"/>
      <c r="CY5" s="337"/>
      <c r="CZ5" s="154">
        <v>2017</v>
      </c>
      <c r="DA5" s="20">
        <f>CZ5</f>
        <v>2017</v>
      </c>
      <c r="DB5" s="335">
        <v>2018</v>
      </c>
      <c r="DC5" s="336"/>
      <c r="DD5" s="336"/>
      <c r="DE5" s="336"/>
      <c r="DF5" s="336"/>
      <c r="DG5" s="336"/>
      <c r="DH5" s="336"/>
      <c r="DI5" s="336"/>
      <c r="DJ5" s="336"/>
      <c r="DK5" s="336"/>
      <c r="DL5" s="336"/>
      <c r="DM5" s="337"/>
      <c r="DN5" s="154">
        <v>2018</v>
      </c>
      <c r="DO5" s="20">
        <f>DN5</f>
        <v>2018</v>
      </c>
      <c r="DP5" s="335">
        <v>2019</v>
      </c>
      <c r="DQ5" s="336"/>
      <c r="DR5" s="336"/>
      <c r="DS5" s="336"/>
      <c r="DT5" s="336"/>
      <c r="DU5" s="336"/>
      <c r="DV5" s="336"/>
      <c r="DW5" s="336"/>
      <c r="DX5" s="336"/>
      <c r="DY5" s="336"/>
      <c r="DZ5" s="336"/>
      <c r="EA5" s="337"/>
      <c r="EB5" s="154">
        <v>2019</v>
      </c>
      <c r="EC5" s="154">
        <v>2019</v>
      </c>
      <c r="ED5" s="335">
        <v>2020</v>
      </c>
      <c r="EE5" s="336"/>
      <c r="EF5" s="336"/>
      <c r="EG5" s="336"/>
      <c r="EH5" s="336"/>
      <c r="EI5" s="336"/>
      <c r="EJ5" s="336"/>
      <c r="EK5" s="336"/>
      <c r="EL5" s="336"/>
      <c r="EM5" s="336"/>
      <c r="EN5" s="336"/>
      <c r="EO5" s="337"/>
      <c r="EP5" s="134">
        <v>2020</v>
      </c>
      <c r="EQ5" s="154">
        <v>2020</v>
      </c>
      <c r="ER5" s="335">
        <v>2021</v>
      </c>
      <c r="ES5" s="336"/>
      <c r="ET5" s="336"/>
      <c r="EU5" s="336"/>
      <c r="EV5" s="336"/>
      <c r="EW5" s="336"/>
      <c r="EX5" s="336"/>
      <c r="EY5" s="336"/>
      <c r="EZ5" s="336"/>
      <c r="FA5" s="336"/>
      <c r="FB5" s="336"/>
      <c r="FC5" s="337"/>
      <c r="FD5" s="20">
        <v>2021</v>
      </c>
      <c r="FE5" s="134">
        <v>2021</v>
      </c>
      <c r="FF5" s="335">
        <v>2022</v>
      </c>
      <c r="FG5" s="336"/>
      <c r="FH5" s="336"/>
      <c r="FI5" s="336"/>
      <c r="FJ5" s="336"/>
      <c r="FK5" s="336"/>
      <c r="FL5" s="336"/>
      <c r="FM5" s="336"/>
      <c r="FN5" s="336"/>
      <c r="FO5" s="336"/>
      <c r="FP5" s="336"/>
      <c r="FQ5" s="337"/>
      <c r="FR5" s="20">
        <v>2022</v>
      </c>
      <c r="FS5" s="20">
        <v>2022</v>
      </c>
      <c r="FT5" s="335">
        <v>2023</v>
      </c>
      <c r="FU5" s="336"/>
      <c r="FV5" s="336"/>
      <c r="FW5" s="336"/>
      <c r="FX5" s="336"/>
      <c r="FY5" s="336"/>
      <c r="FZ5" s="336"/>
      <c r="GA5" s="336"/>
      <c r="GB5" s="336"/>
      <c r="GC5" s="336"/>
      <c r="GD5" s="336"/>
      <c r="GE5" s="337"/>
      <c r="GF5" s="20">
        <v>2023</v>
      </c>
      <c r="GG5" s="20">
        <v>2023</v>
      </c>
      <c r="GH5" s="335">
        <v>2024</v>
      </c>
      <c r="GI5" s="336"/>
      <c r="GJ5" s="336"/>
      <c r="GK5" s="336"/>
      <c r="GL5" s="336"/>
      <c r="GM5" s="336"/>
      <c r="GN5" s="336"/>
      <c r="GO5" s="336"/>
      <c r="GP5" s="336"/>
      <c r="GQ5" s="336"/>
      <c r="GR5" s="336"/>
      <c r="GS5" s="337"/>
      <c r="GT5" s="20">
        <v>2024</v>
      </c>
      <c r="GU5" s="20">
        <v>2024</v>
      </c>
      <c r="GV5" s="335">
        <v>2025</v>
      </c>
      <c r="GW5" s="336"/>
      <c r="GX5" s="336"/>
      <c r="GY5" s="336"/>
      <c r="GZ5" s="336"/>
      <c r="HA5" s="336"/>
      <c r="HB5" s="336"/>
      <c r="HC5" s="336"/>
      <c r="HD5" s="336"/>
      <c r="HE5" s="336"/>
      <c r="HF5" s="336"/>
      <c r="HG5" s="337"/>
      <c r="HH5" s="20">
        <v>2025</v>
      </c>
      <c r="HI5" s="335">
        <v>2026</v>
      </c>
      <c r="HJ5" s="336"/>
      <c r="HK5" s="336"/>
      <c r="HL5" s="336"/>
      <c r="HM5" s="336"/>
      <c r="HN5" s="336"/>
      <c r="HO5" s="336"/>
      <c r="HP5" s="336"/>
      <c r="HQ5" s="336"/>
      <c r="HR5" s="336"/>
      <c r="HS5" s="336"/>
      <c r="HT5" s="337"/>
      <c r="HU5" s="270">
        <v>2025</v>
      </c>
      <c r="HV5" s="270">
        <v>2026</v>
      </c>
      <c r="HW5" s="271" t="s">
        <v>5</v>
      </c>
      <c r="HX5" s="271" t="str">
        <f>HW5</f>
        <v>2026/2025</v>
      </c>
    </row>
    <row r="6" spans="1:232" ht="60" customHeight="1">
      <c r="A6" s="358"/>
      <c r="B6" s="353"/>
      <c r="C6" s="358"/>
      <c r="D6" s="24" t="s">
        <v>0</v>
      </c>
      <c r="E6" s="24" t="s">
        <v>0</v>
      </c>
      <c r="F6" s="24" t="s">
        <v>0</v>
      </c>
      <c r="G6" s="24" t="s">
        <v>0</v>
      </c>
      <c r="H6" s="24" t="s">
        <v>6</v>
      </c>
      <c r="I6" s="24" t="s">
        <v>7</v>
      </c>
      <c r="J6" s="24" t="s">
        <v>8</v>
      </c>
      <c r="K6" s="24" t="s">
        <v>9</v>
      </c>
      <c r="L6" s="24" t="s">
        <v>10</v>
      </c>
      <c r="M6" s="24" t="s">
        <v>11</v>
      </c>
      <c r="N6" s="24" t="s">
        <v>12</v>
      </c>
      <c r="O6" s="24" t="s">
        <v>13</v>
      </c>
      <c r="P6" s="24" t="s">
        <v>14</v>
      </c>
      <c r="Q6" s="24" t="s">
        <v>15</v>
      </c>
      <c r="R6" s="24" t="s">
        <v>16</v>
      </c>
      <c r="S6" s="24" t="s">
        <v>17</v>
      </c>
      <c r="T6" s="24" t="s">
        <v>1</v>
      </c>
      <c r="U6" s="24" t="s">
        <v>0</v>
      </c>
      <c r="V6" s="24" t="s">
        <v>6</v>
      </c>
      <c r="W6" s="24" t="s">
        <v>7</v>
      </c>
      <c r="X6" s="24" t="s">
        <v>8</v>
      </c>
      <c r="Y6" s="24" t="s">
        <v>9</v>
      </c>
      <c r="Z6" s="24" t="s">
        <v>10</v>
      </c>
      <c r="AA6" s="24" t="s">
        <v>11</v>
      </c>
      <c r="AB6" s="24" t="s">
        <v>12</v>
      </c>
      <c r="AC6" s="24" t="s">
        <v>13</v>
      </c>
      <c r="AD6" s="24" t="s">
        <v>14</v>
      </c>
      <c r="AE6" s="24" t="s">
        <v>15</v>
      </c>
      <c r="AF6" s="24" t="s">
        <v>16</v>
      </c>
      <c r="AG6" s="24" t="s">
        <v>17</v>
      </c>
      <c r="AH6" s="24" t="s">
        <v>1</v>
      </c>
      <c r="AI6" s="24" t="s">
        <v>0</v>
      </c>
      <c r="AJ6" s="24" t="s">
        <v>6</v>
      </c>
      <c r="AK6" s="24" t="s">
        <v>7</v>
      </c>
      <c r="AL6" s="24" t="s">
        <v>8</v>
      </c>
      <c r="AM6" s="24" t="s">
        <v>9</v>
      </c>
      <c r="AN6" s="24" t="s">
        <v>10</v>
      </c>
      <c r="AO6" s="24" t="s">
        <v>11</v>
      </c>
      <c r="AP6" s="24" t="s">
        <v>12</v>
      </c>
      <c r="AQ6" s="24" t="s">
        <v>13</v>
      </c>
      <c r="AR6" s="24" t="s">
        <v>14</v>
      </c>
      <c r="AS6" s="24" t="s">
        <v>15</v>
      </c>
      <c r="AT6" s="24" t="s">
        <v>16</v>
      </c>
      <c r="AU6" s="24" t="s">
        <v>17</v>
      </c>
      <c r="AV6" s="24" t="s">
        <v>1</v>
      </c>
      <c r="AW6" s="24" t="s">
        <v>0</v>
      </c>
      <c r="AX6" s="24" t="s">
        <v>6</v>
      </c>
      <c r="AY6" s="24" t="s">
        <v>7</v>
      </c>
      <c r="AZ6" s="24" t="s">
        <v>8</v>
      </c>
      <c r="BA6" s="24" t="s">
        <v>9</v>
      </c>
      <c r="BB6" s="24" t="s">
        <v>10</v>
      </c>
      <c r="BC6" s="24" t="s">
        <v>11</v>
      </c>
      <c r="BD6" s="24" t="s">
        <v>12</v>
      </c>
      <c r="BE6" s="24" t="s">
        <v>13</v>
      </c>
      <c r="BF6" s="24" t="s">
        <v>14</v>
      </c>
      <c r="BG6" s="24" t="s">
        <v>15</v>
      </c>
      <c r="BH6" s="24" t="s">
        <v>16</v>
      </c>
      <c r="BI6" s="24" t="s">
        <v>17</v>
      </c>
      <c r="BJ6" s="25" t="s">
        <v>1</v>
      </c>
      <c r="BK6" s="24" t="s">
        <v>18</v>
      </c>
      <c r="BL6" s="24" t="s">
        <v>6</v>
      </c>
      <c r="BM6" s="24" t="s">
        <v>7</v>
      </c>
      <c r="BN6" s="24" t="s">
        <v>8</v>
      </c>
      <c r="BO6" s="24" t="s">
        <v>9</v>
      </c>
      <c r="BP6" s="24" t="s">
        <v>10</v>
      </c>
      <c r="BQ6" s="24" t="s">
        <v>11</v>
      </c>
      <c r="BR6" s="24" t="s">
        <v>12</v>
      </c>
      <c r="BS6" s="24" t="s">
        <v>13</v>
      </c>
      <c r="BT6" s="24" t="s">
        <v>14</v>
      </c>
      <c r="BU6" s="24" t="s">
        <v>15</v>
      </c>
      <c r="BV6" s="24" t="s">
        <v>16</v>
      </c>
      <c r="BW6" s="24" t="s">
        <v>17</v>
      </c>
      <c r="BX6" s="24" t="s">
        <v>1</v>
      </c>
      <c r="BY6" s="24" t="s">
        <v>18</v>
      </c>
      <c r="BZ6" s="24" t="s">
        <v>6</v>
      </c>
      <c r="CA6" s="24" t="s">
        <v>7</v>
      </c>
      <c r="CB6" s="24" t="s">
        <v>8</v>
      </c>
      <c r="CC6" s="24" t="s">
        <v>9</v>
      </c>
      <c r="CD6" s="24" t="s">
        <v>10</v>
      </c>
      <c r="CE6" s="24" t="s">
        <v>11</v>
      </c>
      <c r="CF6" s="24" t="s">
        <v>12</v>
      </c>
      <c r="CG6" s="24" t="s">
        <v>13</v>
      </c>
      <c r="CH6" s="24" t="s">
        <v>14</v>
      </c>
      <c r="CI6" s="24" t="s">
        <v>15</v>
      </c>
      <c r="CJ6" s="24" t="s">
        <v>16</v>
      </c>
      <c r="CK6" s="24" t="s">
        <v>17</v>
      </c>
      <c r="CL6" s="24" t="s">
        <v>1</v>
      </c>
      <c r="CM6" s="24" t="s">
        <v>18</v>
      </c>
      <c r="CN6" s="24" t="s">
        <v>6</v>
      </c>
      <c r="CO6" s="24" t="s">
        <v>7</v>
      </c>
      <c r="CP6" s="24" t="s">
        <v>8</v>
      </c>
      <c r="CQ6" s="24" t="s">
        <v>9</v>
      </c>
      <c r="CR6" s="24" t="s">
        <v>10</v>
      </c>
      <c r="CS6" s="24" t="s">
        <v>11</v>
      </c>
      <c r="CT6" s="24" t="s">
        <v>12</v>
      </c>
      <c r="CU6" s="24" t="s">
        <v>13</v>
      </c>
      <c r="CV6" s="24" t="s">
        <v>14</v>
      </c>
      <c r="CW6" s="24" t="s">
        <v>15</v>
      </c>
      <c r="CX6" s="24" t="s">
        <v>16</v>
      </c>
      <c r="CY6" s="24" t="s">
        <v>17</v>
      </c>
      <c r="CZ6" s="24" t="s">
        <v>1</v>
      </c>
      <c r="DA6" s="24" t="s">
        <v>18</v>
      </c>
      <c r="DB6" s="24" t="s">
        <v>6</v>
      </c>
      <c r="DC6" s="24" t="s">
        <v>7</v>
      </c>
      <c r="DD6" s="24" t="s">
        <v>8</v>
      </c>
      <c r="DE6" s="24" t="s">
        <v>9</v>
      </c>
      <c r="DF6" s="24" t="s">
        <v>10</v>
      </c>
      <c r="DG6" s="24" t="s">
        <v>11</v>
      </c>
      <c r="DH6" s="24" t="s">
        <v>12</v>
      </c>
      <c r="DI6" s="24" t="s">
        <v>13</v>
      </c>
      <c r="DJ6" s="24" t="s">
        <v>14</v>
      </c>
      <c r="DK6" s="24" t="s">
        <v>15</v>
      </c>
      <c r="DL6" s="24" t="s">
        <v>16</v>
      </c>
      <c r="DM6" s="24" t="s">
        <v>17</v>
      </c>
      <c r="DN6" s="24" t="s">
        <v>1</v>
      </c>
      <c r="DO6" s="24" t="s">
        <v>18</v>
      </c>
      <c r="DP6" s="24" t="s">
        <v>6</v>
      </c>
      <c r="DQ6" s="24" t="s">
        <v>7</v>
      </c>
      <c r="DR6" s="24" t="s">
        <v>8</v>
      </c>
      <c r="DS6" s="24" t="s">
        <v>9</v>
      </c>
      <c r="DT6" s="24" t="s">
        <v>10</v>
      </c>
      <c r="DU6" s="24" t="s">
        <v>11</v>
      </c>
      <c r="DV6" s="24" t="s">
        <v>12</v>
      </c>
      <c r="DW6" s="24" t="s">
        <v>13</v>
      </c>
      <c r="DX6" s="24" t="s">
        <v>14</v>
      </c>
      <c r="DY6" s="24" t="s">
        <v>15</v>
      </c>
      <c r="DZ6" s="24" t="s">
        <v>16</v>
      </c>
      <c r="EA6" s="24" t="s">
        <v>17</v>
      </c>
      <c r="EB6" s="24" t="s">
        <v>1</v>
      </c>
      <c r="EC6" s="24" t="s">
        <v>18</v>
      </c>
      <c r="ED6" s="24" t="s">
        <v>6</v>
      </c>
      <c r="EE6" s="24" t="s">
        <v>7</v>
      </c>
      <c r="EF6" s="24" t="s">
        <v>8</v>
      </c>
      <c r="EG6" s="24" t="s">
        <v>9</v>
      </c>
      <c r="EH6" s="24" t="s">
        <v>10</v>
      </c>
      <c r="EI6" s="24" t="s">
        <v>11</v>
      </c>
      <c r="EJ6" s="24" t="s">
        <v>12</v>
      </c>
      <c r="EK6" s="24" t="s">
        <v>13</v>
      </c>
      <c r="EL6" s="24" t="s">
        <v>14</v>
      </c>
      <c r="EM6" s="24" t="s">
        <v>15</v>
      </c>
      <c r="EN6" s="24" t="s">
        <v>16</v>
      </c>
      <c r="EO6" s="24" t="s">
        <v>17</v>
      </c>
      <c r="EP6" s="24" t="s">
        <v>1</v>
      </c>
      <c r="EQ6" s="24" t="s">
        <v>18</v>
      </c>
      <c r="ER6" s="24" t="s">
        <v>6</v>
      </c>
      <c r="ES6" s="24" t="s">
        <v>7</v>
      </c>
      <c r="ET6" s="24" t="s">
        <v>8</v>
      </c>
      <c r="EU6" s="24" t="s">
        <v>9</v>
      </c>
      <c r="EV6" s="24" t="s">
        <v>10</v>
      </c>
      <c r="EW6" s="24" t="s">
        <v>11</v>
      </c>
      <c r="EX6" s="24" t="s">
        <v>12</v>
      </c>
      <c r="EY6" s="24" t="s">
        <v>13</v>
      </c>
      <c r="EZ6" s="24" t="s">
        <v>14</v>
      </c>
      <c r="FA6" s="24" t="s">
        <v>15</v>
      </c>
      <c r="FB6" s="24" t="s">
        <v>16</v>
      </c>
      <c r="FC6" s="24" t="s">
        <v>17</v>
      </c>
      <c r="FD6" s="24" t="s">
        <v>1</v>
      </c>
      <c r="FE6" s="24" t="s">
        <v>18</v>
      </c>
      <c r="FF6" s="24" t="s">
        <v>6</v>
      </c>
      <c r="FG6" s="24" t="s">
        <v>7</v>
      </c>
      <c r="FH6" s="24" t="s">
        <v>8</v>
      </c>
      <c r="FI6" s="24" t="s">
        <v>9</v>
      </c>
      <c r="FJ6" s="24" t="s">
        <v>10</v>
      </c>
      <c r="FK6" s="24" t="s">
        <v>11</v>
      </c>
      <c r="FL6" s="24" t="s">
        <v>12</v>
      </c>
      <c r="FM6" s="24" t="s">
        <v>13</v>
      </c>
      <c r="FN6" s="24" t="s">
        <v>14</v>
      </c>
      <c r="FO6" s="24" t="s">
        <v>15</v>
      </c>
      <c r="FP6" s="24" t="s">
        <v>16</v>
      </c>
      <c r="FQ6" s="24" t="s">
        <v>17</v>
      </c>
      <c r="FR6" s="24" t="s">
        <v>1</v>
      </c>
      <c r="FS6" s="24" t="s">
        <v>18</v>
      </c>
      <c r="FT6" s="24" t="s">
        <v>6</v>
      </c>
      <c r="FU6" s="24" t="s">
        <v>7</v>
      </c>
      <c r="FV6" s="24" t="s">
        <v>8</v>
      </c>
      <c r="FW6" s="24" t="s">
        <v>9</v>
      </c>
      <c r="FX6" s="24" t="s">
        <v>10</v>
      </c>
      <c r="FY6" s="24" t="s">
        <v>11</v>
      </c>
      <c r="FZ6" s="24" t="s">
        <v>12</v>
      </c>
      <c r="GA6" s="24" t="s">
        <v>13</v>
      </c>
      <c r="GB6" s="24" t="s">
        <v>14</v>
      </c>
      <c r="GC6" s="24" t="s">
        <v>15</v>
      </c>
      <c r="GD6" s="24" t="s">
        <v>16</v>
      </c>
      <c r="GE6" s="24" t="s">
        <v>17</v>
      </c>
      <c r="GF6" s="24" t="s">
        <v>1</v>
      </c>
      <c r="GG6" s="24" t="s">
        <v>18</v>
      </c>
      <c r="GH6" s="24" t="s">
        <v>6</v>
      </c>
      <c r="GI6" s="24" t="s">
        <v>7</v>
      </c>
      <c r="GJ6" s="24" t="s">
        <v>8</v>
      </c>
      <c r="GK6" s="24" t="s">
        <v>9</v>
      </c>
      <c r="GL6" s="24" t="s">
        <v>10</v>
      </c>
      <c r="GM6" s="24" t="s">
        <v>11</v>
      </c>
      <c r="GN6" s="24" t="s">
        <v>12</v>
      </c>
      <c r="GO6" s="24" t="s">
        <v>13</v>
      </c>
      <c r="GP6" s="24" t="s">
        <v>14</v>
      </c>
      <c r="GQ6" s="24" t="s">
        <v>15</v>
      </c>
      <c r="GR6" s="24" t="s">
        <v>16</v>
      </c>
      <c r="GS6" s="24" t="s">
        <v>17</v>
      </c>
      <c r="GT6" s="25" t="s">
        <v>1</v>
      </c>
      <c r="GU6" s="24" t="s">
        <v>18</v>
      </c>
      <c r="GV6" s="24" t="s">
        <v>6</v>
      </c>
      <c r="GW6" s="24" t="s">
        <v>7</v>
      </c>
      <c r="GX6" s="24" t="s">
        <v>8</v>
      </c>
      <c r="GY6" s="24" t="s">
        <v>9</v>
      </c>
      <c r="GZ6" s="24" t="s">
        <v>10</v>
      </c>
      <c r="HA6" s="24" t="s">
        <v>11</v>
      </c>
      <c r="HB6" s="24" t="s">
        <v>12</v>
      </c>
      <c r="HC6" s="24" t="s">
        <v>13</v>
      </c>
      <c r="HD6" s="24" t="s">
        <v>14</v>
      </c>
      <c r="HE6" s="24" t="s">
        <v>15</v>
      </c>
      <c r="HF6" s="24" t="s">
        <v>16</v>
      </c>
      <c r="HG6" s="24" t="s">
        <v>17</v>
      </c>
      <c r="HH6" s="24" t="s">
        <v>1</v>
      </c>
      <c r="HI6" s="24" t="s">
        <v>6</v>
      </c>
      <c r="HJ6" s="24" t="s">
        <v>7</v>
      </c>
      <c r="HK6" s="24" t="s">
        <v>8</v>
      </c>
      <c r="HL6" s="24" t="s">
        <v>9</v>
      </c>
      <c r="HM6" s="24" t="s">
        <v>10</v>
      </c>
      <c r="HN6" s="24" t="s">
        <v>11</v>
      </c>
      <c r="HO6" s="24" t="s">
        <v>12</v>
      </c>
      <c r="HP6" s="24" t="s">
        <v>13</v>
      </c>
      <c r="HQ6" s="24" t="s">
        <v>14</v>
      </c>
      <c r="HR6" s="24" t="s">
        <v>15</v>
      </c>
      <c r="HS6" s="24" t="s">
        <v>16</v>
      </c>
      <c r="HT6" s="24" t="s">
        <v>17</v>
      </c>
      <c r="HU6" s="272" t="s">
        <v>260</v>
      </c>
      <c r="HV6" s="272" t="s">
        <v>260</v>
      </c>
      <c r="HW6" s="273" t="str">
        <f>"Izmaiņas "&amp;HV6&amp;" "&amp;HW5&amp;", milj. euro"</f>
        <v>Izmaiņas I-IV 2026/2025, milj. euro</v>
      </c>
      <c r="HX6" s="273" t="str">
        <f>"Izmaiņas "&amp;HV6&amp;" "&amp;HX5&amp;", %"</f>
        <v>Izmaiņas I-IV 2026/2025, %</v>
      </c>
    </row>
    <row r="7" spans="1:232" s="12" customFormat="1" ht="20">
      <c r="A7" s="37" t="s">
        <v>25</v>
      </c>
      <c r="C7" s="37" t="s">
        <v>26</v>
      </c>
      <c r="D7" s="37">
        <v>7612.4459749802218</v>
      </c>
      <c r="E7" s="37">
        <v>8149.0118354477208</v>
      </c>
      <c r="F7" s="37">
        <v>6727.8491300561745</v>
      </c>
      <c r="G7" s="37">
        <v>6550.6694142321321</v>
      </c>
      <c r="H7" s="37">
        <v>520.04445905259502</v>
      </c>
      <c r="I7" s="37">
        <v>490.09387539057838</v>
      </c>
      <c r="J7" s="37">
        <v>508.4865282496969</v>
      </c>
      <c r="K7" s="37">
        <v>554.87942584276709</v>
      </c>
      <c r="L7" s="37">
        <v>608.14146191541317</v>
      </c>
      <c r="M7" s="37">
        <v>657.11787212366471</v>
      </c>
      <c r="N7" s="37">
        <v>565.23386321079568</v>
      </c>
      <c r="O7" s="37">
        <v>878.99722824571279</v>
      </c>
      <c r="P7" s="37">
        <v>631.71245325866107</v>
      </c>
      <c r="Q7" s="37">
        <v>592.44093659114071</v>
      </c>
      <c r="R7" s="37">
        <v>606.17561510748374</v>
      </c>
      <c r="S7" s="37">
        <v>625.30614794451924</v>
      </c>
      <c r="T7" s="37">
        <v>7238.629866933029</v>
      </c>
      <c r="U7" s="37">
        <v>7235.9878429832506</v>
      </c>
      <c r="V7" s="37">
        <v>636.38675139868292</v>
      </c>
      <c r="W7" s="37">
        <v>546.31088639222321</v>
      </c>
      <c r="X7" s="37">
        <v>594.27024333953693</v>
      </c>
      <c r="Y7" s="37">
        <v>651.40985628994724</v>
      </c>
      <c r="Z7" s="37">
        <v>666.40961775971687</v>
      </c>
      <c r="AA7" s="37">
        <v>697.79826665756048</v>
      </c>
      <c r="AB7" s="37">
        <v>796.3988013585581</v>
      </c>
      <c r="AC7" s="37">
        <v>865.42651863108335</v>
      </c>
      <c r="AD7" s="37">
        <v>645.32943580286974</v>
      </c>
      <c r="AE7" s="37">
        <v>665.75238644060084</v>
      </c>
      <c r="AF7" s="37">
        <v>666.10986989260164</v>
      </c>
      <c r="AG7" s="37">
        <v>739.64062384391673</v>
      </c>
      <c r="AH7" s="37">
        <v>8171.2432578072976</v>
      </c>
      <c r="AI7" s="37">
        <v>8174.9550514795019</v>
      </c>
      <c r="AJ7" s="37">
        <v>662.06153636006627</v>
      </c>
      <c r="AK7" s="37">
        <v>586.36673951770342</v>
      </c>
      <c r="AL7" s="37">
        <v>747.27497566889213</v>
      </c>
      <c r="AM7" s="37">
        <v>770.40031075520346</v>
      </c>
      <c r="AN7" s="37">
        <v>756.28998932846139</v>
      </c>
      <c r="AO7" s="37">
        <v>676.66683314266857</v>
      </c>
      <c r="AP7" s="37">
        <v>743.24924730081227</v>
      </c>
      <c r="AQ7" s="37">
        <v>746.2829835914423</v>
      </c>
      <c r="AR7" s="37">
        <v>673.93861446434562</v>
      </c>
      <c r="AS7" s="37">
        <v>713.22533878577804</v>
      </c>
      <c r="AT7" s="37">
        <v>613.37840991229427</v>
      </c>
      <c r="AU7" s="37">
        <v>691.42236953688359</v>
      </c>
      <c r="AV7" s="37">
        <v>8380.5573483645512</v>
      </c>
      <c r="AW7" s="37">
        <v>8364.3611149054359</v>
      </c>
      <c r="AX7" s="38">
        <f t="shared" ref="AX7:BI7" si="0">AX8+AX32+AX33+AX34+AX35+AX39</f>
        <v>669.15036543999997</v>
      </c>
      <c r="AY7" s="38">
        <f t="shared" si="0"/>
        <v>702.33651727999995</v>
      </c>
      <c r="AZ7" s="38">
        <f t="shared" si="0"/>
        <v>634.46490998999991</v>
      </c>
      <c r="BA7" s="38">
        <f t="shared" si="0"/>
        <v>729.4782836899999</v>
      </c>
      <c r="BB7" s="38">
        <f t="shared" si="0"/>
        <v>697.76886613999989</v>
      </c>
      <c r="BC7" s="38">
        <f t="shared" si="0"/>
        <v>930.30122159999996</v>
      </c>
      <c r="BD7" s="38">
        <f t="shared" si="0"/>
        <v>717.43125480000003</v>
      </c>
      <c r="BE7" s="38">
        <f t="shared" si="0"/>
        <v>705.63082687999997</v>
      </c>
      <c r="BF7" s="38">
        <f t="shared" si="0"/>
        <v>664.10156457999983</v>
      </c>
      <c r="BG7" s="38">
        <f t="shared" si="0"/>
        <v>698.90034092999986</v>
      </c>
      <c r="BH7" s="38">
        <f t="shared" si="0"/>
        <v>633.55395424000017</v>
      </c>
      <c r="BI7" s="66">
        <f t="shared" si="0"/>
        <v>752.79041567000002</v>
      </c>
      <c r="BJ7" s="67">
        <f t="shared" ref="BJ7:BJ37" si="1">SUM(AX7:BI7)</f>
        <v>8535.9085212400005</v>
      </c>
      <c r="BK7" s="66">
        <f>BK8+BK32+BK33+BK34+BK35+BK39</f>
        <v>8532.6856359999983</v>
      </c>
      <c r="BL7" s="66">
        <f>BL8+BL32+BL33+BL34+BL35+BL39</f>
        <v>739.90146539</v>
      </c>
      <c r="BM7" s="66">
        <v>673.2950350399999</v>
      </c>
      <c r="BN7" s="66">
        <v>783.83247659000017</v>
      </c>
      <c r="BO7" s="66">
        <v>877.35958700000026</v>
      </c>
      <c r="BP7" s="66">
        <v>738.22147658000017</v>
      </c>
      <c r="BQ7" s="66">
        <v>773.49445748999983</v>
      </c>
      <c r="BR7" s="66">
        <v>677.59343219999971</v>
      </c>
      <c r="BS7" s="66">
        <v>809.25596309000002</v>
      </c>
      <c r="BT7" s="66">
        <v>621.65515809999965</v>
      </c>
      <c r="BU7" s="66">
        <v>734.45893104000015</v>
      </c>
      <c r="BV7" s="66">
        <v>663.90964456999961</v>
      </c>
      <c r="BW7" s="66">
        <v>729.58473817999959</v>
      </c>
      <c r="BX7" s="67">
        <f>SUM(BL7:BW7)</f>
        <v>8822.5623652699978</v>
      </c>
      <c r="BY7" s="67">
        <f>BY8+BY32+BY33+BY34+BY35+BY39</f>
        <v>8814.6487023200007</v>
      </c>
      <c r="BZ7" s="67">
        <v>728.28355531000011</v>
      </c>
      <c r="CA7" s="67">
        <v>812.49454261000017</v>
      </c>
      <c r="CB7" s="67">
        <v>673.80896195000014</v>
      </c>
      <c r="CC7" s="67">
        <v>771.6439166599996</v>
      </c>
      <c r="CD7" s="67">
        <v>834.34127364999995</v>
      </c>
      <c r="CE7" s="150">
        <v>734.56616660999998</v>
      </c>
      <c r="CF7" s="67">
        <v>742.54324895999991</v>
      </c>
      <c r="CG7" s="67">
        <v>738.28442366000036</v>
      </c>
      <c r="CH7" s="67">
        <v>721.85015873000066</v>
      </c>
      <c r="CI7" s="67">
        <v>743.07416115000058</v>
      </c>
      <c r="CJ7" s="67">
        <v>725.55177905000028</v>
      </c>
      <c r="CK7" s="67">
        <v>843.4167266799999</v>
      </c>
      <c r="CL7" s="67">
        <f>SUM(BZ7:CK7)</f>
        <v>9069.8589150200005</v>
      </c>
      <c r="CM7" s="67">
        <f>CM8+CM32+CM33+CM34+CM35+CM39</f>
        <v>9065.197728000001</v>
      </c>
      <c r="CN7" s="67">
        <v>796.68608243000006</v>
      </c>
      <c r="CO7" s="67">
        <v>788.03942313999994</v>
      </c>
      <c r="CP7" s="67">
        <v>711.49708975999988</v>
      </c>
      <c r="CQ7" s="67">
        <v>837.39114862999963</v>
      </c>
      <c r="CR7" s="67">
        <v>829.81236538999997</v>
      </c>
      <c r="CS7" s="67">
        <v>858.61470745999986</v>
      </c>
      <c r="CT7" s="67">
        <v>793.87589476000005</v>
      </c>
      <c r="CU7" s="67">
        <v>812.12850832000038</v>
      </c>
      <c r="CV7" s="67">
        <v>724.05872839999984</v>
      </c>
      <c r="CW7" s="67">
        <v>814.40063669999995</v>
      </c>
      <c r="CX7" s="67">
        <v>757.01609750000023</v>
      </c>
      <c r="CY7" s="67">
        <v>900.96775630000002</v>
      </c>
      <c r="CZ7" s="67">
        <f>SUM(CN7:CY7)</f>
        <v>9624.4884387900001</v>
      </c>
      <c r="DA7" s="67">
        <f>DA8+DA32+DA33+DA34+DA35+DA39</f>
        <v>9621.4669539999995</v>
      </c>
      <c r="DB7" s="67">
        <v>879.75822275000041</v>
      </c>
      <c r="DC7" s="67">
        <v>914.56924210999944</v>
      </c>
      <c r="DD7" s="67">
        <v>740.06061522000027</v>
      </c>
      <c r="DE7" s="67">
        <v>928.53587488000062</v>
      </c>
      <c r="DF7" s="67">
        <v>1055.5599995500002</v>
      </c>
      <c r="DG7" s="67">
        <v>892.33502289000126</v>
      </c>
      <c r="DH7" s="67">
        <v>1087.3611470799997</v>
      </c>
      <c r="DI7" s="67">
        <v>901.41271517999962</v>
      </c>
      <c r="DJ7" s="67">
        <v>783.8929415500005</v>
      </c>
      <c r="DK7" s="67">
        <v>891.42771253000001</v>
      </c>
      <c r="DL7" s="67">
        <v>890.65900799000201</v>
      </c>
      <c r="DM7" s="67">
        <v>917.33079429000043</v>
      </c>
      <c r="DN7" s="67">
        <f>SUM(DB7:DM7)</f>
        <v>10882.903296020004</v>
      </c>
      <c r="DO7" s="67">
        <f>DO8+DO32+DO33+DO34+DO35+DO39</f>
        <v>10877.994466999999</v>
      </c>
      <c r="DP7" s="66">
        <v>975.69772806000014</v>
      </c>
      <c r="DQ7" s="67">
        <v>1006.4303398199974</v>
      </c>
      <c r="DR7" s="67">
        <v>735.13308486000039</v>
      </c>
      <c r="DS7" s="67">
        <v>1000.9727181799991</v>
      </c>
      <c r="DT7" s="67">
        <v>1108.8586822300003</v>
      </c>
      <c r="DU7" s="67">
        <v>1079.8662640300013</v>
      </c>
      <c r="DV7" s="67">
        <v>890.27918980999948</v>
      </c>
      <c r="DW7" s="67">
        <v>854.62423974000058</v>
      </c>
      <c r="DX7" s="67">
        <v>789.32894585000145</v>
      </c>
      <c r="DY7" s="67">
        <v>1001.2842616399996</v>
      </c>
      <c r="DZ7" s="67">
        <v>855.82699651999656</v>
      </c>
      <c r="EA7" s="67">
        <v>1116.0528978099931</v>
      </c>
      <c r="EB7" s="67">
        <f>SUM(DP7:EA7)</f>
        <v>11414.355348549991</v>
      </c>
      <c r="EC7" s="67">
        <f>EC8+EC32+EC33+EC34+EC35+EC39</f>
        <v>11407.567367999998</v>
      </c>
      <c r="ED7" s="67">
        <v>990.25596782999003</v>
      </c>
      <c r="EE7" s="67">
        <v>1003.9868027099949</v>
      </c>
      <c r="EF7" s="67">
        <v>790.97386164000056</v>
      </c>
      <c r="EG7" s="67">
        <v>1008.3431726899995</v>
      </c>
      <c r="EH7" s="67">
        <v>915.66134771000009</v>
      </c>
      <c r="EI7" s="67">
        <v>817.5245266500001</v>
      </c>
      <c r="EJ7" s="67">
        <v>1137.2783900699992</v>
      </c>
      <c r="EK7" s="67">
        <v>905.5973567000002</v>
      </c>
      <c r="EL7" s="66">
        <v>848.82249442000489</v>
      </c>
      <c r="EM7" s="66">
        <v>906.22744375000036</v>
      </c>
      <c r="EN7" s="66">
        <v>896.99539900000002</v>
      </c>
      <c r="EO7" s="66">
        <v>1098.8391798399987</v>
      </c>
      <c r="EP7" s="67">
        <f>SUM(ED7:EO7)</f>
        <v>11320.505943009988</v>
      </c>
      <c r="EQ7" s="67">
        <f>EQ8+EQ32+EQ33+EQ34+EQ35+EQ39</f>
        <v>11337.368111999998</v>
      </c>
      <c r="ER7" s="66">
        <v>1025.7292200500003</v>
      </c>
      <c r="ES7" s="66">
        <v>1050.032946750001</v>
      </c>
      <c r="ET7" s="66">
        <v>729.4503538199998</v>
      </c>
      <c r="EU7" s="66">
        <v>1125.8526099999999</v>
      </c>
      <c r="EV7" s="66">
        <v>1104.1555548000001</v>
      </c>
      <c r="EW7" s="66">
        <v>976.60062798000047</v>
      </c>
      <c r="EX7" s="66">
        <v>1162.6320020000001</v>
      </c>
      <c r="EY7" s="66">
        <v>1025.7200218099999</v>
      </c>
      <c r="EZ7" s="66">
        <v>1184.8510803299989</v>
      </c>
      <c r="FA7" s="66">
        <v>993.45341299999995</v>
      </c>
      <c r="FB7" s="66">
        <v>1074.8721054600012</v>
      </c>
      <c r="FC7" s="66">
        <v>1121.9440720400003</v>
      </c>
      <c r="FD7" s="67">
        <f>SUM(ER7:FC7)</f>
        <v>12575.294008040002</v>
      </c>
      <c r="FE7" s="67">
        <f>FE8+FE32+FE33+FE34+FE35+FE39</f>
        <v>12549.202950000003</v>
      </c>
      <c r="FF7" s="67">
        <v>1230.17004707</v>
      </c>
      <c r="FG7" s="67">
        <v>1166.3799071400003</v>
      </c>
      <c r="FH7" s="67">
        <v>896.1987957300006</v>
      </c>
      <c r="FI7" s="67">
        <v>1240.4802940299996</v>
      </c>
      <c r="FJ7" s="67">
        <v>1141.5835551299999</v>
      </c>
      <c r="FK7" s="159">
        <v>1110.07388098</v>
      </c>
      <c r="FL7" s="67">
        <v>1217.5086168400019</v>
      </c>
      <c r="FM7" s="67">
        <v>1222.0305849299993</v>
      </c>
      <c r="FN7" s="67">
        <v>1079.1676923599996</v>
      </c>
      <c r="FO7" s="67">
        <v>1328.71260695</v>
      </c>
      <c r="FP7" s="67">
        <v>1261.9344391200004</v>
      </c>
      <c r="FQ7" s="67">
        <v>1379.60765778</v>
      </c>
      <c r="FR7" s="67">
        <f>SUM(FF7:FQ7)</f>
        <v>14273.84807806</v>
      </c>
      <c r="FS7" s="67">
        <f>FS8+FS32+FS33+FS34+FS35+FS39</f>
        <v>14294.401175999998</v>
      </c>
      <c r="FT7" s="67">
        <v>1307.4956860300013</v>
      </c>
      <c r="FU7" s="67">
        <v>1335.0767290699987</v>
      </c>
      <c r="FV7" s="67">
        <v>941.93314390999922</v>
      </c>
      <c r="FW7" s="67">
        <v>1392.9834267600002</v>
      </c>
      <c r="FX7" s="67">
        <v>1402.4981868499995</v>
      </c>
      <c r="FY7" s="67">
        <v>1304.04559743</v>
      </c>
      <c r="FZ7" s="67">
        <v>1459.7498660000001</v>
      </c>
      <c r="GA7" s="67">
        <v>1257.8764940000001</v>
      </c>
      <c r="GB7" s="67">
        <v>1217.8694969000005</v>
      </c>
      <c r="GC7" s="67">
        <v>1209.8059030000002</v>
      </c>
      <c r="GD7" s="67">
        <v>1354.0902443400018</v>
      </c>
      <c r="GE7" s="67">
        <v>1358.3218028900008</v>
      </c>
      <c r="GF7" s="67">
        <f>SUM(FT7:GE7)</f>
        <v>15541.746577180002</v>
      </c>
      <c r="GG7" s="67">
        <f>GG8+GG32+GG33+GG34+GG35+GG39</f>
        <v>15627.991574</v>
      </c>
      <c r="GH7" s="67">
        <v>1557.3598014000008</v>
      </c>
      <c r="GI7" s="67">
        <v>1355.0564549899991</v>
      </c>
      <c r="GJ7" s="67">
        <v>1183.4980080000003</v>
      </c>
      <c r="GK7" s="67">
        <v>1415.647642730002</v>
      </c>
      <c r="GL7" s="67">
        <v>1711.8602442800011</v>
      </c>
      <c r="GM7" s="67">
        <v>1789.6382225700004</v>
      </c>
      <c r="GN7" s="67">
        <v>1478.7260714600006</v>
      </c>
      <c r="GO7" s="67">
        <v>1374.6931983600009</v>
      </c>
      <c r="GP7" s="67">
        <v>1261.5561070000001</v>
      </c>
      <c r="GQ7" s="67">
        <v>1282.7322326799995</v>
      </c>
      <c r="GR7" s="67">
        <v>1264.7482378499992</v>
      </c>
      <c r="GS7" s="67">
        <v>1470.1914317400006</v>
      </c>
      <c r="GT7" s="67">
        <f>SUM(GH7:GS7)</f>
        <v>17145.707653060002</v>
      </c>
      <c r="GU7" s="67">
        <f>GU8+GU32+GU33+GU34+GU35+GU39</f>
        <v>17171.050654729999</v>
      </c>
      <c r="GV7" s="67">
        <v>1450.4652405599998</v>
      </c>
      <c r="GW7" s="67">
        <v>1441.9829530800002</v>
      </c>
      <c r="GX7" s="67">
        <v>1161.20619704</v>
      </c>
      <c r="GY7" s="67">
        <v>1396.9409020599996</v>
      </c>
      <c r="GZ7" s="67">
        <v>1772.4104736299994</v>
      </c>
      <c r="HA7" s="67">
        <v>1707.6907162900013</v>
      </c>
      <c r="HB7" s="67">
        <v>1423.4187455900001</v>
      </c>
      <c r="HC7" s="67">
        <v>1610.472434060001</v>
      </c>
      <c r="HD7" s="67">
        <v>1294.15493094</v>
      </c>
      <c r="HE7" s="67">
        <v>1351.4766320000001</v>
      </c>
      <c r="HF7" s="67">
        <v>1335.4146129999999</v>
      </c>
      <c r="HG7" s="67">
        <v>1832.0927489999999</v>
      </c>
      <c r="HH7" s="67">
        <f>SUM(GV7:HG7)</f>
        <v>17777.726587249999</v>
      </c>
      <c r="HI7" s="67">
        <v>1501.8970278500001</v>
      </c>
      <c r="HJ7" s="67">
        <v>2041.843871</v>
      </c>
      <c r="HK7" s="67">
        <v>1241.8058736499997</v>
      </c>
      <c r="HL7" s="67">
        <v>1429.5560537000006</v>
      </c>
      <c r="HM7" s="67"/>
      <c r="HN7" s="67"/>
      <c r="HO7" s="67"/>
      <c r="HP7" s="67"/>
      <c r="HQ7" s="67"/>
      <c r="HR7" s="67"/>
      <c r="HS7" s="67"/>
      <c r="HT7" s="67"/>
      <c r="HU7" s="274">
        <f>ROUND(SUM(GV7:GY7),6)</f>
        <v>5450.5952930000003</v>
      </c>
      <c r="HV7" s="274">
        <f>ROUND(SUM(HI7:HL7),6)</f>
        <v>6215.1028260000003</v>
      </c>
      <c r="HW7" s="275">
        <f>HV7-HU7</f>
        <v>764.50753299999997</v>
      </c>
      <c r="HX7" s="275">
        <f t="shared" ref="HX7:HX8" si="2">HV7/HU7*100-100</f>
        <v>14.026129108903547</v>
      </c>
    </row>
    <row r="8" spans="1:232" s="12" customFormat="1" ht="20.5">
      <c r="A8" s="42" t="s">
        <v>27</v>
      </c>
      <c r="B8" s="12" t="s">
        <v>28</v>
      </c>
      <c r="C8" s="42" t="s">
        <v>29</v>
      </c>
      <c r="D8" s="42">
        <v>6208.1347431147233</v>
      </c>
      <c r="E8" s="42">
        <v>6740.7203075110565</v>
      </c>
      <c r="F8" s="42">
        <v>4993.8483844713455</v>
      </c>
      <c r="G8" s="42">
        <v>4841.748160226749</v>
      </c>
      <c r="H8" s="42">
        <v>433.71145440264996</v>
      </c>
      <c r="I8" s="42">
        <v>367.40624697639743</v>
      </c>
      <c r="J8" s="42">
        <v>422.90248490333011</v>
      </c>
      <c r="K8" s="42">
        <v>453.37348962157307</v>
      </c>
      <c r="L8" s="42">
        <v>464.56304318131379</v>
      </c>
      <c r="M8" s="42">
        <v>451.11584453133452</v>
      </c>
      <c r="N8" s="42">
        <v>504.94620548545544</v>
      </c>
      <c r="O8" s="42">
        <v>482.88068366144756</v>
      </c>
      <c r="P8" s="42">
        <v>475.92566775374075</v>
      </c>
      <c r="Q8" s="42">
        <v>481.04304471801521</v>
      </c>
      <c r="R8" s="42">
        <v>490.88769557373041</v>
      </c>
      <c r="S8" s="42">
        <v>489.96027057330349</v>
      </c>
      <c r="T8" s="42">
        <v>5518.7161313822908</v>
      </c>
      <c r="U8" s="42">
        <v>5518.6989189019987</v>
      </c>
      <c r="V8" s="42">
        <v>502.97347197796256</v>
      </c>
      <c r="W8" s="42">
        <v>444.19899881047922</v>
      </c>
      <c r="X8" s="42">
        <v>477.11437185901048</v>
      </c>
      <c r="Y8" s="42">
        <v>512.69874815738103</v>
      </c>
      <c r="Z8" s="42">
        <v>519.57043500037003</v>
      </c>
      <c r="AA8" s="42">
        <v>512.06536815385243</v>
      </c>
      <c r="AB8" s="42">
        <v>534.84737992384794</v>
      </c>
      <c r="AC8" s="42">
        <v>531.52338062959222</v>
      </c>
      <c r="AD8" s="42">
        <v>494.4060235855232</v>
      </c>
      <c r="AE8" s="42">
        <v>515.61981292081441</v>
      </c>
      <c r="AF8" s="42">
        <v>529.06795493480399</v>
      </c>
      <c r="AG8" s="42">
        <v>528.6307064273966</v>
      </c>
      <c r="AH8" s="42">
        <v>6102.7166523810356</v>
      </c>
      <c r="AI8" s="42">
        <v>6102.6702892982967</v>
      </c>
      <c r="AJ8" s="42">
        <v>549.95650565449262</v>
      </c>
      <c r="AK8" s="42">
        <v>465.49589786057004</v>
      </c>
      <c r="AL8" s="42">
        <v>503.2090099088793</v>
      </c>
      <c r="AM8" s="42">
        <v>559.09785231236685</v>
      </c>
      <c r="AN8" s="42">
        <v>552.59753217605396</v>
      </c>
      <c r="AO8" s="42">
        <v>513.83350265507886</v>
      </c>
      <c r="AP8" s="42">
        <v>563.76676996716014</v>
      </c>
      <c r="AQ8" s="42">
        <v>562.62706956704858</v>
      </c>
      <c r="AR8" s="42">
        <v>516.75199628915027</v>
      </c>
      <c r="AS8" s="42">
        <v>526.7069538591129</v>
      </c>
      <c r="AT8" s="42">
        <v>538.25760951844336</v>
      </c>
      <c r="AU8" s="42">
        <v>574.01197346628646</v>
      </c>
      <c r="AV8" s="42">
        <v>6426.3126732346427</v>
      </c>
      <c r="AW8" s="42">
        <v>6426.3130944046989</v>
      </c>
      <c r="AX8" s="44">
        <f t="shared" ref="AX8:BI8" si="3">AX9+AX18+AX30</f>
        <v>563.34233500000005</v>
      </c>
      <c r="AY8" s="44">
        <f t="shared" si="3"/>
        <v>484.01844699999998</v>
      </c>
      <c r="AZ8" s="44">
        <f t="shared" si="3"/>
        <v>522.45997199999999</v>
      </c>
      <c r="BA8" s="44">
        <f t="shared" si="3"/>
        <v>577.31168200000002</v>
      </c>
      <c r="BB8" s="44">
        <f t="shared" si="3"/>
        <v>543.40839699999992</v>
      </c>
      <c r="BC8" s="44">
        <f t="shared" si="3"/>
        <v>561.04938299999992</v>
      </c>
      <c r="BD8" s="44">
        <f t="shared" si="3"/>
        <v>588.721992</v>
      </c>
      <c r="BE8" s="44">
        <f t="shared" si="3"/>
        <v>592.50103700000011</v>
      </c>
      <c r="BF8" s="44">
        <f t="shared" si="3"/>
        <v>544.26977167999996</v>
      </c>
      <c r="BG8" s="44">
        <f t="shared" si="3"/>
        <v>552.72812165999994</v>
      </c>
      <c r="BH8" s="44">
        <f t="shared" si="3"/>
        <v>562.03671759000008</v>
      </c>
      <c r="BI8" s="44">
        <f t="shared" si="3"/>
        <v>584.08129409000003</v>
      </c>
      <c r="BJ8" s="50">
        <f t="shared" si="1"/>
        <v>6675.9291500200015</v>
      </c>
      <c r="BK8" s="44">
        <f>BK9+BK18+BK30</f>
        <v>6676.3466449999996</v>
      </c>
      <c r="BL8" s="44">
        <f>BL9+BL18+BL30</f>
        <v>596.49770616000001</v>
      </c>
      <c r="BM8" s="44">
        <v>506.94067818000002</v>
      </c>
      <c r="BN8" s="44">
        <v>558.52239622000013</v>
      </c>
      <c r="BO8" s="44">
        <v>590.48338904000013</v>
      </c>
      <c r="BP8" s="44">
        <v>601.64475202999995</v>
      </c>
      <c r="BQ8" s="44">
        <v>558.18725926999991</v>
      </c>
      <c r="BR8" s="44">
        <v>603.84694405000005</v>
      </c>
      <c r="BS8" s="44">
        <v>615.70518461000006</v>
      </c>
      <c r="BT8" s="44">
        <v>564.0928196599998</v>
      </c>
      <c r="BU8" s="44">
        <v>599.74280671000008</v>
      </c>
      <c r="BV8" s="44">
        <v>602.62126305999993</v>
      </c>
      <c r="BW8" s="44">
        <v>604.38080405000005</v>
      </c>
      <c r="BX8" s="50">
        <f t="shared" ref="BX8:BX74" si="4">SUM(BL8:BW8)</f>
        <v>7002.6660030400008</v>
      </c>
      <c r="BY8" s="50">
        <f>BY9+BY18+BY30</f>
        <v>7002.6140873200002</v>
      </c>
      <c r="BZ8" s="50">
        <v>595.57164918000012</v>
      </c>
      <c r="CA8" s="50">
        <v>546.14470115000006</v>
      </c>
      <c r="CB8" s="50">
        <v>583.70650465999995</v>
      </c>
      <c r="CC8" s="50">
        <v>627.29503941999985</v>
      </c>
      <c r="CD8" s="50">
        <v>630.38537828999995</v>
      </c>
      <c r="CE8" s="73">
        <v>612.43240068</v>
      </c>
      <c r="CF8" s="50">
        <v>639.15492059999997</v>
      </c>
      <c r="CG8" s="50">
        <v>635.62453900999992</v>
      </c>
      <c r="CH8" s="50">
        <v>611.71350270999983</v>
      </c>
      <c r="CI8" s="50">
        <v>638.05560171000002</v>
      </c>
      <c r="CJ8" s="50">
        <v>630.15045281000005</v>
      </c>
      <c r="CK8" s="50">
        <v>669.31418356000017</v>
      </c>
      <c r="CL8" s="50">
        <f t="shared" ref="CL8:CL74" si="5">SUM(BZ8:CK8)</f>
        <v>7419.5488737800006</v>
      </c>
      <c r="CM8" s="50">
        <f>CM9+CM18+CM30</f>
        <v>7419.5774879999999</v>
      </c>
      <c r="CN8" s="50">
        <v>651.34939649</v>
      </c>
      <c r="CO8" s="50">
        <v>560.25440676999995</v>
      </c>
      <c r="CP8" s="50">
        <v>616.60894963999999</v>
      </c>
      <c r="CQ8" s="50">
        <v>662.00489991999984</v>
      </c>
      <c r="CR8" s="50">
        <v>671.38466903000005</v>
      </c>
      <c r="CS8" s="50">
        <v>678.99023840999996</v>
      </c>
      <c r="CT8" s="50">
        <v>692.79126168000005</v>
      </c>
      <c r="CU8" s="50">
        <v>701.75527677000002</v>
      </c>
      <c r="CV8" s="50">
        <v>665.34605047999992</v>
      </c>
      <c r="CW8" s="50">
        <v>685.33781932999989</v>
      </c>
      <c r="CX8" s="50">
        <v>684.10700764000023</v>
      </c>
      <c r="CY8" s="50">
        <v>745.35420980000004</v>
      </c>
      <c r="CZ8" s="50">
        <f>SUM(CN8:CY8)</f>
        <v>8015.2841859599994</v>
      </c>
      <c r="DA8" s="50">
        <f>DA9+DA18+DA30</f>
        <v>8015.2805869999993</v>
      </c>
      <c r="DB8" s="50">
        <v>696.34959451999998</v>
      </c>
      <c r="DC8" s="50">
        <v>638.89292934999992</v>
      </c>
      <c r="DD8" s="50">
        <v>646.75161217000004</v>
      </c>
      <c r="DE8" s="50">
        <v>724.76562719000015</v>
      </c>
      <c r="DF8" s="50">
        <v>746.07212133999963</v>
      </c>
      <c r="DG8" s="50">
        <v>759.25472525000021</v>
      </c>
      <c r="DH8" s="50">
        <v>764.72986122999998</v>
      </c>
      <c r="DI8" s="50">
        <v>748.82864396999992</v>
      </c>
      <c r="DJ8" s="50">
        <v>690.85233174000018</v>
      </c>
      <c r="DK8" s="50">
        <v>717.18073311999967</v>
      </c>
      <c r="DL8" s="50">
        <v>740.37187453000001</v>
      </c>
      <c r="DM8" s="50">
        <v>783.68670676000011</v>
      </c>
      <c r="DN8" s="50">
        <f>SUM(DB8:DM8)</f>
        <v>8657.7367611699992</v>
      </c>
      <c r="DO8" s="50">
        <f>DO9+DO18+DO30</f>
        <v>8657.7384529999999</v>
      </c>
      <c r="DP8" s="44">
        <v>717.66507212000033</v>
      </c>
      <c r="DQ8" s="50">
        <v>677.51010299000029</v>
      </c>
      <c r="DR8" s="50">
        <v>650.25313511000024</v>
      </c>
      <c r="DS8" s="50">
        <v>726.48716837999996</v>
      </c>
      <c r="DT8" s="50">
        <v>766.74179358000004</v>
      </c>
      <c r="DU8" s="50">
        <v>731.24135570000021</v>
      </c>
      <c r="DV8" s="50">
        <v>786.63669782000022</v>
      </c>
      <c r="DW8" s="50">
        <v>780.53670684999975</v>
      </c>
      <c r="DX8" s="50">
        <v>784.16909162999991</v>
      </c>
      <c r="DY8" s="50">
        <v>785.50208457999952</v>
      </c>
      <c r="DZ8" s="50">
        <v>784.81830951000006</v>
      </c>
      <c r="EA8" s="50">
        <v>865.77371329000016</v>
      </c>
      <c r="EB8" s="50">
        <f>SUM(DP8:EA8)</f>
        <v>9057.3352315600023</v>
      </c>
      <c r="EC8" s="50">
        <f>EC9+EC18+EC30</f>
        <v>9057.3271859999986</v>
      </c>
      <c r="ED8" s="50">
        <v>809.6887211400001</v>
      </c>
      <c r="EE8" s="50">
        <v>729.17213283000024</v>
      </c>
      <c r="EF8" s="50">
        <v>622.80358084000011</v>
      </c>
      <c r="EG8" s="50">
        <v>689.5121863300003</v>
      </c>
      <c r="EH8" s="50">
        <v>629.29589708000003</v>
      </c>
      <c r="EI8" s="50">
        <v>690.67226920999985</v>
      </c>
      <c r="EJ8" s="50">
        <v>796.69906462999995</v>
      </c>
      <c r="EK8" s="50">
        <v>803.95155782999984</v>
      </c>
      <c r="EL8" s="44">
        <v>783.35566523</v>
      </c>
      <c r="EM8" s="44">
        <v>827.79790572000024</v>
      </c>
      <c r="EN8" s="44">
        <v>797.10145999999918</v>
      </c>
      <c r="EO8" s="44">
        <v>826.49637039999971</v>
      </c>
      <c r="EP8" s="50">
        <f>SUM(ED8:EO8)</f>
        <v>9006.5468112399994</v>
      </c>
      <c r="EQ8" s="50">
        <f>EQ9+EQ18+EQ30</f>
        <v>9006.5470220000007</v>
      </c>
      <c r="ER8" s="44">
        <v>782.98600091000026</v>
      </c>
      <c r="ES8" s="44">
        <v>734.85206430000017</v>
      </c>
      <c r="ET8" s="44">
        <v>637.8915099699999</v>
      </c>
      <c r="EU8" s="44">
        <v>864.35033673999965</v>
      </c>
      <c r="EV8" s="44">
        <v>850.2530787200003</v>
      </c>
      <c r="EW8" s="44">
        <v>768.73838797999997</v>
      </c>
      <c r="EX8" s="44">
        <v>922.26225652999995</v>
      </c>
      <c r="EY8" s="44">
        <v>901.67418330999999</v>
      </c>
      <c r="EZ8" s="44">
        <v>852.72558494000009</v>
      </c>
      <c r="FA8" s="44">
        <v>895.873606</v>
      </c>
      <c r="FB8" s="44">
        <v>856.46109876000014</v>
      </c>
      <c r="FC8" s="44">
        <v>962.9360385199999</v>
      </c>
      <c r="FD8" s="50">
        <f>SUM(ER8:FC8)</f>
        <v>10031.004146680001</v>
      </c>
      <c r="FE8" s="50">
        <f>FE9+FE18+FE30+FE31</f>
        <v>10031.043438000001</v>
      </c>
      <c r="FF8" s="50">
        <v>941.79193672000031</v>
      </c>
      <c r="FG8" s="50">
        <v>870.81498848000001</v>
      </c>
      <c r="FH8" s="50">
        <v>769.05468463000022</v>
      </c>
      <c r="FI8" s="50">
        <v>957.83515216999967</v>
      </c>
      <c r="FJ8" s="50">
        <v>978.67855992000011</v>
      </c>
      <c r="FK8" s="94">
        <v>888.91623292999998</v>
      </c>
      <c r="FL8" s="50">
        <v>1027.4568877500003</v>
      </c>
      <c r="FM8" s="50">
        <v>969.99408099000027</v>
      </c>
      <c r="FN8" s="50">
        <v>985.43590309000001</v>
      </c>
      <c r="FO8" s="50">
        <v>1021.66251385</v>
      </c>
      <c r="FP8" s="50">
        <v>1038.2276751400002</v>
      </c>
      <c r="FQ8" s="50">
        <v>1107.4090785499995</v>
      </c>
      <c r="FR8" s="50">
        <f>SUM(FF8:FQ8)</f>
        <v>11557.27769422</v>
      </c>
      <c r="FS8" s="50">
        <f>FS9+FS18+FS30+FS31</f>
        <v>11557.279545999996</v>
      </c>
      <c r="FT8" s="50">
        <v>1077.1627615600003</v>
      </c>
      <c r="FU8" s="50">
        <v>983.50424276000001</v>
      </c>
      <c r="FV8" s="50">
        <v>838.44618954999999</v>
      </c>
      <c r="FW8" s="50">
        <v>1063.8670019800002</v>
      </c>
      <c r="FX8" s="50">
        <v>1071.7952425800001</v>
      </c>
      <c r="FY8" s="50">
        <v>1023.21467524</v>
      </c>
      <c r="FZ8" s="50">
        <v>1108.6681302</v>
      </c>
      <c r="GA8" s="50">
        <v>1074.85330853</v>
      </c>
      <c r="GB8" s="50">
        <v>1074.8187688400003</v>
      </c>
      <c r="GC8" s="50">
        <v>1092.4020953400006</v>
      </c>
      <c r="GD8" s="50">
        <v>1019.0739489600001</v>
      </c>
      <c r="GE8" s="50">
        <v>1172.6092299999998</v>
      </c>
      <c r="GF8" s="50">
        <f>SUM(FT8:GE8)</f>
        <v>12600.415595540004</v>
      </c>
      <c r="GG8" s="50">
        <f>GG9+GG18+GG30+GG31</f>
        <v>12600.411948999999</v>
      </c>
      <c r="GH8" s="50">
        <v>1080.4541026299999</v>
      </c>
      <c r="GI8" s="50">
        <v>1024.2838539900001</v>
      </c>
      <c r="GJ8" s="50">
        <v>948.36656094999989</v>
      </c>
      <c r="GK8" s="50">
        <v>1101.14829981</v>
      </c>
      <c r="GL8" s="50">
        <v>1184.6116257400001</v>
      </c>
      <c r="GM8" s="50">
        <v>1175.6066299799995</v>
      </c>
      <c r="GN8" s="50">
        <v>1168.9286658300002</v>
      </c>
      <c r="GO8" s="50">
        <v>1163.8039862099999</v>
      </c>
      <c r="GP8" s="50">
        <v>1144.4955983299999</v>
      </c>
      <c r="GQ8" s="50">
        <v>1143.5254901600001</v>
      </c>
      <c r="GR8" s="50">
        <v>1134.2906262999998</v>
      </c>
      <c r="GS8" s="50">
        <v>1313.9981691100002</v>
      </c>
      <c r="GT8" s="50">
        <f>SUM(GH8:GS8)</f>
        <v>13583.513609040001</v>
      </c>
      <c r="GU8" s="50">
        <f>GU9+GU18+GU30+GU31</f>
        <v>13583.51255573</v>
      </c>
      <c r="GV8" s="50">
        <v>1197.09988901</v>
      </c>
      <c r="GW8" s="50">
        <v>1075.5443435699997</v>
      </c>
      <c r="GX8" s="50">
        <v>982.71222503999968</v>
      </c>
      <c r="GY8" s="50">
        <v>1155.37007862</v>
      </c>
      <c r="GZ8" s="50">
        <v>1230.6470996800001</v>
      </c>
      <c r="HA8" s="50">
        <v>1253.8730925999998</v>
      </c>
      <c r="HB8" s="50">
        <v>1238.50954523</v>
      </c>
      <c r="HC8" s="50">
        <v>1259.2478754800002</v>
      </c>
      <c r="HD8" s="50">
        <v>1177.8676440800002</v>
      </c>
      <c r="HE8" s="50">
        <v>1237.6407894500007</v>
      </c>
      <c r="HF8" s="50">
        <v>1207.4413959999999</v>
      </c>
      <c r="HG8" s="50">
        <v>1322.799356</v>
      </c>
      <c r="HH8" s="50">
        <f t="shared" ref="HH8:HH71" si="6">SUM(GV8:HG8)</f>
        <v>14338.75333476</v>
      </c>
      <c r="HI8" s="50">
        <v>1245.0649279399997</v>
      </c>
      <c r="HJ8" s="50">
        <v>1168.9700679799994</v>
      </c>
      <c r="HK8" s="50">
        <v>1051.6970234000003</v>
      </c>
      <c r="HL8" s="50">
        <v>1254.69468818</v>
      </c>
      <c r="HM8" s="50"/>
      <c r="HN8" s="50"/>
      <c r="HO8" s="50"/>
      <c r="HP8" s="50"/>
      <c r="HQ8" s="50"/>
      <c r="HR8" s="50"/>
      <c r="HS8" s="50"/>
      <c r="HT8" s="50"/>
      <c r="HU8" s="276">
        <f>ROUND(SUM(GV8:GY8),6)</f>
        <v>4410.7265360000001</v>
      </c>
      <c r="HV8" s="276">
        <f>ROUND(SUM(HI8:HL8),6)</f>
        <v>4720.426708</v>
      </c>
      <c r="HW8" s="277">
        <f t="shared" ref="HW8" si="7">HV8-HU8</f>
        <v>309.70017199999984</v>
      </c>
      <c r="HX8" s="277">
        <f t="shared" si="2"/>
        <v>7.0215228596071739</v>
      </c>
    </row>
    <row r="9" spans="1:232" s="12" customFormat="1" ht="20.5">
      <c r="A9" s="314" t="s">
        <v>30</v>
      </c>
      <c r="C9" s="46" t="s">
        <v>31</v>
      </c>
      <c r="D9" s="42">
        <v>3737.7828683388257</v>
      </c>
      <c r="E9" s="42">
        <v>4275.1940583718933</v>
      </c>
      <c r="F9" s="42">
        <v>3074.8997928298641</v>
      </c>
      <c r="G9" s="42">
        <v>2950.9118516684593</v>
      </c>
      <c r="H9" s="42">
        <v>223.32641622700089</v>
      </c>
      <c r="I9" s="42">
        <v>251.96437685329289</v>
      </c>
      <c r="J9" s="42">
        <v>280.94618064211625</v>
      </c>
      <c r="K9" s="42">
        <v>269.04743655413802</v>
      </c>
      <c r="L9" s="42">
        <v>297.68658470924674</v>
      </c>
      <c r="M9" s="42">
        <v>257.59692976989396</v>
      </c>
      <c r="N9" s="42">
        <v>302.29110225610611</v>
      </c>
      <c r="O9" s="42">
        <v>279.3699292121288</v>
      </c>
      <c r="P9" s="42">
        <v>263.16337752772881</v>
      </c>
      <c r="Q9" s="42">
        <v>268.84909993397417</v>
      </c>
      <c r="R9" s="42">
        <v>293.06419624817954</v>
      </c>
      <c r="S9" s="42">
        <v>325.7608584470247</v>
      </c>
      <c r="T9" s="42">
        <v>3313.0978380885704</v>
      </c>
      <c r="U9" s="42">
        <v>3313.0806298768935</v>
      </c>
      <c r="V9" s="42">
        <v>261.59482160033241</v>
      </c>
      <c r="W9" s="42">
        <v>285.21136150334564</v>
      </c>
      <c r="X9" s="42">
        <v>295.24154879596767</v>
      </c>
      <c r="Y9" s="42">
        <v>308.15507666433177</v>
      </c>
      <c r="Z9" s="42">
        <v>327.44436638097329</v>
      </c>
      <c r="AA9" s="42">
        <v>304.8766567065631</v>
      </c>
      <c r="AB9" s="42">
        <v>315.55589894195253</v>
      </c>
      <c r="AC9" s="42">
        <v>315.50368950660493</v>
      </c>
      <c r="AD9" s="42">
        <v>274.29683240277518</v>
      </c>
      <c r="AE9" s="42">
        <v>306.139620633932</v>
      </c>
      <c r="AF9" s="42">
        <v>322.47775909072806</v>
      </c>
      <c r="AG9" s="42">
        <v>321.70627514925923</v>
      </c>
      <c r="AH9" s="42">
        <v>3638.1985178798068</v>
      </c>
      <c r="AI9" s="42">
        <v>3638.1512014729574</v>
      </c>
      <c r="AJ9" s="42">
        <v>308.35137582824461</v>
      </c>
      <c r="AK9" s="42">
        <v>298.53331524254799</v>
      </c>
      <c r="AL9" s="42">
        <v>316.90401052358413</v>
      </c>
      <c r="AM9" s="42">
        <v>336.28960169287791</v>
      </c>
      <c r="AN9" s="42">
        <v>354.32525569498659</v>
      </c>
      <c r="AO9" s="42">
        <v>287.05149172825782</v>
      </c>
      <c r="AP9" s="42">
        <v>331.49660218211625</v>
      </c>
      <c r="AQ9" s="42">
        <v>323.12980290379681</v>
      </c>
      <c r="AR9" s="42">
        <v>287.81280840746496</v>
      </c>
      <c r="AS9" s="42">
        <v>312.75245227546986</v>
      </c>
      <c r="AT9" s="42">
        <v>320.98740758447593</v>
      </c>
      <c r="AU9" s="42">
        <v>371.38926546378747</v>
      </c>
      <c r="AV9" s="42">
        <v>3849.0214554840327</v>
      </c>
      <c r="AW9" s="42">
        <v>3849.0187264158994</v>
      </c>
      <c r="AX9" s="44">
        <f>AX10+AX12+AX14+AX17</f>
        <v>281.38445300000001</v>
      </c>
      <c r="AY9" s="44">
        <f>AY10+AY12+AY14+AY17</f>
        <v>308.67337699999996</v>
      </c>
      <c r="AZ9" s="44">
        <f t="shared" ref="AZ9:BG9" si="8">AZ10+AZ12+AZ14+AZ17</f>
        <v>332.33256799999998</v>
      </c>
      <c r="BA9" s="44">
        <f t="shared" si="8"/>
        <v>347.24316300000004</v>
      </c>
      <c r="BB9" s="44">
        <f t="shared" si="8"/>
        <v>332.46510699999999</v>
      </c>
      <c r="BC9" s="44">
        <f t="shared" si="8"/>
        <v>305.93330600000002</v>
      </c>
      <c r="BD9" s="44">
        <f t="shared" si="8"/>
        <v>349.65319</v>
      </c>
      <c r="BE9" s="44">
        <f t="shared" si="8"/>
        <v>335.22164300000003</v>
      </c>
      <c r="BF9" s="44">
        <f t="shared" si="8"/>
        <v>290.64208492</v>
      </c>
      <c r="BG9" s="44">
        <f t="shared" si="8"/>
        <v>334.07525587999993</v>
      </c>
      <c r="BH9" s="44">
        <f>BH10+BH12+BH14+BH17</f>
        <v>320.36180716000007</v>
      </c>
      <c r="BI9" s="44">
        <f>BI10+BI12+BI14+BI17</f>
        <v>369.11770646000002</v>
      </c>
      <c r="BJ9" s="50">
        <f t="shared" si="1"/>
        <v>3907.1036614199998</v>
      </c>
      <c r="BK9" s="44">
        <f>BK10+BK12+BK14+BK17</f>
        <v>3907.4544829999995</v>
      </c>
      <c r="BL9" s="44">
        <f>BL10+BL12+BL14+BL17</f>
        <v>303.39402771000005</v>
      </c>
      <c r="BM9" s="44">
        <v>321.59290784999996</v>
      </c>
      <c r="BN9" s="44">
        <v>354.02896241000008</v>
      </c>
      <c r="BO9" s="44">
        <v>345.43107389000011</v>
      </c>
      <c r="BP9" s="44">
        <v>364.16665279999989</v>
      </c>
      <c r="BQ9" s="44">
        <v>304.95171631999995</v>
      </c>
      <c r="BR9" s="44">
        <v>362.40583315999999</v>
      </c>
      <c r="BS9" s="44">
        <v>350.32282492999997</v>
      </c>
      <c r="BT9" s="44">
        <v>309.70950696999995</v>
      </c>
      <c r="BU9" s="44">
        <v>336.97343665</v>
      </c>
      <c r="BV9" s="44">
        <v>336.37662770999998</v>
      </c>
      <c r="BW9" s="44">
        <v>376.52187203</v>
      </c>
      <c r="BX9" s="50">
        <f t="shared" si="4"/>
        <v>4065.87544243</v>
      </c>
      <c r="BY9" s="50">
        <f>BY10+BY12+BY14+BY17</f>
        <v>4065.8235351400003</v>
      </c>
      <c r="BZ9" s="50">
        <v>316.81652960000002</v>
      </c>
      <c r="CA9" s="50">
        <v>335.76544533999999</v>
      </c>
      <c r="CB9" s="50">
        <v>359.79188088000006</v>
      </c>
      <c r="CC9" s="50">
        <v>378.64753519999994</v>
      </c>
      <c r="CD9" s="50">
        <v>372.89880928000002</v>
      </c>
      <c r="CE9" s="73">
        <v>341.68842443</v>
      </c>
      <c r="CF9" s="50">
        <v>368.84086599999995</v>
      </c>
      <c r="CG9" s="50">
        <v>368.04771369999997</v>
      </c>
      <c r="CH9" s="50">
        <v>331.44291374999989</v>
      </c>
      <c r="CI9" s="50">
        <v>357.32794960000001</v>
      </c>
      <c r="CJ9" s="50">
        <v>360.94395322000008</v>
      </c>
      <c r="CK9" s="50">
        <v>406.77152265000012</v>
      </c>
      <c r="CL9" s="50">
        <f t="shared" si="5"/>
        <v>4298.9835436499998</v>
      </c>
      <c r="CM9" s="50">
        <f>CM10+CM12+CM14+CM17+CM15</f>
        <v>4299.0104380000002</v>
      </c>
      <c r="CN9" s="50">
        <v>339.98461711000004</v>
      </c>
      <c r="CO9" s="50">
        <v>355.79236415999998</v>
      </c>
      <c r="CP9" s="50">
        <v>383.34958562000008</v>
      </c>
      <c r="CQ9" s="50">
        <v>384.97107446999996</v>
      </c>
      <c r="CR9" s="50">
        <v>403.37971808000003</v>
      </c>
      <c r="CS9" s="50">
        <v>389.65897820000004</v>
      </c>
      <c r="CT9" s="50">
        <v>413.97772501000009</v>
      </c>
      <c r="CU9" s="50">
        <v>398.83166248999999</v>
      </c>
      <c r="CV9" s="50">
        <v>358.00317676999998</v>
      </c>
      <c r="CW9" s="50">
        <v>389.88013884999998</v>
      </c>
      <c r="CX9" s="50">
        <v>397.59319586000009</v>
      </c>
      <c r="CY9" s="50">
        <v>449.30607601999998</v>
      </c>
      <c r="CZ9" s="50">
        <f t="shared" ref="CZ9:CZ74" si="9">SUM(CN9:CY9)</f>
        <v>4664.7283126399998</v>
      </c>
      <c r="DA9" s="50">
        <f>DA10+DA12+DA14+DA17+DA15</f>
        <v>4664.7457579999991</v>
      </c>
      <c r="DB9" s="50">
        <v>378.16805536000004</v>
      </c>
      <c r="DC9" s="50">
        <v>393.05894680999995</v>
      </c>
      <c r="DD9" s="50">
        <v>388.68639042000007</v>
      </c>
      <c r="DE9" s="50">
        <v>424.36439712000009</v>
      </c>
      <c r="DF9" s="50">
        <v>452.14171222000004</v>
      </c>
      <c r="DG9" s="50">
        <v>436.17860298999994</v>
      </c>
      <c r="DH9" s="50">
        <v>430.82563366999995</v>
      </c>
      <c r="DI9" s="50">
        <v>403.83526175999998</v>
      </c>
      <c r="DJ9" s="50">
        <v>343.23662691000004</v>
      </c>
      <c r="DK9" s="50">
        <v>405.84538055000002</v>
      </c>
      <c r="DL9" s="50">
        <v>411.94042119</v>
      </c>
      <c r="DM9" s="50">
        <v>449.90510553000001</v>
      </c>
      <c r="DN9" s="50">
        <f>SUM(DB9:DM9)</f>
        <v>4918.1865345299993</v>
      </c>
      <c r="DO9" s="50">
        <f>DO10+DO12+DO14+DO17+DO15+DO16</f>
        <v>4918.187191</v>
      </c>
      <c r="DP9" s="44">
        <v>381.87729812000009</v>
      </c>
      <c r="DQ9" s="50">
        <v>387.55907359999998</v>
      </c>
      <c r="DR9" s="50">
        <v>365.01442537000008</v>
      </c>
      <c r="DS9" s="50">
        <v>399.69918751999995</v>
      </c>
      <c r="DT9" s="50">
        <v>451.9594780000001</v>
      </c>
      <c r="DU9" s="50">
        <v>387.90999011999992</v>
      </c>
      <c r="DV9" s="50">
        <v>458.43182001000002</v>
      </c>
      <c r="DW9" s="50">
        <v>437.21282200000002</v>
      </c>
      <c r="DX9" s="50">
        <v>417.75592466000001</v>
      </c>
      <c r="DY9" s="50">
        <v>441.50714249000004</v>
      </c>
      <c r="DZ9" s="50">
        <v>455.01389328999988</v>
      </c>
      <c r="EA9" s="50">
        <v>512.54704873000003</v>
      </c>
      <c r="EB9" s="50">
        <f t="shared" ref="EB9:EB39" si="10">SUM(DP9:EA9)</f>
        <v>5096.4881039100001</v>
      </c>
      <c r="EC9" s="50">
        <f>EC10+EC12+EC14+EC17+EC15+EC16</f>
        <v>5096.4800639999994</v>
      </c>
      <c r="ED9" s="50">
        <v>467.36622872999993</v>
      </c>
      <c r="EE9" s="50">
        <v>428.91648053000006</v>
      </c>
      <c r="EF9" s="50">
        <v>365.96009967000003</v>
      </c>
      <c r="EG9" s="50">
        <v>410.37282334000008</v>
      </c>
      <c r="EH9" s="50">
        <v>371.5339699299999</v>
      </c>
      <c r="EI9" s="50">
        <v>381.92595746999996</v>
      </c>
      <c r="EJ9" s="50">
        <v>458.80747531999998</v>
      </c>
      <c r="EK9" s="50">
        <v>442.14554293000003</v>
      </c>
      <c r="EL9" s="44">
        <v>422.77170887</v>
      </c>
      <c r="EM9" s="44">
        <v>473.22752260000021</v>
      </c>
      <c r="EN9" s="44">
        <v>442.40015471999931</v>
      </c>
      <c r="EO9" s="44">
        <v>497.04071699999992</v>
      </c>
      <c r="EP9" s="50">
        <f t="shared" ref="EP9:EP73" si="11">SUM(ED9:EO9)</f>
        <v>5162.46868111</v>
      </c>
      <c r="EQ9" s="50">
        <f>EQ10+EQ12+EQ14+EQ17+EQ15+EQ16</f>
        <v>5162.4686620000002</v>
      </c>
      <c r="ER9" s="44">
        <v>336.64393529</v>
      </c>
      <c r="ES9" s="44">
        <v>419.61663291000008</v>
      </c>
      <c r="ET9" s="44">
        <v>328.40296978999999</v>
      </c>
      <c r="EU9" s="44">
        <v>442.09969469999999</v>
      </c>
      <c r="EV9" s="44">
        <v>443.02504007000005</v>
      </c>
      <c r="EW9" s="44">
        <v>443.48672259000011</v>
      </c>
      <c r="EX9" s="44">
        <v>507.30566681999989</v>
      </c>
      <c r="EY9" s="44">
        <v>504.78553286000005</v>
      </c>
      <c r="EZ9" s="44">
        <v>463.77750519</v>
      </c>
      <c r="FA9" s="44">
        <v>564.79227939000009</v>
      </c>
      <c r="FB9" s="44">
        <v>461.76935623000008</v>
      </c>
      <c r="FC9" s="44">
        <v>633.73615108000001</v>
      </c>
      <c r="FD9" s="50">
        <f t="shared" ref="FD9:FD72" si="12">SUM(ER9:FC9)</f>
        <v>5549.44148692</v>
      </c>
      <c r="FE9" s="50">
        <f>FE10+FE12+FE14+FE17+FE15+FE16</f>
        <v>5556.7078340000007</v>
      </c>
      <c r="FF9" s="50">
        <v>605.2706641100001</v>
      </c>
      <c r="FG9" s="50">
        <v>525.43149996</v>
      </c>
      <c r="FH9" s="50">
        <v>411.28116206000004</v>
      </c>
      <c r="FI9" s="50">
        <v>508.07700867</v>
      </c>
      <c r="FJ9" s="50">
        <v>563.00458867000009</v>
      </c>
      <c r="FK9" s="94">
        <v>565.88650773000006</v>
      </c>
      <c r="FL9" s="50">
        <v>566.32528592000017</v>
      </c>
      <c r="FM9" s="50">
        <v>568.91951743000004</v>
      </c>
      <c r="FN9" s="50">
        <v>565.0445396199998</v>
      </c>
      <c r="FO9" s="50">
        <v>589.94224428999985</v>
      </c>
      <c r="FP9" s="50">
        <v>552.14535080000007</v>
      </c>
      <c r="FQ9" s="50">
        <v>517.72272198000007</v>
      </c>
      <c r="FR9" s="50">
        <f t="shared" ref="FR9:FR72" si="13">SUM(FF9:FQ9)</f>
        <v>6539.0510912400005</v>
      </c>
      <c r="FS9" s="50">
        <f>FS10+FS12+FS14+FS17+FS15+FS16</f>
        <v>6537.9618280000013</v>
      </c>
      <c r="FT9" s="50">
        <v>680.59741421999991</v>
      </c>
      <c r="FU9" s="50">
        <v>569.59363515999985</v>
      </c>
      <c r="FV9" s="50">
        <v>409.06290481000002</v>
      </c>
      <c r="FW9" s="50">
        <v>581.66398996999999</v>
      </c>
      <c r="FX9" s="50">
        <v>594.06294246999983</v>
      </c>
      <c r="FY9" s="50">
        <v>700.34397484999988</v>
      </c>
      <c r="FZ9" s="50">
        <v>656.88847882999994</v>
      </c>
      <c r="GA9" s="50">
        <v>646.32364215000007</v>
      </c>
      <c r="GB9" s="50">
        <v>635.66358926999987</v>
      </c>
      <c r="GC9" s="50">
        <v>599.11290247999989</v>
      </c>
      <c r="GD9" s="50">
        <v>631.78265359000011</v>
      </c>
      <c r="GE9" s="50">
        <v>600.49072070999989</v>
      </c>
      <c r="GF9" s="50">
        <f t="shared" ref="GF9:GF72" si="14">SUM(FT9:GE9)</f>
        <v>7305.5868485099982</v>
      </c>
      <c r="GG9" s="50">
        <f>GG10+GG12+GG14+GG17+GG15+GG16</f>
        <v>7305.3437890000005</v>
      </c>
      <c r="GH9" s="50">
        <v>743.19610949000003</v>
      </c>
      <c r="GI9" s="50">
        <v>654.73661270000014</v>
      </c>
      <c r="GJ9" s="50">
        <v>467.00951744999998</v>
      </c>
      <c r="GK9" s="50">
        <v>752.00424533</v>
      </c>
      <c r="GL9" s="50">
        <v>698.64538500999981</v>
      </c>
      <c r="GM9" s="50">
        <v>701.53563050999992</v>
      </c>
      <c r="GN9" s="50">
        <v>741.72945173999994</v>
      </c>
      <c r="GO9" s="50">
        <v>709.04667398999993</v>
      </c>
      <c r="GP9" s="50">
        <v>675.10751963000007</v>
      </c>
      <c r="GQ9" s="50">
        <v>685.80296471000008</v>
      </c>
      <c r="GR9" s="50">
        <v>668.64365282000006</v>
      </c>
      <c r="GS9" s="50">
        <v>668.48803917999976</v>
      </c>
      <c r="GT9" s="50">
        <f t="shared" ref="GT9:GT72" si="15">SUM(GH9:GS9)</f>
        <v>8165.9458025599997</v>
      </c>
      <c r="GU9" s="50">
        <f>GU10+GU12+GU14+GU17+GU15+GU16</f>
        <v>8165.9447479999999</v>
      </c>
      <c r="GV9" s="50">
        <v>892.66937443000006</v>
      </c>
      <c r="GW9" s="50">
        <v>664.48873589000004</v>
      </c>
      <c r="GX9" s="50">
        <v>508.00254533999998</v>
      </c>
      <c r="GY9" s="50">
        <v>718.19991084000003</v>
      </c>
      <c r="GZ9" s="50">
        <v>754.90930435999962</v>
      </c>
      <c r="HA9" s="50">
        <v>753.35850379999977</v>
      </c>
      <c r="HB9" s="50">
        <v>774.71340043999987</v>
      </c>
      <c r="HC9" s="50">
        <v>762.15005742999995</v>
      </c>
      <c r="HD9" s="50">
        <v>736.29274176999991</v>
      </c>
      <c r="HE9" s="50">
        <v>728.50403895000022</v>
      </c>
      <c r="HF9" s="50">
        <v>715.57412160000013</v>
      </c>
      <c r="HG9" s="50">
        <v>675.79067769999983</v>
      </c>
      <c r="HH9" s="50">
        <f t="shared" si="6"/>
        <v>8684.6534125500002</v>
      </c>
      <c r="HI9" s="50">
        <v>858.80549726000004</v>
      </c>
      <c r="HJ9" s="50">
        <v>705.9863153</v>
      </c>
      <c r="HK9" s="50">
        <v>569.29904214999999</v>
      </c>
      <c r="HL9" s="50">
        <v>741.98537341999997</v>
      </c>
      <c r="HM9" s="50"/>
      <c r="HN9" s="50"/>
      <c r="HO9" s="50"/>
      <c r="HP9" s="50"/>
      <c r="HQ9" s="50"/>
      <c r="HR9" s="50"/>
      <c r="HS9" s="50"/>
      <c r="HT9" s="50"/>
      <c r="HU9" s="276">
        <f t="shared" ref="HU9:HU72" si="16">ROUND(SUM(GV9:GY9),6)</f>
        <v>2783.3605670000002</v>
      </c>
      <c r="HV9" s="276">
        <f t="shared" ref="HV9:HV72" si="17">ROUND(SUM(HI9:HL9),6)</f>
        <v>2876.0762279999999</v>
      </c>
      <c r="HW9" s="277">
        <f t="shared" ref="HW9:HW74" si="18">HV9-HU9</f>
        <v>92.715660999999727</v>
      </c>
      <c r="HX9" s="277">
        <f t="shared" ref="HX9:HX66" si="19">HV9/HU9*100-100</f>
        <v>3.3310689998001806</v>
      </c>
    </row>
    <row r="10" spans="1:232" s="12" customFormat="1" ht="20.5">
      <c r="A10" s="314" t="s">
        <v>32</v>
      </c>
      <c r="B10" s="12" t="s">
        <v>33</v>
      </c>
      <c r="C10" s="47" t="s">
        <v>34</v>
      </c>
      <c r="D10" s="42">
        <v>568.79496274921598</v>
      </c>
      <c r="E10" s="42">
        <v>715.87073778749129</v>
      </c>
      <c r="F10" s="42">
        <v>280.55708419417078</v>
      </c>
      <c r="G10" s="42">
        <v>159.61333316258873</v>
      </c>
      <c r="H10" s="42">
        <v>14.441666524379485</v>
      </c>
      <c r="I10" s="42">
        <v>17.225195075725239</v>
      </c>
      <c r="J10" s="42">
        <v>17.137531943472148</v>
      </c>
      <c r="K10" s="42">
        <v>22.853811304431961</v>
      </c>
      <c r="L10" s="42">
        <v>37.771722983932932</v>
      </c>
      <c r="M10" s="42">
        <v>13.327372923318594</v>
      </c>
      <c r="N10" s="42">
        <v>31.110616900302219</v>
      </c>
      <c r="O10" s="42">
        <v>20.93976699051229</v>
      </c>
      <c r="P10" s="42">
        <v>21.794194398438258</v>
      </c>
      <c r="Q10" s="42">
        <v>25.951868515261726</v>
      </c>
      <c r="R10" s="42">
        <v>27.641386503207151</v>
      </c>
      <c r="S10" s="42">
        <v>29.303576815157573</v>
      </c>
      <c r="T10" s="42">
        <v>279.49871087813955</v>
      </c>
      <c r="U10" s="42">
        <v>279.4987108781396</v>
      </c>
      <c r="V10" s="42">
        <v>21.806744127808038</v>
      </c>
      <c r="W10" s="42">
        <v>22.126234341295724</v>
      </c>
      <c r="X10" s="42">
        <v>21.388371437840423</v>
      </c>
      <c r="Y10" s="42">
        <v>28.664721600901533</v>
      </c>
      <c r="Z10" s="42">
        <v>49.389246504003964</v>
      </c>
      <c r="AA10" s="42">
        <v>34.283628152372501</v>
      </c>
      <c r="AB10" s="42">
        <v>28.17673775334233</v>
      </c>
      <c r="AC10" s="42">
        <v>26.859165571055374</v>
      </c>
      <c r="AD10" s="42">
        <v>25.36023414778516</v>
      </c>
      <c r="AE10" s="42">
        <v>30.118483958543205</v>
      </c>
      <c r="AF10" s="42">
        <v>30.818117142190427</v>
      </c>
      <c r="AG10" s="42">
        <v>28.002665038901316</v>
      </c>
      <c r="AH10" s="42">
        <v>346.99434977604005</v>
      </c>
      <c r="AI10" s="42">
        <v>346.99434977604</v>
      </c>
      <c r="AJ10" s="42">
        <v>29.245751304773449</v>
      </c>
      <c r="AK10" s="42">
        <v>25.421729244568898</v>
      </c>
      <c r="AL10" s="42">
        <v>26.90054695192401</v>
      </c>
      <c r="AM10" s="42">
        <v>36.651736472757698</v>
      </c>
      <c r="AN10" s="42">
        <v>55.095050682693895</v>
      </c>
      <c r="AO10" s="42">
        <v>15.696521362997364</v>
      </c>
      <c r="AP10" s="42">
        <v>29.564596957330924</v>
      </c>
      <c r="AQ10" s="42">
        <v>27.12316378392838</v>
      </c>
      <c r="AR10" s="42">
        <v>27.198553223942952</v>
      </c>
      <c r="AS10" s="42">
        <v>27.26917462052009</v>
      </c>
      <c r="AT10" s="42">
        <v>30.734183356953007</v>
      </c>
      <c r="AU10" s="42">
        <v>31.589531362940452</v>
      </c>
      <c r="AV10" s="42">
        <v>362.4905393253311</v>
      </c>
      <c r="AW10" s="42">
        <v>362.4905393253311</v>
      </c>
      <c r="AX10" s="44">
        <v>28.247026000000002</v>
      </c>
      <c r="AY10" s="44">
        <v>26.132507</v>
      </c>
      <c r="AZ10" s="44">
        <v>29.393079</v>
      </c>
      <c r="BA10" s="44">
        <v>44.586378000000003</v>
      </c>
      <c r="BB10" s="44">
        <v>33.826210000000003</v>
      </c>
      <c r="BC10" s="44">
        <v>23.007891999999998</v>
      </c>
      <c r="BD10" s="44">
        <v>26.330514999999998</v>
      </c>
      <c r="BE10" s="44">
        <v>29.809446000000001</v>
      </c>
      <c r="BF10" s="44">
        <v>25.484736300000002</v>
      </c>
      <c r="BG10" s="44">
        <v>27.7688731</v>
      </c>
      <c r="BH10" s="44">
        <v>28.461669199999999</v>
      </c>
      <c r="BI10" s="44">
        <v>31.788992789999998</v>
      </c>
      <c r="BJ10" s="50">
        <f t="shared" si="1"/>
        <v>354.83732439000005</v>
      </c>
      <c r="BK10" s="44">
        <v>354.83732400000002</v>
      </c>
      <c r="BL10" s="44">
        <v>28.212305570000002</v>
      </c>
      <c r="BM10" s="44">
        <v>27.358282280000001</v>
      </c>
      <c r="BN10" s="44">
        <v>34.447539120000002</v>
      </c>
      <c r="BO10" s="44">
        <v>38.335775720000001</v>
      </c>
      <c r="BP10" s="44">
        <v>53.474539579999998</v>
      </c>
      <c r="BQ10" s="44">
        <v>14.222454620000001</v>
      </c>
      <c r="BR10" s="44">
        <v>26.52258337</v>
      </c>
      <c r="BS10" s="44">
        <v>33.441507739999999</v>
      </c>
      <c r="BT10" s="44">
        <v>30.088575629999998</v>
      </c>
      <c r="BU10" s="44">
        <v>33.741664190000002</v>
      </c>
      <c r="BV10" s="44">
        <v>31.473049679999999</v>
      </c>
      <c r="BW10" s="44">
        <v>31.789599819999999</v>
      </c>
      <c r="BX10" s="50">
        <f t="shared" si="4"/>
        <v>383.10787731999994</v>
      </c>
      <c r="BY10" s="50">
        <v>383.10787731999994</v>
      </c>
      <c r="BZ10" s="50">
        <v>30.288463960000001</v>
      </c>
      <c r="CA10" s="50">
        <v>29.430840149999998</v>
      </c>
      <c r="CB10" s="50">
        <v>29.151649299999999</v>
      </c>
      <c r="CC10" s="50">
        <v>49.647001889999999</v>
      </c>
      <c r="CD10" s="50">
        <v>58.299561200000007</v>
      </c>
      <c r="CE10" s="73">
        <v>26.681343440000003</v>
      </c>
      <c r="CF10" s="50">
        <v>26.253297849999999</v>
      </c>
      <c r="CG10" s="50">
        <v>40.559124679999996</v>
      </c>
      <c r="CH10" s="50">
        <v>30.41834923</v>
      </c>
      <c r="CI10" s="50">
        <v>32.20607519</v>
      </c>
      <c r="CJ10" s="50">
        <v>32.80329905</v>
      </c>
      <c r="CK10" s="50">
        <v>33.973359200000004</v>
      </c>
      <c r="CL10" s="50">
        <f t="shared" si="5"/>
        <v>419.71236513999997</v>
      </c>
      <c r="CM10" s="50">
        <v>419.71236499999998</v>
      </c>
      <c r="CN10" s="50">
        <v>31.48983556</v>
      </c>
      <c r="CO10" s="50">
        <v>30.142880160000001</v>
      </c>
      <c r="CP10" s="50">
        <v>30.855846920000001</v>
      </c>
      <c r="CQ10" s="50">
        <v>43.566518380000005</v>
      </c>
      <c r="CR10" s="50">
        <v>47.593566670000001</v>
      </c>
      <c r="CS10" s="50">
        <v>43.340328049999997</v>
      </c>
      <c r="CT10" s="50">
        <v>32.400716850000002</v>
      </c>
      <c r="CU10" s="50">
        <v>37.762499399999996</v>
      </c>
      <c r="CV10" s="50">
        <v>29.582614379999999</v>
      </c>
      <c r="CW10" s="50">
        <v>33.096257890000004</v>
      </c>
      <c r="CX10" s="50">
        <v>32.232957460000002</v>
      </c>
      <c r="CY10" s="50">
        <v>33.553443350000002</v>
      </c>
      <c r="CZ10" s="50">
        <f t="shared" si="9"/>
        <v>425.61746507000004</v>
      </c>
      <c r="DA10" s="50">
        <v>425.61746499999998</v>
      </c>
      <c r="DB10" s="50">
        <v>31.63167091</v>
      </c>
      <c r="DC10" s="50">
        <v>30.04849428</v>
      </c>
      <c r="DD10" s="50">
        <v>35.201047250000002</v>
      </c>
      <c r="DE10" s="50">
        <v>52.898293500000001</v>
      </c>
      <c r="DF10" s="50">
        <v>78.113698870000007</v>
      </c>
      <c r="DG10" s="50">
        <v>52.282005939999998</v>
      </c>
      <c r="DH10" s="50">
        <v>13.58020267</v>
      </c>
      <c r="DI10" s="50">
        <v>2.8189035599999999</v>
      </c>
      <c r="DJ10" s="50">
        <v>-6.5208364000000003</v>
      </c>
      <c r="DK10" s="50">
        <v>1.9318923700000001</v>
      </c>
      <c r="DL10" s="50">
        <v>9.4695978599999986</v>
      </c>
      <c r="DM10" s="50">
        <v>2.5492539999999999</v>
      </c>
      <c r="DN10" s="50">
        <f t="shared" ref="DN10:DN74" si="20">SUM(DB10:DM10)</f>
        <v>304.0042248100001</v>
      </c>
      <c r="DO10" s="50">
        <v>304.00422500000002</v>
      </c>
      <c r="DP10" s="44">
        <v>4.2403021599999997</v>
      </c>
      <c r="DQ10" s="50">
        <v>-7.5230799199999998</v>
      </c>
      <c r="DR10" s="50">
        <v>-7.8026390499999998</v>
      </c>
      <c r="DS10" s="50">
        <v>-3.8054649199999999</v>
      </c>
      <c r="DT10" s="50">
        <v>35.612966049999997</v>
      </c>
      <c r="DU10" s="50">
        <v>-11.352853169999999</v>
      </c>
      <c r="DV10" s="50">
        <v>5.9560205899999996</v>
      </c>
      <c r="DW10" s="50">
        <v>2.7293382400000001</v>
      </c>
      <c r="DX10" s="50">
        <v>2.4155111699999998</v>
      </c>
      <c r="DY10" s="50">
        <v>5.7616180300000002</v>
      </c>
      <c r="DZ10" s="50">
        <v>13.68501917</v>
      </c>
      <c r="EA10" s="50">
        <v>4.8602736200000001</v>
      </c>
      <c r="EB10" s="50">
        <f t="shared" si="10"/>
        <v>44.777011969999997</v>
      </c>
      <c r="EC10" s="50">
        <v>44.777011999999999</v>
      </c>
      <c r="ED10" s="50">
        <v>14.17052253</v>
      </c>
      <c r="EE10" s="50">
        <v>7.7459849500000004</v>
      </c>
      <c r="EF10" s="50">
        <v>10.90475848</v>
      </c>
      <c r="EG10" s="50">
        <v>31.789565190000001</v>
      </c>
      <c r="EH10" s="50">
        <v>26.398273460000002</v>
      </c>
      <c r="EI10" s="50">
        <v>19.323995870000001</v>
      </c>
      <c r="EJ10" s="50">
        <v>19.441162550000001</v>
      </c>
      <c r="EK10" s="50">
        <v>15.91741026</v>
      </c>
      <c r="EL10" s="44">
        <v>15.538953130000001</v>
      </c>
      <c r="EM10" s="44">
        <v>13.752924160000001</v>
      </c>
      <c r="EN10" s="44">
        <v>12.68367658</v>
      </c>
      <c r="EO10" s="44">
        <v>19.78506952</v>
      </c>
      <c r="EP10" s="50">
        <f t="shared" si="11"/>
        <v>207.45229667999999</v>
      </c>
      <c r="EQ10" s="50">
        <v>207.45229699999999</v>
      </c>
      <c r="ER10" s="44">
        <v>21.150622289999998</v>
      </c>
      <c r="ES10" s="44">
        <v>8.1905985599999998</v>
      </c>
      <c r="ET10" s="44">
        <v>15.553265789999999</v>
      </c>
      <c r="EU10" s="44">
        <v>47.54659754</v>
      </c>
      <c r="EV10" s="44">
        <v>36.815854420000001</v>
      </c>
      <c r="EW10" s="44">
        <v>41.259417090000007</v>
      </c>
      <c r="EX10" s="44">
        <v>26.677355600000002</v>
      </c>
      <c r="EY10" s="44">
        <v>26.080296000000001</v>
      </c>
      <c r="EZ10" s="44">
        <v>14.512898</v>
      </c>
      <c r="FA10" s="44">
        <v>23.384588999999995</v>
      </c>
      <c r="FB10" s="44">
        <v>28.751221000000001</v>
      </c>
      <c r="FC10" s="44">
        <v>-8.8433306199999997</v>
      </c>
      <c r="FD10" s="50">
        <f t="shared" si="12"/>
        <v>281.07938466999997</v>
      </c>
      <c r="FE10" s="50">
        <v>281.079384</v>
      </c>
      <c r="FF10" s="50">
        <v>36.645934600000004</v>
      </c>
      <c r="FG10" s="50">
        <v>28.807555710000003</v>
      </c>
      <c r="FH10" s="50">
        <v>18.87608148</v>
      </c>
      <c r="FI10" s="50">
        <v>34.442598700000005</v>
      </c>
      <c r="FJ10" s="50">
        <v>49.467463700000003</v>
      </c>
      <c r="FK10" s="94">
        <v>44.263114659999999</v>
      </c>
      <c r="FL10" s="50">
        <v>27.860116649999998</v>
      </c>
      <c r="FM10" s="50">
        <v>31.240999370000001</v>
      </c>
      <c r="FN10" s="50">
        <v>25.169041270000001</v>
      </c>
      <c r="FO10" s="50">
        <v>29.345910280000002</v>
      </c>
      <c r="FP10" s="50">
        <v>24.25913654</v>
      </c>
      <c r="FQ10" s="50">
        <v>28.372493200000001</v>
      </c>
      <c r="FR10" s="50">
        <f t="shared" si="13"/>
        <v>378.75044615999997</v>
      </c>
      <c r="FS10" s="50">
        <v>378.75044600000001</v>
      </c>
      <c r="FT10" s="50">
        <v>61.791102840000001</v>
      </c>
      <c r="FU10" s="50">
        <v>19.323077089999998</v>
      </c>
      <c r="FV10" s="50">
        <v>31.007726399999999</v>
      </c>
      <c r="FW10" s="50">
        <v>47.875981899999999</v>
      </c>
      <c r="FX10" s="50">
        <v>50.344546159999993</v>
      </c>
      <c r="FY10" s="50">
        <v>121.50320755</v>
      </c>
      <c r="FZ10" s="50">
        <v>36.14371457</v>
      </c>
      <c r="GA10" s="50">
        <v>32.975626829999996</v>
      </c>
      <c r="GB10" s="50">
        <v>53.2216849</v>
      </c>
      <c r="GC10" s="50">
        <v>27.909649039999998</v>
      </c>
      <c r="GD10" s="50">
        <v>35.854767159999994</v>
      </c>
      <c r="GE10" s="50">
        <v>26.856984570000002</v>
      </c>
      <c r="GF10" s="50">
        <f t="shared" si="14"/>
        <v>544.80806900999994</v>
      </c>
      <c r="GG10" s="50">
        <v>544.80806900000005</v>
      </c>
      <c r="GH10" s="50">
        <v>66.341426999999996</v>
      </c>
      <c r="GI10" s="50">
        <v>20.887850459999999</v>
      </c>
      <c r="GJ10" s="50">
        <v>24.280711780000001</v>
      </c>
      <c r="GK10" s="50">
        <v>105.69563192</v>
      </c>
      <c r="GL10" s="50">
        <v>87.686189580000004</v>
      </c>
      <c r="GM10" s="50">
        <v>145.37870212999999</v>
      </c>
      <c r="GN10" s="50">
        <v>46.37264442</v>
      </c>
      <c r="GO10" s="50">
        <v>37.146848649999995</v>
      </c>
      <c r="GP10" s="50">
        <v>71.016618780000002</v>
      </c>
      <c r="GQ10" s="50">
        <v>39.869539140000001</v>
      </c>
      <c r="GR10" s="50">
        <v>28.49051815</v>
      </c>
      <c r="GS10" s="50">
        <v>46.254548870000001</v>
      </c>
      <c r="GT10" s="50">
        <f t="shared" si="15"/>
        <v>719.42123088000005</v>
      </c>
      <c r="GU10" s="50">
        <v>719.42123100000003</v>
      </c>
      <c r="GV10" s="50">
        <v>137.08453331999999</v>
      </c>
      <c r="GW10" s="50">
        <v>20.043219319999999</v>
      </c>
      <c r="GX10" s="50">
        <v>20.72689308</v>
      </c>
      <c r="GY10" s="50">
        <v>120.18695436</v>
      </c>
      <c r="GZ10" s="50">
        <v>81.672789609999995</v>
      </c>
      <c r="HA10" s="50">
        <v>115.30458259999999</v>
      </c>
      <c r="HB10" s="50">
        <v>53.397609450000004</v>
      </c>
      <c r="HC10" s="50">
        <v>31.667238949999998</v>
      </c>
      <c r="HD10" s="50">
        <v>103.9762867</v>
      </c>
      <c r="HE10" s="50">
        <v>34.78629969</v>
      </c>
      <c r="HF10" s="50">
        <v>28.135584600000001</v>
      </c>
      <c r="HG10" s="50">
        <v>40.57725069</v>
      </c>
      <c r="HH10" s="50">
        <f t="shared" si="6"/>
        <v>787.55924236999999</v>
      </c>
      <c r="HI10" s="50">
        <v>106.24033809000001</v>
      </c>
      <c r="HJ10" s="50">
        <v>22.9687707</v>
      </c>
      <c r="HK10" s="50">
        <v>24.169487929999999</v>
      </c>
      <c r="HL10" s="50">
        <v>80.604557880000002</v>
      </c>
      <c r="HM10" s="50"/>
      <c r="HN10" s="50"/>
      <c r="HO10" s="50"/>
      <c r="HP10" s="50"/>
      <c r="HQ10" s="50"/>
      <c r="HR10" s="50"/>
      <c r="HS10" s="50"/>
      <c r="HT10" s="50"/>
      <c r="HU10" s="276">
        <f t="shared" si="16"/>
        <v>298.04160000000002</v>
      </c>
      <c r="HV10" s="276">
        <f t="shared" si="17"/>
        <v>233.98315500000001</v>
      </c>
      <c r="HW10" s="277">
        <f t="shared" si="18"/>
        <v>-64.058445000000006</v>
      </c>
      <c r="HX10" s="277">
        <f t="shared" si="19"/>
        <v>-21.493122101075826</v>
      </c>
    </row>
    <row r="11" spans="1:232" s="12" customFormat="1" ht="20.5">
      <c r="A11" s="314" t="s">
        <v>35</v>
      </c>
      <c r="C11" s="47" t="s">
        <v>36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50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50"/>
      <c r="BY11" s="50"/>
      <c r="BZ11" s="50"/>
      <c r="CA11" s="50"/>
      <c r="CB11" s="50"/>
      <c r="CC11" s="50"/>
      <c r="CD11" s="50"/>
      <c r="CE11" s="73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44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44"/>
      <c r="EM11" s="44"/>
      <c r="EN11" s="44"/>
      <c r="EO11" s="44"/>
      <c r="EP11" s="50"/>
      <c r="EQ11" s="50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50"/>
      <c r="FE11" s="50"/>
      <c r="FF11" s="50"/>
      <c r="FG11" s="50"/>
      <c r="FH11" s="50"/>
      <c r="FI11" s="50"/>
      <c r="FJ11" s="50"/>
      <c r="FK11" s="94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>
        <v>30.677752999999999</v>
      </c>
      <c r="HA11" s="50"/>
      <c r="HB11" s="50">
        <v>5.4334000000000001E-4</v>
      </c>
      <c r="HC11" s="50">
        <v>24.759549660000001</v>
      </c>
      <c r="HD11" s="50">
        <v>7.7620000000000006E-5</v>
      </c>
      <c r="HE11" s="50"/>
      <c r="HF11" s="50">
        <v>18.657013679999999</v>
      </c>
      <c r="HG11" s="50">
        <v>-1.080368E-2</v>
      </c>
      <c r="HH11" s="50">
        <f t="shared" si="6"/>
        <v>74.084133620000003</v>
      </c>
      <c r="HI11" s="50">
        <v>8.0849999999999997E-4</v>
      </c>
      <c r="HJ11" s="50">
        <v>17.3008825</v>
      </c>
      <c r="HK11" s="50">
        <v>6.6319999999999999E-3</v>
      </c>
      <c r="HL11" s="50"/>
      <c r="HM11" s="50"/>
      <c r="HN11" s="50"/>
      <c r="HO11" s="50"/>
      <c r="HP11" s="50"/>
      <c r="HQ11" s="50"/>
      <c r="HR11" s="50"/>
      <c r="HS11" s="50"/>
      <c r="HT11" s="50"/>
      <c r="HU11" s="276">
        <f t="shared" si="16"/>
        <v>0</v>
      </c>
      <c r="HV11" s="276">
        <f t="shared" si="17"/>
        <v>17.308323000000001</v>
      </c>
      <c r="HW11" s="277">
        <f t="shared" si="18"/>
        <v>17.308323000000001</v>
      </c>
      <c r="HX11" s="277" t="e">
        <f t="shared" si="19"/>
        <v>#DIV/0!</v>
      </c>
    </row>
    <row r="12" spans="1:232" s="12" customFormat="1" ht="20.5">
      <c r="A12" s="314" t="s">
        <v>37</v>
      </c>
      <c r="B12" s="12" t="s">
        <v>38</v>
      </c>
      <c r="C12" s="47" t="s">
        <v>39</v>
      </c>
      <c r="D12" s="42">
        <v>1263.4467547139743</v>
      </c>
      <c r="E12" s="42">
        <v>1464.2920686279533</v>
      </c>
      <c r="F12" s="42">
        <v>1030.333290647179</v>
      </c>
      <c r="G12" s="42">
        <v>1108.174823990757</v>
      </c>
      <c r="H12" s="42">
        <v>86.545763826045388</v>
      </c>
      <c r="I12" s="42">
        <v>84.85923386890228</v>
      </c>
      <c r="J12" s="42">
        <v>88.98636177369508</v>
      </c>
      <c r="K12" s="42">
        <v>96.50039698123517</v>
      </c>
      <c r="L12" s="42">
        <v>93.877931827365828</v>
      </c>
      <c r="M12" s="42">
        <v>94.074444653132318</v>
      </c>
      <c r="N12" s="42">
        <v>102.83657178957434</v>
      </c>
      <c r="O12" s="42">
        <v>92.255364226726087</v>
      </c>
      <c r="P12" s="42">
        <v>89.242165667810667</v>
      </c>
      <c r="Q12" s="42">
        <v>91.786384255069677</v>
      </c>
      <c r="R12" s="42">
        <v>95.711410293623828</v>
      </c>
      <c r="S12" s="42">
        <v>110.52960853950746</v>
      </c>
      <c r="T12" s="42">
        <v>1127.2056377026884</v>
      </c>
      <c r="U12" s="42">
        <v>1127.2056362798162</v>
      </c>
      <c r="V12" s="42">
        <v>96.052404368785616</v>
      </c>
      <c r="W12" s="42">
        <v>99.324723536007198</v>
      </c>
      <c r="X12" s="42">
        <v>97.190718891753605</v>
      </c>
      <c r="Y12" s="42">
        <v>101.88848242184166</v>
      </c>
      <c r="Z12" s="42">
        <v>100.41483116203095</v>
      </c>
      <c r="AA12" s="42">
        <v>110.03404932242844</v>
      </c>
      <c r="AB12" s="42">
        <v>109.59404898093921</v>
      </c>
      <c r="AC12" s="42">
        <v>105.84182360942738</v>
      </c>
      <c r="AD12" s="42">
        <v>95.014668385495824</v>
      </c>
      <c r="AE12" s="42">
        <v>104.83288939732842</v>
      </c>
      <c r="AF12" s="42">
        <v>108.64357061143647</v>
      </c>
      <c r="AG12" s="42">
        <v>111.4132190482695</v>
      </c>
      <c r="AH12" s="42">
        <v>1240.2454297357442</v>
      </c>
      <c r="AI12" s="42">
        <v>1240.2454283128725</v>
      </c>
      <c r="AJ12" s="42">
        <v>114.08684498096197</v>
      </c>
      <c r="AK12" s="42">
        <v>98.934832471073022</v>
      </c>
      <c r="AL12" s="42">
        <v>105.46989060961521</v>
      </c>
      <c r="AM12" s="42">
        <v>107.36784508910023</v>
      </c>
      <c r="AN12" s="42">
        <v>116.76631607105253</v>
      </c>
      <c r="AO12" s="42">
        <v>109.52587207813275</v>
      </c>
      <c r="AP12" s="42">
        <v>117.12115468893178</v>
      </c>
      <c r="AQ12" s="42">
        <v>107.80568266543732</v>
      </c>
      <c r="AR12" s="42">
        <v>100.8170272223835</v>
      </c>
      <c r="AS12" s="42">
        <v>109.28855128883728</v>
      </c>
      <c r="AT12" s="42">
        <v>110.7456502808749</v>
      </c>
      <c r="AU12" s="42">
        <v>135.0548773199925</v>
      </c>
      <c r="AV12" s="42">
        <v>1332.9845447663929</v>
      </c>
      <c r="AW12" s="42">
        <v>1332.9845419206492</v>
      </c>
      <c r="AX12" s="44">
        <v>100.94434699999999</v>
      </c>
      <c r="AY12" s="44">
        <v>104.347934</v>
      </c>
      <c r="AZ12" s="44">
        <v>105.174744</v>
      </c>
      <c r="BA12" s="44">
        <v>118.12518</v>
      </c>
      <c r="BB12" s="44">
        <v>113.08529900000001</v>
      </c>
      <c r="BC12" s="44">
        <v>116.069551</v>
      </c>
      <c r="BD12" s="44">
        <v>129.424296</v>
      </c>
      <c r="BE12" s="44">
        <v>116.254017</v>
      </c>
      <c r="BF12" s="44">
        <v>106.33262231</v>
      </c>
      <c r="BG12" s="44">
        <v>123.95231638</v>
      </c>
      <c r="BH12" s="44">
        <v>112.67889502</v>
      </c>
      <c r="BI12" s="44">
        <v>138.85740447000001</v>
      </c>
      <c r="BJ12" s="50">
        <f t="shared" si="1"/>
        <v>1385.2466061800001</v>
      </c>
      <c r="BK12" s="44">
        <v>1385.2466079999999</v>
      </c>
      <c r="BL12" s="44">
        <v>113.00712844</v>
      </c>
      <c r="BM12" s="44">
        <v>106.34865592</v>
      </c>
      <c r="BN12" s="44">
        <v>107.92479041</v>
      </c>
      <c r="BO12" s="44">
        <v>117.67843431</v>
      </c>
      <c r="BP12" s="44">
        <v>123.93427265999999</v>
      </c>
      <c r="BQ12" s="44">
        <v>119.13830976</v>
      </c>
      <c r="BR12" s="44">
        <v>132.85846878999999</v>
      </c>
      <c r="BS12" s="44">
        <v>121.2089723</v>
      </c>
      <c r="BT12" s="44">
        <v>111.74255741</v>
      </c>
      <c r="BU12" s="44">
        <v>120.7447102</v>
      </c>
      <c r="BV12" s="44">
        <v>118.82784178999999</v>
      </c>
      <c r="BW12" s="44">
        <v>143.51507459999999</v>
      </c>
      <c r="BX12" s="50">
        <f t="shared" si="4"/>
        <v>1436.9292165900001</v>
      </c>
      <c r="BY12" s="50">
        <v>1436.9292165900001</v>
      </c>
      <c r="BZ12" s="50">
        <v>120.66304441</v>
      </c>
      <c r="CA12" s="50">
        <v>114.15655382999999</v>
      </c>
      <c r="CB12" s="50">
        <v>112.77896263</v>
      </c>
      <c r="CC12" s="50">
        <v>126.87572410999999</v>
      </c>
      <c r="CD12" s="50">
        <v>117.77049006999999</v>
      </c>
      <c r="CE12" s="73">
        <v>130.73360158</v>
      </c>
      <c r="CF12" s="50">
        <v>138.54856925999999</v>
      </c>
      <c r="CG12" s="50">
        <v>126.46506503000001</v>
      </c>
      <c r="CH12" s="50">
        <v>124.62360423999999</v>
      </c>
      <c r="CI12" s="50">
        <v>131.35620645</v>
      </c>
      <c r="CJ12" s="50">
        <v>128.28213002999999</v>
      </c>
      <c r="CK12" s="50">
        <v>156.41699892000003</v>
      </c>
      <c r="CL12" s="50">
        <f t="shared" si="5"/>
        <v>1528.6709505599999</v>
      </c>
      <c r="CM12" s="50">
        <v>1528.6709499999999</v>
      </c>
      <c r="CN12" s="50">
        <v>124.41239131</v>
      </c>
      <c r="CO12" s="50">
        <v>123.58938584000001</v>
      </c>
      <c r="CP12" s="50">
        <v>120.61745039</v>
      </c>
      <c r="CQ12" s="50">
        <v>134.07421930000001</v>
      </c>
      <c r="CR12" s="50">
        <v>136.96396862</v>
      </c>
      <c r="CS12" s="50">
        <v>145.60154982999998</v>
      </c>
      <c r="CT12" s="50">
        <v>157.74045778999999</v>
      </c>
      <c r="CU12" s="50">
        <v>140.99888725</v>
      </c>
      <c r="CV12" s="50">
        <v>138.08393762</v>
      </c>
      <c r="CW12" s="50">
        <v>143.43029063999998</v>
      </c>
      <c r="CX12" s="50">
        <v>146.07150752000001</v>
      </c>
      <c r="CY12" s="50">
        <v>180.62817453</v>
      </c>
      <c r="CZ12" s="50">
        <f t="shared" si="9"/>
        <v>1692.2122206400002</v>
      </c>
      <c r="DA12" s="50">
        <v>1692.212221</v>
      </c>
      <c r="DB12" s="50">
        <v>144.38169722999999</v>
      </c>
      <c r="DC12" s="50">
        <v>132.93031101</v>
      </c>
      <c r="DD12" s="50">
        <v>111.93157418000001</v>
      </c>
      <c r="DE12" s="50">
        <v>117.78860858</v>
      </c>
      <c r="DF12" s="50">
        <v>129.04125815999998</v>
      </c>
      <c r="DG12" s="50">
        <v>153.83324664</v>
      </c>
      <c r="DH12" s="50">
        <v>157.69309586000003</v>
      </c>
      <c r="DI12" s="50">
        <v>149.96144225</v>
      </c>
      <c r="DJ12" s="50">
        <v>135.54314493999999</v>
      </c>
      <c r="DK12" s="50">
        <v>157.29411413999998</v>
      </c>
      <c r="DL12" s="50">
        <v>154.11233478</v>
      </c>
      <c r="DM12" s="50">
        <v>183.88364267000003</v>
      </c>
      <c r="DN12" s="50">
        <f t="shared" si="20"/>
        <v>1728.3944704399998</v>
      </c>
      <c r="DO12" s="50">
        <v>1728.3944690000001</v>
      </c>
      <c r="DP12" s="44">
        <v>147.93430269000001</v>
      </c>
      <c r="DQ12" s="50">
        <v>145.50324568000002</v>
      </c>
      <c r="DR12" s="50">
        <v>111.56978937000001</v>
      </c>
      <c r="DS12" s="50">
        <v>135.24267628000001</v>
      </c>
      <c r="DT12" s="50">
        <v>147.39267914999999</v>
      </c>
      <c r="DU12" s="50">
        <v>156.60423471999999</v>
      </c>
      <c r="DV12" s="50">
        <v>172.59578757999998</v>
      </c>
      <c r="DW12" s="50">
        <v>161.94594502000001</v>
      </c>
      <c r="DX12" s="50">
        <v>179.04582278000001</v>
      </c>
      <c r="DY12" s="50">
        <v>170.20264981</v>
      </c>
      <c r="DZ12" s="50">
        <v>177.03137712999998</v>
      </c>
      <c r="EA12" s="50">
        <v>224.55091361000001</v>
      </c>
      <c r="EB12" s="50">
        <f t="shared" si="10"/>
        <v>1929.6194238199998</v>
      </c>
      <c r="EC12" s="50">
        <v>1929.5960869999999</v>
      </c>
      <c r="ED12" s="50">
        <v>196.23443512</v>
      </c>
      <c r="EE12" s="50">
        <v>157.93889178999999</v>
      </c>
      <c r="EF12" s="50">
        <v>95.389076310000007</v>
      </c>
      <c r="EG12" s="50">
        <v>129.33649836000001</v>
      </c>
      <c r="EH12" s="50">
        <v>121.42047021</v>
      </c>
      <c r="EI12" s="50">
        <v>136.94838353999998</v>
      </c>
      <c r="EJ12" s="50">
        <v>164.64604011</v>
      </c>
      <c r="EK12" s="50">
        <v>152.11883324000001</v>
      </c>
      <c r="EL12" s="44">
        <v>153.43157987999999</v>
      </c>
      <c r="EM12" s="44">
        <v>179.97395800000001</v>
      </c>
      <c r="EN12" s="44">
        <v>159.87399688999929</v>
      </c>
      <c r="EO12" s="44">
        <v>172.33963814999998</v>
      </c>
      <c r="EP12" s="50">
        <f t="shared" si="11"/>
        <v>1819.6518015999993</v>
      </c>
      <c r="EQ12" s="198">
        <v>1819.6517690000001</v>
      </c>
      <c r="ER12" s="44">
        <v>150.693296</v>
      </c>
      <c r="ES12" s="44">
        <v>153.563095</v>
      </c>
      <c r="ET12" s="44">
        <v>45.660741999999999</v>
      </c>
      <c r="EU12" s="44">
        <v>128.34452003000001</v>
      </c>
      <c r="EV12" s="44">
        <v>128.55619046999999</v>
      </c>
      <c r="EW12" s="44">
        <v>134.98612126999998</v>
      </c>
      <c r="EX12" s="44">
        <v>188.252533</v>
      </c>
      <c r="EY12" s="44">
        <v>170.50486000000001</v>
      </c>
      <c r="EZ12" s="44">
        <v>168.64160799999996</v>
      </c>
      <c r="FA12" s="44">
        <v>269.57514900000001</v>
      </c>
      <c r="FB12" s="44">
        <v>167.63412</v>
      </c>
      <c r="FC12" s="44">
        <v>220.86457303</v>
      </c>
      <c r="FD12" s="50">
        <f t="shared" si="12"/>
        <v>1927.2768077999999</v>
      </c>
      <c r="FE12" s="50">
        <v>1927.2768040000001</v>
      </c>
      <c r="FF12" s="50">
        <v>230.24896465999998</v>
      </c>
      <c r="FG12" s="50">
        <v>184.55889605000002</v>
      </c>
      <c r="FH12" s="50">
        <v>65.002210899999994</v>
      </c>
      <c r="FI12" s="50">
        <v>165.30697305999999</v>
      </c>
      <c r="FJ12" s="50">
        <v>175.24344736</v>
      </c>
      <c r="FK12" s="94">
        <v>193.47165901</v>
      </c>
      <c r="FL12" s="50">
        <v>220.96358691</v>
      </c>
      <c r="FM12" s="50">
        <v>202.01731259000002</v>
      </c>
      <c r="FN12" s="50">
        <v>208.38990674999999</v>
      </c>
      <c r="FO12" s="50">
        <v>217.09081179</v>
      </c>
      <c r="FP12" s="50">
        <v>200.28546450000002</v>
      </c>
      <c r="FQ12" s="50">
        <v>199.89776386</v>
      </c>
      <c r="FR12" s="50">
        <f t="shared" si="13"/>
        <v>2262.4769974400001</v>
      </c>
      <c r="FS12" s="50">
        <v>2262.4769980000001</v>
      </c>
      <c r="FT12" s="50">
        <v>239.533996</v>
      </c>
      <c r="FU12" s="50">
        <v>203.94499199999998</v>
      </c>
      <c r="FV12" s="50">
        <v>69.210313999999997</v>
      </c>
      <c r="FW12" s="50">
        <v>176.94750703</v>
      </c>
      <c r="FX12" s="50">
        <v>181.07272900000001</v>
      </c>
      <c r="FY12" s="50">
        <v>221.43500168999998</v>
      </c>
      <c r="FZ12" s="50">
        <v>253.86746765999999</v>
      </c>
      <c r="GA12" s="50">
        <v>234.13196342000001</v>
      </c>
      <c r="GB12" s="50">
        <v>225.11849023999991</v>
      </c>
      <c r="GC12" s="50">
        <v>233.04624088999998</v>
      </c>
      <c r="GD12" s="50">
        <v>229.98331302000008</v>
      </c>
      <c r="GE12" s="50">
        <v>232.44023621000002</v>
      </c>
      <c r="GF12" s="50">
        <f t="shared" si="14"/>
        <v>2500.73225116</v>
      </c>
      <c r="GG12" s="50">
        <v>2500.7322490000001</v>
      </c>
      <c r="GH12" s="50">
        <v>270.15186367000001</v>
      </c>
      <c r="GI12" s="50">
        <v>241.39762386000001</v>
      </c>
      <c r="GJ12" s="50">
        <v>62.493391549999998</v>
      </c>
      <c r="GK12" s="50">
        <v>218.76967447999999</v>
      </c>
      <c r="GL12" s="50">
        <v>215.29020829000001</v>
      </c>
      <c r="GM12" s="50">
        <v>218.86195421000002</v>
      </c>
      <c r="GN12" s="50">
        <v>292.60546355000008</v>
      </c>
      <c r="GO12" s="50">
        <v>264.36434036000003</v>
      </c>
      <c r="GP12" s="50">
        <v>249.21619291000002</v>
      </c>
      <c r="GQ12" s="50">
        <v>262.90636243</v>
      </c>
      <c r="GR12" s="50">
        <v>256.48594746000003</v>
      </c>
      <c r="GS12" s="50">
        <v>258.44657771999999</v>
      </c>
      <c r="GT12" s="50">
        <f t="shared" si="15"/>
        <v>2810.9896004899997</v>
      </c>
      <c r="GU12" s="50">
        <v>2810.9896010000002</v>
      </c>
      <c r="GV12" s="50">
        <v>316.81269873000002</v>
      </c>
      <c r="GW12" s="50">
        <v>241.43620661</v>
      </c>
      <c r="GX12" s="50">
        <v>65.475726909999992</v>
      </c>
      <c r="GY12" s="50">
        <v>192.83897202</v>
      </c>
      <c r="GZ12" s="50">
        <v>207.03071846</v>
      </c>
      <c r="HA12" s="50">
        <v>233.39515983000001</v>
      </c>
      <c r="HB12" s="50">
        <v>279.18414495000002</v>
      </c>
      <c r="HC12" s="50">
        <v>257.75421033999999</v>
      </c>
      <c r="HD12" s="50">
        <v>239.14581136999999</v>
      </c>
      <c r="HE12" s="50">
        <v>257.31188198000018</v>
      </c>
      <c r="HF12" s="50">
        <v>241.09099852</v>
      </c>
      <c r="HG12" s="50">
        <v>236.28572299999999</v>
      </c>
      <c r="HH12" s="50">
        <f t="shared" si="6"/>
        <v>2767.7622527200001</v>
      </c>
      <c r="HI12" s="50">
        <v>288.64350333000004</v>
      </c>
      <c r="HJ12" s="50">
        <v>235.83408665000002</v>
      </c>
      <c r="HK12" s="50">
        <v>99.230123750000004</v>
      </c>
      <c r="HL12" s="50">
        <v>217.40523223</v>
      </c>
      <c r="HM12" s="50"/>
      <c r="HN12" s="50"/>
      <c r="HO12" s="50"/>
      <c r="HP12" s="50"/>
      <c r="HQ12" s="50"/>
      <c r="HR12" s="50"/>
      <c r="HS12" s="50"/>
      <c r="HT12" s="50"/>
      <c r="HU12" s="276">
        <f t="shared" si="16"/>
        <v>816.56360400000005</v>
      </c>
      <c r="HV12" s="276">
        <f t="shared" si="17"/>
        <v>841.11294599999997</v>
      </c>
      <c r="HW12" s="277">
        <f t="shared" si="18"/>
        <v>24.549341999999911</v>
      </c>
      <c r="HX12" s="277">
        <f t="shared" si="19"/>
        <v>3.0064212854630199</v>
      </c>
    </row>
    <row r="13" spans="1:232" s="12" customFormat="1" ht="20.5">
      <c r="A13" s="314" t="s">
        <v>40</v>
      </c>
      <c r="C13" s="47" t="s">
        <v>41</v>
      </c>
      <c r="D13" s="42">
        <v>1799.9025403953308</v>
      </c>
      <c r="E13" s="42">
        <v>1994.434029971372</v>
      </c>
      <c r="F13" s="42">
        <v>1660.0354821543419</v>
      </c>
      <c r="G13" s="42">
        <v>1555.5149102737037</v>
      </c>
      <c r="H13" s="42">
        <v>119.20410953836347</v>
      </c>
      <c r="I13" s="42">
        <v>135.90171370680875</v>
      </c>
      <c r="J13" s="42">
        <v>138.87079327949186</v>
      </c>
      <c r="K13" s="42">
        <v>139.03380601134884</v>
      </c>
      <c r="L13" s="42">
        <v>143.82835755061154</v>
      </c>
      <c r="M13" s="42">
        <v>144.43206925401677</v>
      </c>
      <c r="N13" s="42">
        <v>163.00185257909743</v>
      </c>
      <c r="O13" s="42">
        <v>144.21692819050546</v>
      </c>
      <c r="P13" s="42">
        <v>147.54324249719693</v>
      </c>
      <c r="Q13" s="42">
        <v>146.4518784753644</v>
      </c>
      <c r="R13" s="42">
        <v>148.72454766905142</v>
      </c>
      <c r="S13" s="42">
        <v>178.35989835003787</v>
      </c>
      <c r="T13" s="42">
        <v>1749.5691971018946</v>
      </c>
      <c r="U13" s="42">
        <v>1749.5691971018946</v>
      </c>
      <c r="V13" s="42">
        <v>140.12271273356441</v>
      </c>
      <c r="W13" s="42">
        <v>146.77011963506183</v>
      </c>
      <c r="X13" s="42">
        <v>147.06572387180495</v>
      </c>
      <c r="Y13" s="42">
        <v>156.4826039692432</v>
      </c>
      <c r="Z13" s="42">
        <v>153.59468927325401</v>
      </c>
      <c r="AA13" s="42">
        <v>154.36978019476268</v>
      </c>
      <c r="AB13" s="42">
        <v>171.66341398170758</v>
      </c>
      <c r="AC13" s="42">
        <v>160.07909459820945</v>
      </c>
      <c r="AD13" s="42">
        <v>149.68581425262235</v>
      </c>
      <c r="AE13" s="42">
        <v>165.19288592552118</v>
      </c>
      <c r="AF13" s="42">
        <v>161.95085685340436</v>
      </c>
      <c r="AG13" s="42">
        <v>176.93434442604197</v>
      </c>
      <c r="AH13" s="42">
        <v>1883.9120397151976</v>
      </c>
      <c r="AI13" s="42">
        <v>1883.9120409104103</v>
      </c>
      <c r="AJ13" s="42">
        <v>161.33790502046091</v>
      </c>
      <c r="AK13" s="42">
        <v>155.07053887001211</v>
      </c>
      <c r="AL13" s="42">
        <v>152.64250203470669</v>
      </c>
      <c r="AM13" s="42">
        <v>171.52268199461105</v>
      </c>
      <c r="AN13" s="42">
        <v>158.59792346580181</v>
      </c>
      <c r="AO13" s="42">
        <v>155.51946488636946</v>
      </c>
      <c r="AP13" s="42">
        <v>177.61799022202493</v>
      </c>
      <c r="AQ13" s="42">
        <v>166.51254830649796</v>
      </c>
      <c r="AR13" s="42">
        <v>154.57398079692203</v>
      </c>
      <c r="AS13" s="42">
        <v>169.31643246196666</v>
      </c>
      <c r="AT13" s="42">
        <v>159.6534467646741</v>
      </c>
      <c r="AU13" s="42">
        <v>198.47405820114855</v>
      </c>
      <c r="AV13" s="42">
        <v>1980.8394730251964</v>
      </c>
      <c r="AW13" s="42">
        <v>1980.8394744480681</v>
      </c>
      <c r="AX13" s="44">
        <v>148.13804400000001</v>
      </c>
      <c r="AY13" s="44">
        <v>152.61350200000001</v>
      </c>
      <c r="AZ13" s="44">
        <v>154.34897100000001</v>
      </c>
      <c r="BA13" s="44">
        <v>172.467646</v>
      </c>
      <c r="BB13" s="44">
        <v>160.16077899999999</v>
      </c>
      <c r="BC13" s="44">
        <v>160.40488099999999</v>
      </c>
      <c r="BD13" s="44">
        <v>186.87765899999999</v>
      </c>
      <c r="BE13" s="44">
        <v>165.463706</v>
      </c>
      <c r="BF13" s="44">
        <v>153.75098231000001</v>
      </c>
      <c r="BG13" s="44">
        <v>175.01610313999998</v>
      </c>
      <c r="BH13" s="44">
        <v>155.80574494000004</v>
      </c>
      <c r="BI13" s="44">
        <v>191.07232320000003</v>
      </c>
      <c r="BJ13" s="50">
        <v>1976.12034159</v>
      </c>
      <c r="BK13" s="44">
        <v>1976.1203419999999</v>
      </c>
      <c r="BL13" s="44">
        <v>157.3858257</v>
      </c>
      <c r="BM13" s="44">
        <v>159.32040165000001</v>
      </c>
      <c r="BN13" s="44">
        <v>166.50347086000005</v>
      </c>
      <c r="BO13" s="44">
        <v>177.72226172000003</v>
      </c>
      <c r="BP13" s="44">
        <v>160.66838642999997</v>
      </c>
      <c r="BQ13" s="44">
        <v>165.59198393999998</v>
      </c>
      <c r="BR13" s="44">
        <v>195.97377599999999</v>
      </c>
      <c r="BS13" s="44">
        <v>171.21675989000002</v>
      </c>
      <c r="BT13" s="44">
        <v>162.34785893</v>
      </c>
      <c r="BU13" s="44">
        <v>175.10483925999998</v>
      </c>
      <c r="BV13" s="44">
        <v>162.41979723999998</v>
      </c>
      <c r="BW13" s="44">
        <v>194.49005961</v>
      </c>
      <c r="BX13" s="50">
        <v>2048.7454212299999</v>
      </c>
      <c r="BY13" s="50">
        <v>2048.7454212299999</v>
      </c>
      <c r="BZ13" s="50">
        <f>BZ14+BZ15+BZ16</f>
        <v>161.39029951000003</v>
      </c>
      <c r="CA13" s="50">
        <f t="shared" ref="CA13:CL13" si="21">CA14+CA15+CA16</f>
        <v>162.66842315999997</v>
      </c>
      <c r="CB13" s="50">
        <f t="shared" si="21"/>
        <v>166.78362495000005</v>
      </c>
      <c r="CC13" s="50">
        <f t="shared" si="21"/>
        <v>188.87658619999999</v>
      </c>
      <c r="CD13" s="50">
        <f t="shared" si="21"/>
        <v>165.51293248000007</v>
      </c>
      <c r="CE13" s="73">
        <f t="shared" si="21"/>
        <v>177.63488606999999</v>
      </c>
      <c r="CF13" s="50">
        <f t="shared" si="21"/>
        <v>196.98521888999994</v>
      </c>
      <c r="CG13" s="50">
        <f t="shared" si="21"/>
        <v>172.34779498999998</v>
      </c>
      <c r="CH13" s="50">
        <f t="shared" si="21"/>
        <v>170.72851227999993</v>
      </c>
      <c r="CI13" s="50">
        <f t="shared" si="21"/>
        <v>185.98391896000001</v>
      </c>
      <c r="CJ13" s="50">
        <f t="shared" si="21"/>
        <v>172.07127314000005</v>
      </c>
      <c r="CK13" s="50">
        <f t="shared" si="21"/>
        <v>209.77159747000005</v>
      </c>
      <c r="CL13" s="50">
        <f t="shared" si="21"/>
        <v>2130.7550681000002</v>
      </c>
      <c r="CM13" s="50">
        <v>2130.7550689999998</v>
      </c>
      <c r="CN13" s="50">
        <f>CN14+CN15+CN16</f>
        <v>178.01964399999997</v>
      </c>
      <c r="CO13" s="50">
        <f t="shared" ref="CO13:CZ13" si="22">CO14+CO15+CO16</f>
        <v>170.55312869999997</v>
      </c>
      <c r="CP13" s="50">
        <f t="shared" si="22"/>
        <v>177.79656289000005</v>
      </c>
      <c r="CQ13" s="50">
        <f t="shared" si="22"/>
        <v>195.70726384</v>
      </c>
      <c r="CR13" s="50">
        <f t="shared" si="22"/>
        <v>187.39398244</v>
      </c>
      <c r="CS13" s="50">
        <f t="shared" si="22"/>
        <v>193.87513949000004</v>
      </c>
      <c r="CT13" s="50">
        <f t="shared" si="22"/>
        <v>216.26652848000003</v>
      </c>
      <c r="CU13" s="50">
        <f t="shared" si="22"/>
        <v>190.08487366</v>
      </c>
      <c r="CV13" s="50">
        <f t="shared" si="22"/>
        <v>185.02227776999996</v>
      </c>
      <c r="CW13" s="50">
        <f t="shared" si="22"/>
        <v>204.85167931999999</v>
      </c>
      <c r="CX13" s="50">
        <f t="shared" si="22"/>
        <v>191.48055788000002</v>
      </c>
      <c r="CY13" s="50">
        <f t="shared" si="22"/>
        <v>227.67381013999997</v>
      </c>
      <c r="CZ13" s="50">
        <f t="shared" si="22"/>
        <v>2318.7254486100001</v>
      </c>
      <c r="DA13" s="50">
        <f>DA14+DA15+DA16</f>
        <v>2318.7441470000003</v>
      </c>
      <c r="DB13" s="50">
        <f>DB14+DB15+DB16</f>
        <v>196.23241411999999</v>
      </c>
      <c r="DC13" s="50">
        <f t="shared" ref="DC13:DR13" si="23">DC14+DC15+DC16</f>
        <v>197.57560261999998</v>
      </c>
      <c r="DD13" s="50">
        <f t="shared" si="23"/>
        <v>201.76673857000003</v>
      </c>
      <c r="DE13" s="50">
        <f t="shared" si="23"/>
        <v>228.77588985</v>
      </c>
      <c r="DF13" s="50">
        <f t="shared" si="23"/>
        <v>213.71387118999999</v>
      </c>
      <c r="DG13" s="50">
        <f t="shared" si="23"/>
        <v>224.20815041000003</v>
      </c>
      <c r="DH13" s="50">
        <f t="shared" si="23"/>
        <v>252.22733119</v>
      </c>
      <c r="DI13" s="50">
        <f t="shared" si="23"/>
        <v>221.59556795000003</v>
      </c>
      <c r="DJ13" s="50">
        <f t="shared" si="23"/>
        <v>209.43200536999998</v>
      </c>
      <c r="DK13" s="50">
        <f t="shared" si="23"/>
        <v>238.69114751999996</v>
      </c>
      <c r="DL13" s="50">
        <f t="shared" si="23"/>
        <v>221.30213930999997</v>
      </c>
      <c r="DM13" s="50">
        <f t="shared" si="23"/>
        <v>257.11879386000004</v>
      </c>
      <c r="DN13" s="50">
        <f>SUM(DB13:DM13)</f>
        <v>2662.6396519599998</v>
      </c>
      <c r="DO13" s="50">
        <f>DO14+DO15+DO16</f>
        <v>2662.6406630000001</v>
      </c>
      <c r="DP13" s="44">
        <f t="shared" si="23"/>
        <v>223.77400226999998</v>
      </c>
      <c r="DQ13" s="50">
        <f t="shared" si="23"/>
        <v>215.65624583999994</v>
      </c>
      <c r="DR13" s="50">
        <f t="shared" si="23"/>
        <v>214.06520274000005</v>
      </c>
      <c r="DS13" s="50">
        <v>249.07955515999996</v>
      </c>
      <c r="DT13" s="50">
        <v>237.49751255999999</v>
      </c>
      <c r="DU13" s="50">
        <v>236.69188775000001</v>
      </c>
      <c r="DV13" s="50">
        <v>272.22206236</v>
      </c>
      <c r="DW13" s="50">
        <v>243.38304450999999</v>
      </c>
      <c r="DX13" s="50">
        <v>230.77683590000001</v>
      </c>
      <c r="DY13" s="50">
        <v>257.86683496000001</v>
      </c>
      <c r="DZ13" s="50">
        <v>238.12432121000001</v>
      </c>
      <c r="EA13" s="50">
        <v>276.51876140000002</v>
      </c>
      <c r="EB13" s="50">
        <f t="shared" si="10"/>
        <v>2895.6562666599998</v>
      </c>
      <c r="EC13" s="50">
        <f>EC14+EC15+EC16</f>
        <v>2895.6796000000004</v>
      </c>
      <c r="ED13" s="50">
        <v>242.35150807999997</v>
      </c>
      <c r="EE13" s="50">
        <v>230.91941525999999</v>
      </c>
      <c r="EF13" s="50">
        <v>219.97100685999996</v>
      </c>
      <c r="EG13" s="50">
        <v>238.97324613000006</v>
      </c>
      <c r="EH13" s="50">
        <v>202.46311419</v>
      </c>
      <c r="EI13" s="50">
        <v>217.84020041000005</v>
      </c>
      <c r="EJ13" s="50">
        <v>263.72003131000002</v>
      </c>
      <c r="EK13" s="50">
        <v>242.61097566000001</v>
      </c>
      <c r="EL13" s="44">
        <v>244.54226785999998</v>
      </c>
      <c r="EM13" s="44">
        <v>269.65809444000001</v>
      </c>
      <c r="EN13" s="44">
        <v>242.939345</v>
      </c>
      <c r="EO13" s="44">
        <v>297.21277206999997</v>
      </c>
      <c r="EP13" s="50">
        <f t="shared" si="11"/>
        <v>2913.2019772699996</v>
      </c>
      <c r="EQ13" s="50">
        <f>EQ14+EQ15+EQ16</f>
        <v>2913.2020090000001</v>
      </c>
      <c r="ER13" s="44">
        <v>164.800017</v>
      </c>
      <c r="ES13" s="44">
        <v>218.09101434999999</v>
      </c>
      <c r="ET13" s="44">
        <v>220.95002299999999</v>
      </c>
      <c r="EU13" s="44">
        <v>255.25724913000005</v>
      </c>
      <c r="EV13" s="44">
        <v>254.32611017999997</v>
      </c>
      <c r="EW13" s="44">
        <v>253.08305622999998</v>
      </c>
      <c r="EX13" s="44">
        <v>284.50926322000004</v>
      </c>
      <c r="EY13" s="44">
        <v>279.48490886000008</v>
      </c>
      <c r="EZ13" s="44">
        <v>273.89999719000002</v>
      </c>
      <c r="FA13" s="44">
        <v>263.76423499999999</v>
      </c>
      <c r="FB13" s="44">
        <v>238.66714422999999</v>
      </c>
      <c r="FC13" s="44">
        <v>414.23251767000005</v>
      </c>
      <c r="FD13" s="50">
        <f t="shared" si="12"/>
        <v>3121.0655360599999</v>
      </c>
      <c r="FE13" s="50">
        <f>FE14+FE15+FE16</f>
        <v>3122.1344429999999</v>
      </c>
      <c r="FF13" s="50">
        <v>333.47692785000004</v>
      </c>
      <c r="FG13" s="50">
        <v>272.47740819999996</v>
      </c>
      <c r="FH13" s="50">
        <v>277.09401267999999</v>
      </c>
      <c r="FI13" s="50">
        <v>295.57084490999995</v>
      </c>
      <c r="FJ13" s="50">
        <v>313.84588660999992</v>
      </c>
      <c r="FK13" s="94">
        <v>318.98133206</v>
      </c>
      <c r="FL13" s="50">
        <v>308.24038436000001</v>
      </c>
      <c r="FM13" s="50">
        <v>303.84380946999994</v>
      </c>
      <c r="FN13" s="50">
        <v>324.38634584999988</v>
      </c>
      <c r="FO13" s="50">
        <v>335.20633321999998</v>
      </c>
      <c r="FP13" s="50">
        <v>301.93006675999993</v>
      </c>
      <c r="FQ13" s="50">
        <v>282.16279291999996</v>
      </c>
      <c r="FR13" s="50">
        <f t="shared" si="13"/>
        <v>3667.2161448899997</v>
      </c>
      <c r="FS13" s="50">
        <f>FS14+FS15+FS16</f>
        <v>3666.127845</v>
      </c>
      <c r="FT13" s="50">
        <v>371.69686037999998</v>
      </c>
      <c r="FU13" s="50">
        <v>304.65934806999991</v>
      </c>
      <c r="FV13" s="50">
        <v>251.64926240999998</v>
      </c>
      <c r="FW13" s="50">
        <v>344.90570703999998</v>
      </c>
      <c r="FX13" s="50">
        <v>331.36674631</v>
      </c>
      <c r="FY13" s="50">
        <v>350.90681060999998</v>
      </c>
      <c r="FZ13" s="50">
        <v>360.07472760000002</v>
      </c>
      <c r="GA13" s="50">
        <v>349.94483490000005</v>
      </c>
      <c r="GB13" s="50">
        <v>352.28255713000004</v>
      </c>
      <c r="GC13" s="50">
        <v>331.69945154999999</v>
      </c>
      <c r="GD13" s="50">
        <v>339.06651240999997</v>
      </c>
      <c r="GE13" s="50">
        <v>335.27297693000003</v>
      </c>
      <c r="GF13" s="50">
        <f t="shared" si="14"/>
        <v>4023.5257953400001</v>
      </c>
      <c r="GG13" s="50">
        <f>GG14+GG15+GG16</f>
        <v>4023.2863800000005</v>
      </c>
      <c r="GH13" s="50">
        <v>397.66426382000003</v>
      </c>
      <c r="GI13" s="50">
        <v>351.71256837999999</v>
      </c>
      <c r="GJ13" s="50">
        <v>336.26916712000002</v>
      </c>
      <c r="GK13" s="50">
        <v>402.61002842000005</v>
      </c>
      <c r="GL13" s="50">
        <v>364.07836213999997</v>
      </c>
      <c r="GM13" s="50">
        <v>331.32086416999994</v>
      </c>
      <c r="GN13" s="50">
        <v>395.80357076999996</v>
      </c>
      <c r="GO13" s="50">
        <v>377.95256597999997</v>
      </c>
      <c r="GP13" s="50">
        <v>349.59962993999994</v>
      </c>
      <c r="GQ13" s="50">
        <v>375.76388414000013</v>
      </c>
      <c r="GR13" s="50">
        <v>357.74248520999998</v>
      </c>
      <c r="GS13" s="50">
        <v>357.67898258999998</v>
      </c>
      <c r="GT13" s="50">
        <f t="shared" si="15"/>
        <v>4398.1963726800004</v>
      </c>
      <c r="GU13" s="50">
        <f>GU14+GU15+GU16</f>
        <v>4398.1963729999998</v>
      </c>
      <c r="GV13" s="50">
        <v>431.29412137999998</v>
      </c>
      <c r="GW13" s="50">
        <v>358.70734095999995</v>
      </c>
      <c r="GX13" s="50">
        <v>363.54947734999996</v>
      </c>
      <c r="GY13" s="50">
        <v>391.79337446</v>
      </c>
      <c r="GZ13" s="50">
        <v>403.77591629</v>
      </c>
      <c r="HA13" s="50">
        <v>398.83669537000003</v>
      </c>
      <c r="HB13" s="50">
        <v>435.32434369999999</v>
      </c>
      <c r="HC13" s="50">
        <v>418.61263448000005</v>
      </c>
      <c r="HD13" s="50">
        <v>388.32660408000004</v>
      </c>
      <c r="HE13" s="50">
        <v>428.76228827999995</v>
      </c>
      <c r="HF13" s="50">
        <v>401.406791</v>
      </c>
      <c r="HG13" s="50">
        <v>393.79499499999997</v>
      </c>
      <c r="HH13" s="50">
        <f t="shared" si="6"/>
        <v>4814.1845823500007</v>
      </c>
      <c r="HI13" s="50">
        <v>458.19183134000002</v>
      </c>
      <c r="HJ13" s="50">
        <v>386.90771044999997</v>
      </c>
      <c r="HK13" s="50">
        <v>387.80467747</v>
      </c>
      <c r="HL13" s="50">
        <v>431.21634331000001</v>
      </c>
      <c r="HM13" s="50"/>
      <c r="HN13" s="50"/>
      <c r="HO13" s="50"/>
      <c r="HP13" s="50"/>
      <c r="HQ13" s="50"/>
      <c r="HR13" s="50"/>
      <c r="HS13" s="50"/>
      <c r="HT13" s="50"/>
      <c r="HU13" s="276">
        <f t="shared" si="16"/>
        <v>1545.3443139999999</v>
      </c>
      <c r="HV13" s="276">
        <f t="shared" si="17"/>
        <v>1664.1205629999999</v>
      </c>
      <c r="HW13" s="277">
        <f t="shared" si="18"/>
        <v>118.77624900000001</v>
      </c>
      <c r="HX13" s="277">
        <f t="shared" si="19"/>
        <v>7.686070212570101</v>
      </c>
    </row>
    <row r="14" spans="1:232" s="12" customFormat="1" ht="20.5">
      <c r="A14" s="314" t="s">
        <v>42</v>
      </c>
      <c r="B14" s="12" t="s">
        <v>43</v>
      </c>
      <c r="C14" s="77" t="s">
        <v>44</v>
      </c>
      <c r="D14" s="42">
        <v>1799.9025403953308</v>
      </c>
      <c r="E14" s="42">
        <v>1994.434029971372</v>
      </c>
      <c r="F14" s="42">
        <v>1660.0354821543419</v>
      </c>
      <c r="G14" s="42">
        <v>1555.5149102737037</v>
      </c>
      <c r="H14" s="42">
        <v>119.20410953836347</v>
      </c>
      <c r="I14" s="42">
        <v>135.90171370680875</v>
      </c>
      <c r="J14" s="42">
        <v>138.87079327949186</v>
      </c>
      <c r="K14" s="42">
        <v>139.03380601134884</v>
      </c>
      <c r="L14" s="42">
        <v>143.82835755061154</v>
      </c>
      <c r="M14" s="42">
        <v>144.43206925401677</v>
      </c>
      <c r="N14" s="42">
        <v>163.00185257909743</v>
      </c>
      <c r="O14" s="42">
        <v>144.21692819050546</v>
      </c>
      <c r="P14" s="42">
        <v>147.54324249719693</v>
      </c>
      <c r="Q14" s="42">
        <v>146.4518784753644</v>
      </c>
      <c r="R14" s="42">
        <v>148.72454766905142</v>
      </c>
      <c r="S14" s="42">
        <v>178.35989835003787</v>
      </c>
      <c r="T14" s="42">
        <v>1749.5691971018946</v>
      </c>
      <c r="U14" s="42">
        <v>1749.5691971018946</v>
      </c>
      <c r="V14" s="42">
        <v>140.12271273356441</v>
      </c>
      <c r="W14" s="42">
        <v>146.77011963506183</v>
      </c>
      <c r="X14" s="42">
        <v>147.06572387180495</v>
      </c>
      <c r="Y14" s="42">
        <v>156.4826039692432</v>
      </c>
      <c r="Z14" s="42">
        <v>153.59468927325401</v>
      </c>
      <c r="AA14" s="42">
        <v>154.36978019476268</v>
      </c>
      <c r="AB14" s="42">
        <v>171.66341398170758</v>
      </c>
      <c r="AC14" s="42">
        <v>160.07909459820945</v>
      </c>
      <c r="AD14" s="42">
        <v>149.68581425262235</v>
      </c>
      <c r="AE14" s="42">
        <v>165.19288592552118</v>
      </c>
      <c r="AF14" s="42">
        <v>161.95085685340436</v>
      </c>
      <c r="AG14" s="42">
        <v>176.93434442604197</v>
      </c>
      <c r="AH14" s="42">
        <v>1883.9120397151976</v>
      </c>
      <c r="AI14" s="42">
        <v>1883.9120409104103</v>
      </c>
      <c r="AJ14" s="42">
        <v>161.33790502046091</v>
      </c>
      <c r="AK14" s="42">
        <v>155.07053887001211</v>
      </c>
      <c r="AL14" s="42">
        <v>152.64250203470669</v>
      </c>
      <c r="AM14" s="42">
        <v>171.52268199461105</v>
      </c>
      <c r="AN14" s="42">
        <v>158.59792346580181</v>
      </c>
      <c r="AO14" s="42">
        <v>155.51946488636946</v>
      </c>
      <c r="AP14" s="42">
        <v>177.61799022202493</v>
      </c>
      <c r="AQ14" s="42">
        <v>166.51254830649796</v>
      </c>
      <c r="AR14" s="42">
        <v>154.57398079692203</v>
      </c>
      <c r="AS14" s="42">
        <v>169.31643246196666</v>
      </c>
      <c r="AT14" s="42">
        <v>159.6534467646741</v>
      </c>
      <c r="AU14" s="42">
        <v>198.47405820114855</v>
      </c>
      <c r="AV14" s="42">
        <v>1980.8394730251964</v>
      </c>
      <c r="AW14" s="42">
        <v>1980.8394744480681</v>
      </c>
      <c r="AX14" s="44">
        <v>148.13804400000001</v>
      </c>
      <c r="AY14" s="44">
        <v>152.61350200000001</v>
      </c>
      <c r="AZ14" s="44">
        <v>154.34897100000001</v>
      </c>
      <c r="BA14" s="44">
        <v>172.467646</v>
      </c>
      <c r="BB14" s="44">
        <v>160.16077899999999</v>
      </c>
      <c r="BC14" s="44">
        <v>160.40488099999999</v>
      </c>
      <c r="BD14" s="44">
        <v>186.87765899999999</v>
      </c>
      <c r="BE14" s="44">
        <v>165.463706</v>
      </c>
      <c r="BF14" s="44">
        <v>153.75098231000001</v>
      </c>
      <c r="BG14" s="44">
        <v>175.01610313999998</v>
      </c>
      <c r="BH14" s="44">
        <v>155.80574494000004</v>
      </c>
      <c r="BI14" s="44">
        <v>191.07232320000003</v>
      </c>
      <c r="BJ14" s="50">
        <f>SUM(AX14:BI14)</f>
        <v>1976.12034159</v>
      </c>
      <c r="BK14" s="44">
        <v>1976.1203419999999</v>
      </c>
      <c r="BL14" s="44">
        <v>157.3858257</v>
      </c>
      <c r="BM14" s="44">
        <v>159.32040165000001</v>
      </c>
      <c r="BN14" s="44">
        <v>166.50347086000005</v>
      </c>
      <c r="BO14" s="44">
        <v>177.72226172000003</v>
      </c>
      <c r="BP14" s="44">
        <v>160.66838642999997</v>
      </c>
      <c r="BQ14" s="44">
        <v>165.59198393999998</v>
      </c>
      <c r="BR14" s="44">
        <v>195.97377599999999</v>
      </c>
      <c r="BS14" s="44">
        <v>171.21675989000002</v>
      </c>
      <c r="BT14" s="44">
        <v>162.34785893</v>
      </c>
      <c r="BU14" s="44">
        <v>175.10483925999998</v>
      </c>
      <c r="BV14" s="44">
        <v>162.41979723999998</v>
      </c>
      <c r="BW14" s="44">
        <v>194.49005961</v>
      </c>
      <c r="BX14" s="50">
        <f t="shared" si="4"/>
        <v>2048.7454212299999</v>
      </c>
      <c r="BY14" s="50">
        <v>2048.7454212299999</v>
      </c>
      <c r="BZ14" s="50">
        <v>161.39029951000003</v>
      </c>
      <c r="CA14" s="50">
        <v>162.66842315999997</v>
      </c>
      <c r="CB14" s="50">
        <v>166.78362495000005</v>
      </c>
      <c r="CC14" s="50">
        <v>188.87658619999999</v>
      </c>
      <c r="CD14" s="50">
        <v>165.51293248000007</v>
      </c>
      <c r="CE14" s="73">
        <v>177.63488606999999</v>
      </c>
      <c r="CF14" s="50">
        <v>196.98521888999994</v>
      </c>
      <c r="CG14" s="50">
        <v>172.34779498999998</v>
      </c>
      <c r="CH14" s="50">
        <v>170.72851227999993</v>
      </c>
      <c r="CI14" s="50">
        <v>172.03352106</v>
      </c>
      <c r="CJ14" s="50">
        <v>166.82329861000005</v>
      </c>
      <c r="CK14" s="50">
        <v>203.13172518000005</v>
      </c>
      <c r="CL14" s="50">
        <f t="shared" si="5"/>
        <v>2104.9168233800001</v>
      </c>
      <c r="CM14" s="50">
        <v>2104.9168239999999</v>
      </c>
      <c r="CN14" s="50">
        <v>170.82025883999998</v>
      </c>
      <c r="CO14" s="50">
        <v>161.31337771999998</v>
      </c>
      <c r="CP14" s="50">
        <v>165.29099899000005</v>
      </c>
      <c r="CQ14" s="50">
        <v>195.05160623999998</v>
      </c>
      <c r="CR14" s="50">
        <v>186.177278</v>
      </c>
      <c r="CS14" s="50">
        <v>191.28330054000003</v>
      </c>
      <c r="CT14" s="50">
        <v>213.28743256000004</v>
      </c>
      <c r="CU14" s="50">
        <v>186.7784092</v>
      </c>
      <c r="CV14" s="50">
        <v>180.98094883999997</v>
      </c>
      <c r="CW14" s="50">
        <v>199.86176250999998</v>
      </c>
      <c r="CX14" s="50">
        <v>185.86341786000003</v>
      </c>
      <c r="CY14" s="50">
        <v>220.26289440999997</v>
      </c>
      <c r="CZ14" s="50">
        <f t="shared" si="9"/>
        <v>2256.9716857100002</v>
      </c>
      <c r="DA14" s="50">
        <v>2256.9903840000002</v>
      </c>
      <c r="DB14" s="50">
        <v>181.75206438999999</v>
      </c>
      <c r="DC14" s="50">
        <v>181.43439970999998</v>
      </c>
      <c r="DD14" s="50">
        <v>181.07308328000002</v>
      </c>
      <c r="DE14" s="50">
        <v>220.95350296999999</v>
      </c>
      <c r="DF14" s="50">
        <v>206.70613542999999</v>
      </c>
      <c r="DG14" s="50">
        <v>216.78296347000003</v>
      </c>
      <c r="DH14" s="50">
        <v>244.20716179000001</v>
      </c>
      <c r="DI14" s="50">
        <v>214.27476944000003</v>
      </c>
      <c r="DJ14" s="50">
        <v>202.34247002999999</v>
      </c>
      <c r="DK14" s="50">
        <v>230.78368493999997</v>
      </c>
      <c r="DL14" s="50">
        <v>214.04518824999997</v>
      </c>
      <c r="DM14" s="50">
        <v>248.86721048000001</v>
      </c>
      <c r="DN14" s="50">
        <f t="shared" si="20"/>
        <v>2543.2226341800001</v>
      </c>
      <c r="DO14" s="50">
        <v>2543.223645</v>
      </c>
      <c r="DP14" s="44">
        <v>215.90091519999999</v>
      </c>
      <c r="DQ14" s="50">
        <v>207.99268469999993</v>
      </c>
      <c r="DR14" s="50">
        <v>206.10569971000004</v>
      </c>
      <c r="DS14" s="50">
        <v>240.29015003999996</v>
      </c>
      <c r="DT14" s="50">
        <v>229.41528928</v>
      </c>
      <c r="DU14" s="50">
        <v>228.51998144000001</v>
      </c>
      <c r="DV14" s="50">
        <v>263.03059425000004</v>
      </c>
      <c r="DW14" s="50">
        <v>234.9971434</v>
      </c>
      <c r="DX14" s="50">
        <v>222.74379739000003</v>
      </c>
      <c r="DY14" s="50">
        <v>249.04644328000001</v>
      </c>
      <c r="DZ14" s="50">
        <v>229.81192466000002</v>
      </c>
      <c r="EA14" s="50">
        <v>267.12102262000002</v>
      </c>
      <c r="EB14" s="50">
        <f t="shared" si="10"/>
        <v>2794.9756459699997</v>
      </c>
      <c r="EC14" s="50">
        <v>2794.998979</v>
      </c>
      <c r="ED14" s="50">
        <v>234.18338947999999</v>
      </c>
      <c r="EE14" s="50">
        <v>223.01926174999997</v>
      </c>
      <c r="EF14" s="50">
        <v>212.35812472999996</v>
      </c>
      <c r="EG14" s="50">
        <v>230.89572602000004</v>
      </c>
      <c r="EH14" s="50">
        <v>195.52266638</v>
      </c>
      <c r="EI14" s="50">
        <v>210.49713253000007</v>
      </c>
      <c r="EJ14" s="50">
        <v>255.08218351000002</v>
      </c>
      <c r="EK14" s="50">
        <v>234.62107521999999</v>
      </c>
      <c r="EL14" s="44">
        <v>236.47018047</v>
      </c>
      <c r="EM14" s="44">
        <v>261.40587173999995</v>
      </c>
      <c r="EN14" s="44">
        <v>234.81775099999999</v>
      </c>
      <c r="EO14" s="44">
        <v>286.99458913999996</v>
      </c>
      <c r="EP14" s="50">
        <f t="shared" si="11"/>
        <v>2815.8679519699999</v>
      </c>
      <c r="EQ14" s="50">
        <v>2815.867984</v>
      </c>
      <c r="ER14" s="44">
        <v>158.87168966999999</v>
      </c>
      <c r="ES14" s="44">
        <v>210.77927879000001</v>
      </c>
      <c r="ET14" s="44">
        <v>213.33384063</v>
      </c>
      <c r="EU14" s="44">
        <v>246.67545586000006</v>
      </c>
      <c r="EV14" s="44">
        <v>245.97653828999998</v>
      </c>
      <c r="EW14" s="44">
        <v>244.72190289999998</v>
      </c>
      <c r="EX14" s="44">
        <v>275.1437866</v>
      </c>
      <c r="EY14" s="44">
        <v>270.27232117000005</v>
      </c>
      <c r="EZ14" s="44">
        <v>264.81603004999999</v>
      </c>
      <c r="FA14" s="44">
        <v>254.86796816</v>
      </c>
      <c r="FB14" s="44">
        <v>230.42994480000002</v>
      </c>
      <c r="FC14" s="44">
        <v>401.09155630999999</v>
      </c>
      <c r="FD14" s="50">
        <f t="shared" si="12"/>
        <v>3016.9803132300003</v>
      </c>
      <c r="FE14" s="50">
        <v>3018.049387</v>
      </c>
      <c r="FF14" s="50">
        <v>322.54656153000002</v>
      </c>
      <c r="FG14" s="50">
        <v>263.28996043000006</v>
      </c>
      <c r="FH14" s="50">
        <v>266.74150069000001</v>
      </c>
      <c r="FI14" s="50">
        <v>285.52989006999996</v>
      </c>
      <c r="FJ14" s="50">
        <v>302.96466939999993</v>
      </c>
      <c r="FK14" s="94">
        <v>308.24909193000002</v>
      </c>
      <c r="FL14" s="50">
        <v>297.50962722000003</v>
      </c>
      <c r="FM14" s="50">
        <v>293.33246056999997</v>
      </c>
      <c r="FN14" s="50">
        <v>313.25509824999989</v>
      </c>
      <c r="FO14" s="50">
        <v>323.73311581999997</v>
      </c>
      <c r="FP14" s="50">
        <v>291.30904610999994</v>
      </c>
      <c r="FQ14" s="50">
        <v>272.15342505999996</v>
      </c>
      <c r="FR14" s="50">
        <f t="shared" si="13"/>
        <v>3540.6144470799995</v>
      </c>
      <c r="FS14" s="50">
        <v>3539.526147</v>
      </c>
      <c r="FT14" s="50">
        <v>359.11147636999999</v>
      </c>
      <c r="FU14" s="50">
        <v>294.02487064999991</v>
      </c>
      <c r="FV14" s="50">
        <v>242.33633606999999</v>
      </c>
      <c r="FW14" s="50">
        <v>333.00810433999999</v>
      </c>
      <c r="FX14" s="50">
        <v>319.93229666999997</v>
      </c>
      <c r="FY14" s="50">
        <v>338.91222511999996</v>
      </c>
      <c r="FZ14" s="50">
        <v>347.67339190000001</v>
      </c>
      <c r="GA14" s="50">
        <v>337.88136481000004</v>
      </c>
      <c r="GB14" s="50">
        <v>340.04097742000005</v>
      </c>
      <c r="GC14" s="50">
        <v>320.05217954</v>
      </c>
      <c r="GD14" s="50">
        <v>327.18957671999999</v>
      </c>
      <c r="GE14" s="50">
        <v>323.46527173999999</v>
      </c>
      <c r="GF14" s="50">
        <f t="shared" si="14"/>
        <v>3883.6280713499996</v>
      </c>
      <c r="GG14" s="50">
        <v>3883.3886560000005</v>
      </c>
      <c r="GH14" s="50">
        <v>384.09372717000002</v>
      </c>
      <c r="GI14" s="50">
        <v>339.47916680000003</v>
      </c>
      <c r="GJ14" s="50">
        <v>324.40245211000001</v>
      </c>
      <c r="GK14" s="50">
        <v>388.87874191000003</v>
      </c>
      <c r="GL14" s="50">
        <v>351.46688944000005</v>
      </c>
      <c r="GM14" s="50">
        <v>319.12748218999997</v>
      </c>
      <c r="GN14" s="50">
        <v>382.78612325999995</v>
      </c>
      <c r="GO14" s="50">
        <v>364.86658386999994</v>
      </c>
      <c r="GP14" s="50">
        <v>337.29199225999992</v>
      </c>
      <c r="GQ14" s="50">
        <v>362.68189237000007</v>
      </c>
      <c r="GR14" s="50">
        <v>345.10720061000001</v>
      </c>
      <c r="GS14" s="50">
        <v>345.11374739000001</v>
      </c>
      <c r="GT14" s="50">
        <f>SUM(GH14:GS14)</f>
        <v>4245.2959993800005</v>
      </c>
      <c r="GU14" s="50">
        <v>4245.2959999999994</v>
      </c>
      <c r="GV14" s="50">
        <v>416.56017078999992</v>
      </c>
      <c r="GW14" s="50">
        <v>346.07450972999999</v>
      </c>
      <c r="GX14" s="50">
        <v>350.71940896999996</v>
      </c>
      <c r="GY14" s="50">
        <v>378.23775142000005</v>
      </c>
      <c r="GZ14" s="50">
        <v>390.27365369</v>
      </c>
      <c r="HA14" s="50">
        <v>385.50452447999999</v>
      </c>
      <c r="HB14" s="50">
        <v>420.80670679000002</v>
      </c>
      <c r="HC14" s="50">
        <v>404.57183178000002</v>
      </c>
      <c r="HD14" s="50">
        <v>375.14962677000005</v>
      </c>
      <c r="HE14" s="50">
        <v>414.38853737999995</v>
      </c>
      <c r="HF14" s="50">
        <v>387.73962185000005</v>
      </c>
      <c r="HG14" s="50">
        <v>380.41673562</v>
      </c>
      <c r="HH14" s="50">
        <f t="shared" si="6"/>
        <v>4650.4430792699995</v>
      </c>
      <c r="HI14" s="50">
        <v>442.91269677999998</v>
      </c>
      <c r="HJ14" s="50">
        <v>373.70111164999997</v>
      </c>
      <c r="HK14" s="50">
        <v>374.58530187999997</v>
      </c>
      <c r="HL14" s="50">
        <v>416.73530587000005</v>
      </c>
      <c r="HM14" s="50"/>
      <c r="HN14" s="50"/>
      <c r="HO14" s="50"/>
      <c r="HP14" s="50"/>
      <c r="HQ14" s="50"/>
      <c r="HR14" s="50"/>
      <c r="HS14" s="50"/>
      <c r="HT14" s="50"/>
      <c r="HU14" s="276">
        <f t="shared" si="16"/>
        <v>1491.5918409999999</v>
      </c>
      <c r="HV14" s="276">
        <f t="shared" si="17"/>
        <v>1607.9344160000001</v>
      </c>
      <c r="HW14" s="277">
        <f>HV14-HU14</f>
        <v>116.34257500000012</v>
      </c>
      <c r="HX14" s="277">
        <f t="shared" si="19"/>
        <v>7.7998934964675897</v>
      </c>
    </row>
    <row r="15" spans="1:232" s="12" customFormat="1" ht="20.25" hidden="1" customHeight="1">
      <c r="A15" s="314" t="s">
        <v>45</v>
      </c>
      <c r="C15" s="77" t="s">
        <v>45</v>
      </c>
      <c r="D15" s="44" t="s">
        <v>46</v>
      </c>
      <c r="E15" s="44" t="s">
        <v>46</v>
      </c>
      <c r="F15" s="44" t="s">
        <v>46</v>
      </c>
      <c r="G15" s="44" t="s">
        <v>46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 t="s">
        <v>46</v>
      </c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 t="s">
        <v>46</v>
      </c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 t="s">
        <v>46</v>
      </c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50" t="s">
        <v>46</v>
      </c>
      <c r="BK15" s="44" t="s">
        <v>46</v>
      </c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50">
        <f t="shared" si="4"/>
        <v>0</v>
      </c>
      <c r="BY15" s="50" t="s">
        <v>46</v>
      </c>
      <c r="BZ15" s="50"/>
      <c r="CA15" s="50"/>
      <c r="CB15" s="50"/>
      <c r="CC15" s="50"/>
      <c r="CD15" s="50"/>
      <c r="CE15" s="73"/>
      <c r="CF15" s="50"/>
      <c r="CG15" s="50"/>
      <c r="CH15" s="50"/>
      <c r="CI15" s="50">
        <v>13.9503979</v>
      </c>
      <c r="CJ15" s="50">
        <v>5.2479745300000005</v>
      </c>
      <c r="CK15" s="50">
        <v>6.6398722900000005</v>
      </c>
      <c r="CL15" s="50">
        <f t="shared" si="5"/>
        <v>25.838244719999999</v>
      </c>
      <c r="CM15" s="50">
        <v>25.838245000000001</v>
      </c>
      <c r="CN15" s="50">
        <v>7.1993851600000003</v>
      </c>
      <c r="CO15" s="50">
        <v>9.2397509800000002</v>
      </c>
      <c r="CP15" s="50">
        <v>12.5055639</v>
      </c>
      <c r="CQ15" s="50">
        <v>0.65565759999999995</v>
      </c>
      <c r="CR15" s="50">
        <v>1.21670444</v>
      </c>
      <c r="CS15" s="50">
        <v>2.5918389500000001</v>
      </c>
      <c r="CT15" s="50">
        <v>2.9790959199999998</v>
      </c>
      <c r="CU15" s="50">
        <v>3.3064644599999999</v>
      </c>
      <c r="CV15" s="50">
        <v>4.0413289300000006</v>
      </c>
      <c r="CW15" s="50">
        <v>4.9899168099999995</v>
      </c>
      <c r="CX15" s="50">
        <v>5.6171400199999999</v>
      </c>
      <c r="CY15" s="50">
        <v>7.4109157300000001</v>
      </c>
      <c r="CZ15" s="50">
        <f t="shared" si="9"/>
        <v>61.753762899999998</v>
      </c>
      <c r="DA15" s="50">
        <v>61.753762999999999</v>
      </c>
      <c r="DB15" s="50">
        <v>8.1532695400000001</v>
      </c>
      <c r="DC15" s="50">
        <v>9.7632138299999998</v>
      </c>
      <c r="DD15" s="50">
        <v>14.19747181</v>
      </c>
      <c r="DE15" s="50">
        <v>0.54539070000000001</v>
      </c>
      <c r="DF15" s="50">
        <v>0.1545919</v>
      </c>
      <c r="DG15" s="50">
        <v>0.28843328000000001</v>
      </c>
      <c r="DH15" s="50">
        <v>6.6637799999999997E-2</v>
      </c>
      <c r="DI15" s="50">
        <v>0.1704059</v>
      </c>
      <c r="DJ15" s="50">
        <v>0.2214071</v>
      </c>
      <c r="DK15" s="50">
        <v>0.22846305</v>
      </c>
      <c r="DL15" s="50">
        <v>1.2163999999999999E-2</v>
      </c>
      <c r="DM15" s="50">
        <v>5.645501E-2</v>
      </c>
      <c r="DN15" s="50">
        <f t="shared" si="20"/>
        <v>33.857903920000005</v>
      </c>
      <c r="DO15" s="50">
        <v>33.857903999999998</v>
      </c>
      <c r="DP15" s="44">
        <v>1.1572829999999999E-2</v>
      </c>
      <c r="DQ15" s="50">
        <v>0</v>
      </c>
      <c r="DR15" s="50">
        <v>0.29495870000000002</v>
      </c>
      <c r="DS15" s="50">
        <v>0.20746792999999999</v>
      </c>
      <c r="DT15" s="50">
        <v>1.120516E-2</v>
      </c>
      <c r="DU15" s="50">
        <v>8.4990380000000004E-2</v>
      </c>
      <c r="DV15" s="50">
        <v>1.5232000000000001E-4</v>
      </c>
      <c r="DW15" s="50">
        <v>9.8381399999999987E-3</v>
      </c>
      <c r="DX15" s="50">
        <v>1.8068499999999998E-3</v>
      </c>
      <c r="DY15" s="50">
        <v>2.1616999999999999E-3</v>
      </c>
      <c r="DZ15" s="50">
        <v>1.6492899999999999E-3</v>
      </c>
      <c r="EA15" s="50">
        <v>2.3334870000000001E-2</v>
      </c>
      <c r="EB15" s="50">
        <f t="shared" si="10"/>
        <v>0.64913817000000018</v>
      </c>
      <c r="EC15" s="50">
        <v>0.64913799999999999</v>
      </c>
      <c r="ED15" s="50">
        <v>0</v>
      </c>
      <c r="EE15" s="50">
        <v>8.7860000000000002E-5</v>
      </c>
      <c r="EF15" s="50">
        <v>0</v>
      </c>
      <c r="EG15" s="50">
        <v>0</v>
      </c>
      <c r="EH15" s="50">
        <v>0</v>
      </c>
      <c r="EI15" s="50">
        <v>0</v>
      </c>
      <c r="EJ15" s="50"/>
      <c r="EK15" s="50"/>
      <c r="EL15" s="44">
        <v>0</v>
      </c>
      <c r="EM15" s="44">
        <v>0</v>
      </c>
      <c r="EN15" s="44">
        <v>2.9960000000000001E-5</v>
      </c>
      <c r="EO15" s="44">
        <v>0</v>
      </c>
      <c r="EP15" s="50">
        <f t="shared" si="11"/>
        <v>1.1782000000000001E-4</v>
      </c>
      <c r="EQ15" s="50">
        <v>1.18E-4</v>
      </c>
      <c r="ER15" s="44">
        <v>0</v>
      </c>
      <c r="ES15" s="44">
        <v>0</v>
      </c>
      <c r="ET15" s="44">
        <v>0</v>
      </c>
      <c r="EU15" s="44">
        <v>0</v>
      </c>
      <c r="EV15" s="44">
        <v>0</v>
      </c>
      <c r="EW15" s="44">
        <v>0</v>
      </c>
      <c r="EX15" s="44">
        <v>0</v>
      </c>
      <c r="EY15" s="44">
        <v>0</v>
      </c>
      <c r="EZ15" s="44">
        <v>0</v>
      </c>
      <c r="FA15" s="44">
        <v>0</v>
      </c>
      <c r="FB15" s="44">
        <v>0</v>
      </c>
      <c r="FC15" s="44">
        <v>0</v>
      </c>
      <c r="FD15" s="50">
        <f t="shared" si="12"/>
        <v>0</v>
      </c>
      <c r="FE15" s="50"/>
      <c r="FF15" s="50"/>
      <c r="FG15" s="50"/>
      <c r="FH15" s="50"/>
      <c r="FI15" s="50"/>
      <c r="FJ15" s="50"/>
      <c r="FL15" s="50"/>
      <c r="FM15" s="50"/>
      <c r="FN15" s="50"/>
      <c r="FO15" s="50"/>
      <c r="FP15" s="50"/>
      <c r="FQ15" s="50"/>
      <c r="FR15" s="50">
        <f t="shared" si="13"/>
        <v>0</v>
      </c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>
        <f t="shared" si="14"/>
        <v>0</v>
      </c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>
        <f t="shared" si="15"/>
        <v>0</v>
      </c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>
        <f t="shared" si="6"/>
        <v>0</v>
      </c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276">
        <f t="shared" si="16"/>
        <v>0</v>
      </c>
      <c r="HV15" s="276">
        <f t="shared" si="17"/>
        <v>0</v>
      </c>
      <c r="HW15" s="277"/>
      <c r="HX15" s="277"/>
    </row>
    <row r="16" spans="1:232" s="12" customFormat="1" ht="20.25" customHeight="1">
      <c r="A16" s="314" t="s">
        <v>47</v>
      </c>
      <c r="C16" s="77" t="s">
        <v>48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50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50"/>
      <c r="BY16" s="50"/>
      <c r="BZ16" s="50"/>
      <c r="CA16" s="50"/>
      <c r="CB16" s="50"/>
      <c r="CC16" s="50"/>
      <c r="CD16" s="50"/>
      <c r="CE16" s="73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>
        <f>SUM(CN16:CY16)</f>
        <v>0</v>
      </c>
      <c r="DA16" s="50"/>
      <c r="DB16" s="50">
        <v>6.3270801900000002</v>
      </c>
      <c r="DC16" s="50">
        <v>6.3779890799999999</v>
      </c>
      <c r="DD16" s="50">
        <v>6.49618348</v>
      </c>
      <c r="DE16" s="50">
        <v>7.2769961799999994</v>
      </c>
      <c r="DF16" s="50">
        <v>6.8531438600000003</v>
      </c>
      <c r="DG16" s="50">
        <v>7.1367536600000001</v>
      </c>
      <c r="DH16" s="50">
        <v>7.9535315999999998</v>
      </c>
      <c r="DI16" s="50">
        <v>7.1503926099999999</v>
      </c>
      <c r="DJ16" s="50">
        <v>6.8681282399999999</v>
      </c>
      <c r="DK16" s="50">
        <v>7.6789995300000005</v>
      </c>
      <c r="DL16" s="50">
        <v>7.2447870599999993</v>
      </c>
      <c r="DM16" s="50">
        <v>8.1951283700000008</v>
      </c>
      <c r="DN16" s="50">
        <f>SUM(DB16:DM16)</f>
        <v>85.559113859999997</v>
      </c>
      <c r="DO16" s="50">
        <v>85.559113999999994</v>
      </c>
      <c r="DP16" s="44">
        <v>7.86151424</v>
      </c>
      <c r="DQ16" s="50">
        <v>7.6635611399999997</v>
      </c>
      <c r="DR16" s="50">
        <v>7.66454433</v>
      </c>
      <c r="DS16" s="50">
        <v>8.5819371899999997</v>
      </c>
      <c r="DT16" s="50">
        <v>8.0710181199999997</v>
      </c>
      <c r="DU16" s="50">
        <v>8.08691593</v>
      </c>
      <c r="DV16" s="50">
        <v>9.1913157899999991</v>
      </c>
      <c r="DW16" s="50">
        <v>8.3760629699999996</v>
      </c>
      <c r="DX16" s="50">
        <v>8.0312316599999996</v>
      </c>
      <c r="DY16" s="50">
        <v>8.8182299799999999</v>
      </c>
      <c r="DZ16" s="50">
        <v>8.3107472599999994</v>
      </c>
      <c r="EA16" s="50">
        <v>9.3744039099999998</v>
      </c>
      <c r="EB16" s="50">
        <f t="shared" si="10"/>
        <v>100.03148252</v>
      </c>
      <c r="EC16" s="50">
        <v>100.03148299999999</v>
      </c>
      <c r="ED16" s="50">
        <v>8.1681185999999997</v>
      </c>
      <c r="EE16" s="50">
        <v>7.9000656500000002</v>
      </c>
      <c r="EF16" s="50">
        <v>7.61288213</v>
      </c>
      <c r="EG16" s="50">
        <v>8.07752011</v>
      </c>
      <c r="EH16" s="50">
        <v>6.9404478099999993</v>
      </c>
      <c r="EI16" s="50">
        <v>7.3430678799999995</v>
      </c>
      <c r="EJ16" s="50">
        <v>8.6378478000000012</v>
      </c>
      <c r="EK16" s="50">
        <v>7.9899004400000004</v>
      </c>
      <c r="EL16" s="44">
        <v>8.0720873900000001</v>
      </c>
      <c r="EM16" s="44">
        <v>8.2522227000000008</v>
      </c>
      <c r="EN16" s="44">
        <v>8.1215640400000009</v>
      </c>
      <c r="EO16" s="44">
        <v>10.218182929999999</v>
      </c>
      <c r="EP16" s="50">
        <f t="shared" si="11"/>
        <v>97.333907479999993</v>
      </c>
      <c r="EQ16" s="198">
        <v>97.333906999999996</v>
      </c>
      <c r="ER16" s="44">
        <v>5.9283273300000001</v>
      </c>
      <c r="ES16" s="44">
        <v>7.3117355599999998</v>
      </c>
      <c r="ET16" s="44">
        <v>7.6161823699999998</v>
      </c>
      <c r="EU16" s="44">
        <v>8.5817932700000004</v>
      </c>
      <c r="EV16" s="44">
        <v>8.34957189</v>
      </c>
      <c r="EW16" s="44">
        <v>8.3611533300000005</v>
      </c>
      <c r="EX16" s="44">
        <v>9.365476619999999</v>
      </c>
      <c r="EY16" s="44">
        <v>9.2125876899999994</v>
      </c>
      <c r="EZ16" s="44">
        <v>9.0839671400000004</v>
      </c>
      <c r="FA16" s="44">
        <v>8.8962669999999999</v>
      </c>
      <c r="FB16" s="44">
        <v>8.23703276</v>
      </c>
      <c r="FC16" s="44">
        <v>13.140961359999999</v>
      </c>
      <c r="FD16" s="50">
        <f t="shared" si="12"/>
        <v>104.08505632000001</v>
      </c>
      <c r="FE16" s="50">
        <v>104.08505599999999</v>
      </c>
      <c r="FF16" s="50">
        <v>10.930366320000001</v>
      </c>
      <c r="FG16" s="50">
        <v>9.1874477700000003</v>
      </c>
      <c r="FH16" s="50">
        <v>10.35251199</v>
      </c>
      <c r="FI16" s="50">
        <v>10.040954839999999</v>
      </c>
      <c r="FJ16" s="50">
        <v>10.881217210000001</v>
      </c>
      <c r="FK16" s="50">
        <v>10.732240130000001</v>
      </c>
      <c r="FL16" s="50">
        <v>10.730757140000001</v>
      </c>
      <c r="FM16" s="50">
        <v>10.5113489</v>
      </c>
      <c r="FN16" s="50">
        <v>11.1312476</v>
      </c>
      <c r="FO16" s="50">
        <v>11.473217400000001</v>
      </c>
      <c r="FP16" s="50">
        <v>10.62102065</v>
      </c>
      <c r="FQ16" s="50">
        <v>10.009367859999999</v>
      </c>
      <c r="FR16" s="50">
        <f t="shared" si="13"/>
        <v>126.60169781</v>
      </c>
      <c r="FS16" s="50">
        <v>126.601698</v>
      </c>
      <c r="FT16" s="50">
        <v>12.58538401</v>
      </c>
      <c r="FU16" s="50">
        <v>10.63447742</v>
      </c>
      <c r="FV16" s="50">
        <v>9.31292633999999</v>
      </c>
      <c r="FW16" s="50">
        <v>11.897602699999998</v>
      </c>
      <c r="FX16" s="50">
        <v>11.43444964</v>
      </c>
      <c r="FY16" s="50">
        <v>11.99458549</v>
      </c>
      <c r="FZ16" s="50">
        <v>12.401335699999999</v>
      </c>
      <c r="GA16" s="50">
        <v>12.063470089999999</v>
      </c>
      <c r="GB16" s="50">
        <v>12.241579710000002</v>
      </c>
      <c r="GC16" s="50">
        <v>11.64727201</v>
      </c>
      <c r="GD16" s="50">
        <v>11.87693569</v>
      </c>
      <c r="GE16" s="50">
        <v>11.80770519</v>
      </c>
      <c r="GF16" s="50">
        <f t="shared" si="14"/>
        <v>139.89772399</v>
      </c>
      <c r="GG16" s="50">
        <v>139.89772400000001</v>
      </c>
      <c r="GH16" s="50">
        <v>13.570536650000001</v>
      </c>
      <c r="GI16" s="50">
        <v>12.233401580000001</v>
      </c>
      <c r="GJ16" s="50">
        <v>11.86671501</v>
      </c>
      <c r="GK16" s="50">
        <v>13.73128651</v>
      </c>
      <c r="GL16" s="50">
        <v>12.611472699999998</v>
      </c>
      <c r="GM16" s="50">
        <v>12.19338198</v>
      </c>
      <c r="GN16" s="50">
        <v>13.01744751</v>
      </c>
      <c r="GO16" s="50">
        <v>13.08598211</v>
      </c>
      <c r="GP16" s="50">
        <v>12.307637679999999</v>
      </c>
      <c r="GQ16" s="50">
        <v>13.08199177</v>
      </c>
      <c r="GR16" s="50">
        <v>12.6352846</v>
      </c>
      <c r="GS16" s="50">
        <v>12.5652352</v>
      </c>
      <c r="GT16" s="50">
        <f t="shared" si="15"/>
        <v>152.90037329999998</v>
      </c>
      <c r="GU16" s="50">
        <v>152.900373</v>
      </c>
      <c r="GV16" s="50">
        <v>14.733950589999999</v>
      </c>
      <c r="GW16" s="50">
        <v>12.632831230000001</v>
      </c>
      <c r="GX16" s="50">
        <v>12.83006838</v>
      </c>
      <c r="GY16" s="50">
        <v>13.555623039999999</v>
      </c>
      <c r="GZ16" s="50">
        <v>13.5022626</v>
      </c>
      <c r="HA16" s="50">
        <v>13.33217089</v>
      </c>
      <c r="HB16" s="50">
        <v>14.51763691</v>
      </c>
      <c r="HC16" s="50">
        <v>14.040802699999999</v>
      </c>
      <c r="HD16" s="50">
        <v>13.17697731</v>
      </c>
      <c r="HE16" s="50">
        <v>14.373750900000001</v>
      </c>
      <c r="HF16" s="50">
        <v>13.667144</v>
      </c>
      <c r="HG16" s="50">
        <v>13.378105439999999</v>
      </c>
      <c r="HH16" s="50">
        <f t="shared" si="6"/>
        <v>163.74132399000001</v>
      </c>
      <c r="HI16" s="50">
        <v>15.279134560000001</v>
      </c>
      <c r="HJ16" s="50">
        <v>13.2065988</v>
      </c>
      <c r="HK16" s="50">
        <v>13.21937559</v>
      </c>
      <c r="HL16" s="50">
        <v>14.48103744</v>
      </c>
      <c r="HM16" s="50"/>
      <c r="HN16" s="50"/>
      <c r="HO16" s="50"/>
      <c r="HP16" s="50"/>
      <c r="HQ16" s="50"/>
      <c r="HR16" s="50"/>
      <c r="HS16" s="50"/>
      <c r="HT16" s="50"/>
      <c r="HU16" s="276">
        <f t="shared" si="16"/>
        <v>53.752473000000002</v>
      </c>
      <c r="HV16" s="276">
        <f t="shared" si="17"/>
        <v>56.186146000000001</v>
      </c>
      <c r="HW16" s="277">
        <f>HV16-HU16</f>
        <v>2.4336729999999989</v>
      </c>
      <c r="HX16" s="277">
        <f>HV16/HU16*100-100</f>
        <v>4.5275554112645295</v>
      </c>
    </row>
    <row r="17" spans="1:232" s="12" customFormat="1" ht="20.5">
      <c r="A17" s="314" t="s">
        <v>49</v>
      </c>
      <c r="B17" s="12" t="s">
        <v>50</v>
      </c>
      <c r="C17" s="47" t="s">
        <v>51</v>
      </c>
      <c r="D17" s="42">
        <v>105.63861048030462</v>
      </c>
      <c r="E17" s="42">
        <v>100.59722198507693</v>
      </c>
      <c r="F17" s="42">
        <v>103.97393583417283</v>
      </c>
      <c r="G17" s="42">
        <v>127.60878424141013</v>
      </c>
      <c r="H17" s="42">
        <v>3.1348763382125768</v>
      </c>
      <c r="I17" s="42">
        <v>13.978234201856642</v>
      </c>
      <c r="J17" s="42">
        <v>35.951493645457163</v>
      </c>
      <c r="K17" s="42">
        <v>10.659422257122021</v>
      </c>
      <c r="L17" s="42">
        <v>22.208572347336464</v>
      </c>
      <c r="M17" s="42">
        <v>5.7630429394262732</v>
      </c>
      <c r="N17" s="42">
        <v>5.3420609871321023</v>
      </c>
      <c r="O17" s="42">
        <v>21.957869804384945</v>
      </c>
      <c r="P17" s="42">
        <v>4.5837749642830019</v>
      </c>
      <c r="Q17" s="42">
        <v>4.6589686882783443</v>
      </c>
      <c r="R17" s="42">
        <v>20.986851782297201</v>
      </c>
      <c r="S17" s="42">
        <v>7.5677747423218458</v>
      </c>
      <c r="T17" s="42">
        <v>156.82429240584861</v>
      </c>
      <c r="U17" s="42">
        <v>156.80708561704259</v>
      </c>
      <c r="V17" s="42">
        <v>3.6129603701743305</v>
      </c>
      <c r="W17" s="42">
        <v>16.990283990980885</v>
      </c>
      <c r="X17" s="42">
        <v>29.596734594568741</v>
      </c>
      <c r="Y17" s="42">
        <v>21.119268672345381</v>
      </c>
      <c r="Z17" s="42">
        <v>24.045599441684352</v>
      </c>
      <c r="AA17" s="42">
        <v>6.1891990369994216</v>
      </c>
      <c r="AB17" s="42">
        <v>6.1216982259634269</v>
      </c>
      <c r="AC17" s="42">
        <v>22.723605727912762</v>
      </c>
      <c r="AD17" s="42">
        <v>4.236115616871845</v>
      </c>
      <c r="AE17" s="42">
        <v>5.9953613525391987</v>
      </c>
      <c r="AF17" s="42">
        <v>21.065214483696735</v>
      </c>
      <c r="AG17" s="42">
        <v>5.3560466360464654</v>
      </c>
      <c r="AH17" s="42">
        <v>167.04669865282497</v>
      </c>
      <c r="AI17" s="42">
        <v>166.9993824736342</v>
      </c>
      <c r="AJ17" s="42">
        <v>3.6808745220483097</v>
      </c>
      <c r="AK17" s="42">
        <v>19.106214656893929</v>
      </c>
      <c r="AL17" s="42">
        <v>31.891070927338262</v>
      </c>
      <c r="AM17" s="42">
        <v>20.747338136408956</v>
      </c>
      <c r="AN17" s="42">
        <v>23.865965475438387</v>
      </c>
      <c r="AO17" s="42">
        <v>6.3096334007582771</v>
      </c>
      <c r="AP17" s="42">
        <v>7.1928603138286062</v>
      </c>
      <c r="AQ17" s="42">
        <v>21.688408147933135</v>
      </c>
      <c r="AR17" s="42">
        <v>5.2232471642164819</v>
      </c>
      <c r="AS17" s="42">
        <v>6.8782939041459068</v>
      </c>
      <c r="AT17" s="42">
        <v>19.854127181973922</v>
      </c>
      <c r="AU17" s="42">
        <v>6.2707985797059775</v>
      </c>
      <c r="AV17" s="42">
        <v>172.7068983671123</v>
      </c>
      <c r="AW17" s="42">
        <v>172.70417072185134</v>
      </c>
      <c r="AX17" s="44">
        <v>4.0550360000000003</v>
      </c>
      <c r="AY17" s="44">
        <v>25.579433999999999</v>
      </c>
      <c r="AZ17" s="44">
        <v>43.415773999999999</v>
      </c>
      <c r="BA17" s="44">
        <v>12.063959000000001</v>
      </c>
      <c r="BB17" s="44">
        <v>25.392818999999999</v>
      </c>
      <c r="BC17" s="44">
        <v>6.4509819999999998</v>
      </c>
      <c r="BD17" s="44">
        <v>7.0207199999999998</v>
      </c>
      <c r="BE17" s="44">
        <v>23.694474</v>
      </c>
      <c r="BF17" s="44">
        <v>5.0737439999999996</v>
      </c>
      <c r="BG17" s="44">
        <v>7.3379632599999995</v>
      </c>
      <c r="BH17" s="44">
        <v>23.415497999999999</v>
      </c>
      <c r="BI17" s="44">
        <v>7.3989859999999998</v>
      </c>
      <c r="BJ17" s="50">
        <f t="shared" si="1"/>
        <v>190.89938925999999</v>
      </c>
      <c r="BK17" s="44">
        <v>191.25020900000001</v>
      </c>
      <c r="BL17" s="44">
        <v>4.7887680000000001</v>
      </c>
      <c r="BM17" s="44">
        <v>28.565567999999999</v>
      </c>
      <c r="BN17" s="44">
        <v>45.153162019999996</v>
      </c>
      <c r="BO17" s="44">
        <v>11.694602140000001</v>
      </c>
      <c r="BP17" s="44">
        <v>26.089454130000004</v>
      </c>
      <c r="BQ17" s="44">
        <v>5.9989679999999996</v>
      </c>
      <c r="BR17" s="44">
        <v>7.051005</v>
      </c>
      <c r="BS17" s="44">
        <v>24.455584999999999</v>
      </c>
      <c r="BT17" s="44">
        <v>5.5305150000000003</v>
      </c>
      <c r="BU17" s="44">
        <v>7.3822229999999998</v>
      </c>
      <c r="BV17" s="44">
        <v>23.655939</v>
      </c>
      <c r="BW17" s="44">
        <v>6.7271380000000001</v>
      </c>
      <c r="BX17" s="50">
        <f t="shared" si="4"/>
        <v>197.09292728999998</v>
      </c>
      <c r="BY17" s="50">
        <v>197.04102</v>
      </c>
      <c r="BZ17" s="50">
        <v>4.4747217199999998</v>
      </c>
      <c r="CA17" s="50">
        <v>29.509628199999998</v>
      </c>
      <c r="CB17" s="50">
        <v>51.077643999999999</v>
      </c>
      <c r="CC17" s="50">
        <v>13.248222999999999</v>
      </c>
      <c r="CD17" s="50">
        <v>31.315825530000001</v>
      </c>
      <c r="CE17" s="73">
        <v>6.6385933399999999</v>
      </c>
      <c r="CF17" s="50">
        <v>7.0537799999999997</v>
      </c>
      <c r="CG17" s="50">
        <v>28.675729</v>
      </c>
      <c r="CH17" s="50">
        <v>5.6724480000000002</v>
      </c>
      <c r="CI17" s="50">
        <v>7.7817489999999996</v>
      </c>
      <c r="CJ17" s="50">
        <v>27.787251000000001</v>
      </c>
      <c r="CK17" s="50">
        <v>6.6095670600000007</v>
      </c>
      <c r="CL17" s="50">
        <f t="shared" si="5"/>
        <v>219.84515984999996</v>
      </c>
      <c r="CM17" s="50">
        <v>219.87205399999999</v>
      </c>
      <c r="CN17" s="50">
        <v>6.0627462400000001</v>
      </c>
      <c r="CO17" s="50">
        <v>31.506969460000001</v>
      </c>
      <c r="CP17" s="50">
        <v>54.079725420000003</v>
      </c>
      <c r="CQ17" s="50">
        <v>11.623072949999999</v>
      </c>
      <c r="CR17" s="50">
        <v>31.428200350000001</v>
      </c>
      <c r="CS17" s="50">
        <v>6.8419608299999997</v>
      </c>
      <c r="CT17" s="50">
        <v>7.5700218899999996</v>
      </c>
      <c r="CU17" s="50">
        <v>29.985402180000001</v>
      </c>
      <c r="CV17" s="50">
        <v>5.3143469999999997</v>
      </c>
      <c r="CW17" s="50">
        <v>8.5019109999999998</v>
      </c>
      <c r="CX17" s="50">
        <v>27.808173</v>
      </c>
      <c r="CY17" s="50">
        <v>7.4506480000000002</v>
      </c>
      <c r="CZ17" s="50">
        <f t="shared" si="9"/>
        <v>228.17317832000001</v>
      </c>
      <c r="DA17" s="50">
        <v>228.17192499999999</v>
      </c>
      <c r="DB17" s="50">
        <v>5.9222731</v>
      </c>
      <c r="DC17" s="50">
        <v>32.5045389</v>
      </c>
      <c r="DD17" s="50">
        <v>39.787030420000001</v>
      </c>
      <c r="DE17" s="50">
        <v>24.901605190000001</v>
      </c>
      <c r="DF17" s="50">
        <v>31.272884000000001</v>
      </c>
      <c r="DG17" s="50">
        <v>5.8552</v>
      </c>
      <c r="DH17" s="50">
        <v>7.3250039500000002</v>
      </c>
      <c r="DI17" s="50">
        <v>29.459347999999999</v>
      </c>
      <c r="DJ17" s="50">
        <v>4.7823130000000003</v>
      </c>
      <c r="DK17" s="50">
        <v>7.9282265199999999</v>
      </c>
      <c r="DL17" s="50">
        <v>27.056349240000003</v>
      </c>
      <c r="DM17" s="50">
        <v>6.353415</v>
      </c>
      <c r="DN17" s="50">
        <f t="shared" si="20"/>
        <v>223.14818732000001</v>
      </c>
      <c r="DO17" s="50">
        <v>223.14783399999999</v>
      </c>
      <c r="DP17" s="44">
        <v>5.9286909999999997</v>
      </c>
      <c r="DQ17" s="50">
        <v>33.922662000000003</v>
      </c>
      <c r="DR17" s="50">
        <v>47.182072310000002</v>
      </c>
      <c r="DS17" s="50">
        <v>19.182421000000001</v>
      </c>
      <c r="DT17" s="50">
        <v>31.456320240000004</v>
      </c>
      <c r="DU17" s="50">
        <v>5.9667208199999999</v>
      </c>
      <c r="DV17" s="50">
        <v>7.6579494800000001</v>
      </c>
      <c r="DW17" s="50">
        <v>29.154494230000001</v>
      </c>
      <c r="DX17" s="50">
        <v>5.5177548100000005</v>
      </c>
      <c r="DY17" s="50">
        <v>7.6760396899999996</v>
      </c>
      <c r="DZ17" s="50">
        <v>26.173175780000001</v>
      </c>
      <c r="EA17" s="50">
        <v>6.6171001</v>
      </c>
      <c r="EB17" s="50">
        <f t="shared" si="10"/>
        <v>226.43540146000007</v>
      </c>
      <c r="EC17" s="50">
        <v>226.42736500000001</v>
      </c>
      <c r="ED17" s="50">
        <v>14.609762999999999</v>
      </c>
      <c r="EE17" s="50">
        <v>32.31218853</v>
      </c>
      <c r="EF17" s="50">
        <v>39.695258019999997</v>
      </c>
      <c r="EG17" s="50">
        <v>10.273513660000001</v>
      </c>
      <c r="EH17" s="50">
        <v>21.252112069999999</v>
      </c>
      <c r="EI17" s="50">
        <v>7.8133776500000005</v>
      </c>
      <c r="EJ17" s="50">
        <v>11.00024135</v>
      </c>
      <c r="EK17" s="50">
        <v>31.498323769999999</v>
      </c>
      <c r="EL17" s="44">
        <v>9.2589079999999999</v>
      </c>
      <c r="EM17" s="44">
        <v>9.8425460000000005</v>
      </c>
      <c r="EN17" s="44">
        <v>26.903136249999999</v>
      </c>
      <c r="EO17" s="44">
        <v>7.7032372599999999</v>
      </c>
      <c r="EP17" s="50">
        <f t="shared" si="11"/>
        <v>222.16260556</v>
      </c>
      <c r="EQ17" s="198">
        <v>222.162587</v>
      </c>
      <c r="ER17" s="44">
        <v>6.1581289999999997</v>
      </c>
      <c r="ES17" s="44">
        <v>39.771925000000003</v>
      </c>
      <c r="ET17" s="44">
        <v>46.238939000000002</v>
      </c>
      <c r="EU17" s="44">
        <v>10.951328</v>
      </c>
      <c r="EV17" s="44">
        <v>23.326885000000001</v>
      </c>
      <c r="EW17" s="44">
        <v>14.158128</v>
      </c>
      <c r="EX17" s="44">
        <v>7.8665149999999997</v>
      </c>
      <c r="EY17" s="44">
        <v>28.715468000000001</v>
      </c>
      <c r="EZ17" s="44">
        <v>6.7230020000000001</v>
      </c>
      <c r="FA17" s="44">
        <v>8.0683059999999998</v>
      </c>
      <c r="FB17" s="44">
        <v>26.716871000000001</v>
      </c>
      <c r="FC17" s="44">
        <v>7.4823909999999998</v>
      </c>
      <c r="FD17" s="50">
        <f t="shared" si="12"/>
        <v>226.17788700000003</v>
      </c>
      <c r="FE17" s="50">
        <v>226.21720300000001</v>
      </c>
      <c r="FF17" s="50">
        <v>4.8988370000000003</v>
      </c>
      <c r="FG17" s="50">
        <v>39.58764</v>
      </c>
      <c r="FH17" s="50">
        <v>50.308857000000003</v>
      </c>
      <c r="FI17" s="50">
        <v>12.756592000000001</v>
      </c>
      <c r="FJ17" s="50">
        <v>24.447790999999999</v>
      </c>
      <c r="FK17" s="50">
        <v>9.1704020000000011</v>
      </c>
      <c r="FL17" s="50">
        <v>9.2611980000000003</v>
      </c>
      <c r="FM17" s="50">
        <v>31.817395999999999</v>
      </c>
      <c r="FN17" s="50">
        <v>7.0992457499999997</v>
      </c>
      <c r="FO17" s="50">
        <v>8.2991890000000001</v>
      </c>
      <c r="FP17" s="50">
        <v>25.670682999999997</v>
      </c>
      <c r="FQ17" s="50">
        <v>7.2896720000000004</v>
      </c>
      <c r="FR17" s="50">
        <f t="shared" si="13"/>
        <v>230.60750275000001</v>
      </c>
      <c r="FS17" s="50">
        <v>230.606539</v>
      </c>
      <c r="FT17" s="50">
        <v>7.5754549999999998</v>
      </c>
      <c r="FU17" s="50">
        <v>41.666217999999994</v>
      </c>
      <c r="FV17" s="50">
        <v>57.195602000000001</v>
      </c>
      <c r="FW17" s="50">
        <v>11.934794</v>
      </c>
      <c r="FX17" s="50">
        <v>31.278921</v>
      </c>
      <c r="FY17" s="50">
        <v>6.4989550000000014</v>
      </c>
      <c r="FZ17" s="50">
        <v>6.802569000000001</v>
      </c>
      <c r="GA17" s="50">
        <v>29.271217</v>
      </c>
      <c r="GB17" s="50">
        <v>5.0408569999999999</v>
      </c>
      <c r="GC17" s="50">
        <v>6.4575610000000001</v>
      </c>
      <c r="GD17" s="50">
        <v>26.878061000000002</v>
      </c>
      <c r="GE17" s="50">
        <v>5.9205230000000002</v>
      </c>
      <c r="GF17" s="50">
        <f t="shared" si="14"/>
        <v>236.52073300000001</v>
      </c>
      <c r="GG17" s="50">
        <v>236.51709099999999</v>
      </c>
      <c r="GH17" s="50">
        <v>9.0385549999999988</v>
      </c>
      <c r="GI17" s="50">
        <v>40.738570000000003</v>
      </c>
      <c r="GJ17" s="50">
        <v>43.966246999999996</v>
      </c>
      <c r="GK17" s="50">
        <v>24.928910510000001</v>
      </c>
      <c r="GL17" s="50">
        <v>31.590625000000003</v>
      </c>
      <c r="GM17" s="50">
        <v>5.9741099999999996</v>
      </c>
      <c r="GN17" s="50">
        <v>6.9477729999999998</v>
      </c>
      <c r="GO17" s="50">
        <v>29.582919</v>
      </c>
      <c r="GP17" s="50">
        <v>5.2750780000000006</v>
      </c>
      <c r="GQ17" s="50">
        <v>7.2631790000000009</v>
      </c>
      <c r="GR17" s="50">
        <v>25.924702</v>
      </c>
      <c r="GS17" s="50">
        <v>6.1079299999999996</v>
      </c>
      <c r="GT17" s="50">
        <f t="shared" si="15"/>
        <v>237.33859851000003</v>
      </c>
      <c r="GU17" s="50">
        <v>237.33754300000001</v>
      </c>
      <c r="GV17" s="50">
        <v>7.4780209999999991</v>
      </c>
      <c r="GW17" s="50">
        <v>44.301969</v>
      </c>
      <c r="GX17" s="50">
        <v>58.250448000000006</v>
      </c>
      <c r="GY17" s="50">
        <v>13.380610000000001</v>
      </c>
      <c r="GZ17" s="50">
        <v>31.752126999999998</v>
      </c>
      <c r="HA17" s="50">
        <v>5.8220660000000004</v>
      </c>
      <c r="HB17" s="50">
        <v>6.8067589999999996</v>
      </c>
      <c r="HC17" s="50">
        <v>29.356424000000004</v>
      </c>
      <c r="HD17" s="50">
        <v>4.8439620000000003</v>
      </c>
      <c r="HE17" s="50">
        <v>7.6435690000000003</v>
      </c>
      <c r="HF17" s="50">
        <v>26.283759999999997</v>
      </c>
      <c r="HG17" s="50">
        <v>5.1436930000000007</v>
      </c>
      <c r="HH17" s="50">
        <f t="shared" si="6"/>
        <v>241.06340800000004</v>
      </c>
      <c r="HI17" s="50">
        <v>5.7290160000000006</v>
      </c>
      <c r="HJ17" s="50">
        <v>42.974865000000001</v>
      </c>
      <c r="HK17" s="50">
        <v>58.088121000000001</v>
      </c>
      <c r="HL17" s="50">
        <v>12.759240000000002</v>
      </c>
      <c r="HM17" s="50"/>
      <c r="HN17" s="50"/>
      <c r="HO17" s="50"/>
      <c r="HP17" s="50"/>
      <c r="HQ17" s="50"/>
      <c r="HR17" s="50"/>
      <c r="HS17" s="50"/>
      <c r="HT17" s="50"/>
      <c r="HU17" s="276">
        <f t="shared" si="16"/>
        <v>123.41104799999999</v>
      </c>
      <c r="HV17" s="276">
        <f t="shared" si="17"/>
        <v>119.551242</v>
      </c>
      <c r="HW17" s="277">
        <f t="shared" si="18"/>
        <v>-3.8598059999999919</v>
      </c>
      <c r="HX17" s="277">
        <f t="shared" si="19"/>
        <v>-3.127601671448403</v>
      </c>
    </row>
    <row r="18" spans="1:232" s="12" customFormat="1" ht="20.5">
      <c r="A18" s="314" t="s">
        <v>52</v>
      </c>
      <c r="C18" s="46" t="s">
        <v>53</v>
      </c>
      <c r="D18" s="42">
        <v>2470.3518747758981</v>
      </c>
      <c r="E18" s="42">
        <v>2465.5262491391627</v>
      </c>
      <c r="F18" s="42">
        <v>1918.9485916414817</v>
      </c>
      <c r="G18" s="42">
        <v>1890.7438290049572</v>
      </c>
      <c r="H18" s="42">
        <v>209.94414943568904</v>
      </c>
      <c r="I18" s="42">
        <v>115.74675016078452</v>
      </c>
      <c r="J18" s="42">
        <v>141.78509086459383</v>
      </c>
      <c r="K18" s="42">
        <v>184.27064017848505</v>
      </c>
      <c r="L18" s="42">
        <v>166.43768817479696</v>
      </c>
      <c r="M18" s="42">
        <v>193.22882197597053</v>
      </c>
      <c r="N18" s="42">
        <v>203.13584014888932</v>
      </c>
      <c r="O18" s="42">
        <v>202.85989123567879</v>
      </c>
      <c r="P18" s="42">
        <v>212.32144239361187</v>
      </c>
      <c r="Q18" s="42">
        <v>213.08341016841109</v>
      </c>
      <c r="R18" s="42">
        <v>197.2006733029408</v>
      </c>
      <c r="S18" s="42">
        <v>165.60389525386879</v>
      </c>
      <c r="T18" s="42">
        <v>2205.6182932937209</v>
      </c>
      <c r="U18" s="42">
        <v>2205.6182890251052</v>
      </c>
      <c r="V18" s="42">
        <v>240.51723240049859</v>
      </c>
      <c r="W18" s="42">
        <v>158.08041502324971</v>
      </c>
      <c r="X18" s="42">
        <v>181.26918458062275</v>
      </c>
      <c r="Y18" s="42">
        <v>206.19174051371363</v>
      </c>
      <c r="Z18" s="42">
        <v>191.18544430595162</v>
      </c>
      <c r="AA18" s="42">
        <v>206.54608397220278</v>
      </c>
      <c r="AB18" s="42">
        <v>220.69172059350831</v>
      </c>
      <c r="AC18" s="42">
        <v>214.8579603986318</v>
      </c>
      <c r="AD18" s="42">
        <v>219.43869414516709</v>
      </c>
      <c r="AE18" s="42">
        <v>210.97427163192015</v>
      </c>
      <c r="AF18" s="42">
        <v>205.39868298985206</v>
      </c>
      <c r="AG18" s="42">
        <v>209.36670394590811</v>
      </c>
      <c r="AH18" s="42">
        <v>2464.518134501227</v>
      </c>
      <c r="AI18" s="42">
        <v>2464.5190892482115</v>
      </c>
      <c r="AJ18" s="42">
        <v>239.67979123624795</v>
      </c>
      <c r="AK18" s="42">
        <v>165.312169538022</v>
      </c>
      <c r="AL18" s="42">
        <v>185.61692164529512</v>
      </c>
      <c r="AM18" s="42">
        <v>225.84737280948886</v>
      </c>
      <c r="AN18" s="42">
        <v>196.9094413236123</v>
      </c>
      <c r="AO18" s="42">
        <v>225.92596655682098</v>
      </c>
      <c r="AP18" s="42">
        <v>234.30508648214862</v>
      </c>
      <c r="AQ18" s="42">
        <v>237.91398313043186</v>
      </c>
      <c r="AR18" s="42">
        <v>227.95131501812739</v>
      </c>
      <c r="AS18" s="42">
        <v>215.912215923643</v>
      </c>
      <c r="AT18" s="42">
        <v>215.5802371642734</v>
      </c>
      <c r="AU18" s="42">
        <v>206.33671692249905</v>
      </c>
      <c r="AV18" s="42">
        <v>2577.29121775061</v>
      </c>
      <c r="AW18" s="42">
        <v>2577.2943679887994</v>
      </c>
      <c r="AX18" s="44">
        <f>AX19+AX20+AX21</f>
        <v>279.49262099999999</v>
      </c>
      <c r="AY18" s="44">
        <f>AY19+AY20+AY21</f>
        <v>173.64413200000001</v>
      </c>
      <c r="AZ18" s="44">
        <f t="shared" ref="AZ18:BG18" si="24">AZ19+AZ20+AZ21</f>
        <v>188.92903000000001</v>
      </c>
      <c r="BA18" s="44">
        <f t="shared" si="24"/>
        <v>233.217465</v>
      </c>
      <c r="BB18" s="44">
        <f t="shared" si="24"/>
        <v>209.28197800000001</v>
      </c>
      <c r="BC18" s="44">
        <f t="shared" si="24"/>
        <v>254.01482999999999</v>
      </c>
      <c r="BD18" s="44">
        <f t="shared" si="24"/>
        <v>241.78441199999997</v>
      </c>
      <c r="BE18" s="44">
        <f t="shared" si="24"/>
        <v>255.46681100000001</v>
      </c>
      <c r="BF18" s="44">
        <f t="shared" si="24"/>
        <v>252.38961651999998</v>
      </c>
      <c r="BG18" s="44">
        <f t="shared" si="24"/>
        <v>221.57961097000003</v>
      </c>
      <c r="BH18" s="44">
        <f>BH19+BH20+BH21</f>
        <v>239.76951405000003</v>
      </c>
      <c r="BI18" s="44">
        <f>BI19+BI20+BI21</f>
        <v>219.25521320000001</v>
      </c>
      <c r="BJ18" s="50">
        <f t="shared" si="1"/>
        <v>2768.8252337399999</v>
      </c>
      <c r="BK18" s="44">
        <f>BK19+BK20+BK21</f>
        <v>2768.8921620000001</v>
      </c>
      <c r="BL18" s="44">
        <f>BL19+BL20+BL21</f>
        <v>290.64575078999997</v>
      </c>
      <c r="BM18" s="44">
        <v>183.09415093000001</v>
      </c>
      <c r="BN18" s="44">
        <v>202.96890541000002</v>
      </c>
      <c r="BO18" s="44">
        <v>250.55183047</v>
      </c>
      <c r="BP18" s="44">
        <v>229.11810299000004</v>
      </c>
      <c r="BQ18" s="44">
        <v>250.86373293</v>
      </c>
      <c r="BR18" s="44">
        <v>250.14655049000001</v>
      </c>
      <c r="BS18" s="44">
        <v>263.18744586000003</v>
      </c>
      <c r="BT18" s="44">
        <v>252.91396041999997</v>
      </c>
      <c r="BU18" s="44">
        <v>266.89585026000003</v>
      </c>
      <c r="BV18" s="44">
        <v>263.92975180000002</v>
      </c>
      <c r="BW18" s="44">
        <v>232.47452826</v>
      </c>
      <c r="BX18" s="50">
        <f t="shared" si="4"/>
        <v>2936.7905606099998</v>
      </c>
      <c r="BY18" s="50">
        <f>BY19+BY20+BY21</f>
        <v>2936.7905521800003</v>
      </c>
      <c r="BZ18" s="50">
        <v>276.36584058</v>
      </c>
      <c r="CA18" s="50">
        <v>207.90029206999998</v>
      </c>
      <c r="CB18" s="50">
        <v>222.42633745000001</v>
      </c>
      <c r="CC18" s="50">
        <v>253.14000273999991</v>
      </c>
      <c r="CD18" s="50">
        <v>255.15964875</v>
      </c>
      <c r="CE18" s="73">
        <v>269.30038719000004</v>
      </c>
      <c r="CF18" s="50">
        <v>273.83848104999998</v>
      </c>
      <c r="CG18" s="50">
        <v>265.13833176999998</v>
      </c>
      <c r="CH18" s="50">
        <v>278.76910013000003</v>
      </c>
      <c r="CI18" s="50">
        <v>284.56723030999996</v>
      </c>
      <c r="CJ18" s="50">
        <v>266.72350975000001</v>
      </c>
      <c r="CK18" s="50">
        <v>267.23616834000006</v>
      </c>
      <c r="CL18" s="50">
        <f t="shared" si="5"/>
        <v>3120.5653301299999</v>
      </c>
      <c r="CM18" s="50">
        <f>CM19+CM20+CM21</f>
        <v>3120.5670499999997</v>
      </c>
      <c r="CN18" s="50">
        <v>308.86330640999995</v>
      </c>
      <c r="CO18" s="50">
        <v>201.82209393000002</v>
      </c>
      <c r="CP18" s="50">
        <v>231.33788702999999</v>
      </c>
      <c r="CQ18" s="50">
        <v>280.70378799999997</v>
      </c>
      <c r="CR18" s="50">
        <v>264.7204754</v>
      </c>
      <c r="CS18" s="50">
        <v>287.28260948999997</v>
      </c>
      <c r="CT18" s="50">
        <v>284.48335578000001</v>
      </c>
      <c r="CU18" s="50">
        <v>299.44350866000002</v>
      </c>
      <c r="CV18" s="50">
        <v>305.16089165</v>
      </c>
      <c r="CW18" s="50">
        <v>301.17741820999998</v>
      </c>
      <c r="CX18" s="50">
        <v>283.11808874000008</v>
      </c>
      <c r="CY18" s="50">
        <v>302.44245002000002</v>
      </c>
      <c r="CZ18" s="50">
        <f t="shared" si="9"/>
        <v>3350.5558733199996</v>
      </c>
      <c r="DA18" s="50">
        <f>DA19+DA20+DA21</f>
        <v>3350.5348290000002</v>
      </c>
      <c r="DB18" s="50">
        <v>314.40618743999988</v>
      </c>
      <c r="DC18" s="50">
        <v>242.22829040999991</v>
      </c>
      <c r="DD18" s="50">
        <v>255.75392581000011</v>
      </c>
      <c r="DE18" s="50">
        <v>307.6594460899999</v>
      </c>
      <c r="DF18" s="50">
        <v>290.60213931999999</v>
      </c>
      <c r="DG18" s="50">
        <v>320.84332836000016</v>
      </c>
      <c r="DH18" s="50">
        <v>339.13558380999996</v>
      </c>
      <c r="DI18" s="50">
        <v>341.53356845000008</v>
      </c>
      <c r="DJ18" s="50">
        <v>345.42428608000006</v>
      </c>
      <c r="DK18" s="50">
        <v>316.65552567999987</v>
      </c>
      <c r="DL18" s="50">
        <v>324.93532876000006</v>
      </c>
      <c r="DM18" s="50">
        <v>340.37261642999999</v>
      </c>
      <c r="DN18" s="50">
        <f t="shared" si="20"/>
        <v>3739.5502266399999</v>
      </c>
      <c r="DO18" s="50">
        <f>DO19+DO20+DO21</f>
        <v>3739.551262</v>
      </c>
      <c r="DP18" s="44">
        <v>331.45621285000004</v>
      </c>
      <c r="DQ18" s="50">
        <v>286.56888552999987</v>
      </c>
      <c r="DR18" s="50">
        <v>282.93367859000006</v>
      </c>
      <c r="DS18" s="50">
        <v>333.51823130999998</v>
      </c>
      <c r="DT18" s="50">
        <v>311.59953558000001</v>
      </c>
      <c r="DU18" s="50">
        <v>341.07361918999999</v>
      </c>
      <c r="DV18" s="50">
        <v>334.57469922999991</v>
      </c>
      <c r="DW18" s="50">
        <v>340.40567548999996</v>
      </c>
      <c r="DX18" s="50">
        <v>364.16176835000027</v>
      </c>
      <c r="DY18" s="50">
        <v>348.41084200000006</v>
      </c>
      <c r="DZ18" s="50">
        <v>326.89237273999993</v>
      </c>
      <c r="EA18" s="50">
        <v>359.25160678999993</v>
      </c>
      <c r="EB18" s="50">
        <f t="shared" si="10"/>
        <v>3960.8471276499999</v>
      </c>
      <c r="EC18" s="50">
        <f>EC19+EC20+EC21</f>
        <v>3960.8471219999997</v>
      </c>
      <c r="ED18" s="50">
        <v>339.13179849999995</v>
      </c>
      <c r="EE18" s="50">
        <v>297.45820017999995</v>
      </c>
      <c r="EF18" s="50">
        <v>254.96255943000003</v>
      </c>
      <c r="EG18" s="50">
        <v>284.74070422999995</v>
      </c>
      <c r="EH18" s="50">
        <v>255.65260691999998</v>
      </c>
      <c r="EI18" s="50">
        <v>307.10658879000016</v>
      </c>
      <c r="EJ18" s="50">
        <v>341.68581217999997</v>
      </c>
      <c r="EK18" s="50">
        <v>359.63573958000001</v>
      </c>
      <c r="EL18" s="44">
        <v>358.65662665000002</v>
      </c>
      <c r="EM18" s="44">
        <v>358.69681575999988</v>
      </c>
      <c r="EN18" s="44">
        <v>352.04754656999995</v>
      </c>
      <c r="EO18" s="44">
        <v>334.30313134000011</v>
      </c>
      <c r="EP18" s="50">
        <f t="shared" si="11"/>
        <v>3844.0781301300003</v>
      </c>
      <c r="EQ18" s="50">
        <f>EQ19+EQ20+EQ21</f>
        <v>3844.0783600000004</v>
      </c>
      <c r="ER18" s="44">
        <v>331.65799475000017</v>
      </c>
      <c r="ES18" s="44">
        <v>299.29038003999989</v>
      </c>
      <c r="ET18" s="44">
        <v>262.87844920999999</v>
      </c>
      <c r="EU18" s="44">
        <v>364.96901780000002</v>
      </c>
      <c r="EV18" s="44">
        <v>333.18379085000004</v>
      </c>
      <c r="EW18" s="44">
        <v>363.27339589999997</v>
      </c>
      <c r="EX18" s="44">
        <v>408.09058936000008</v>
      </c>
      <c r="EY18" s="44">
        <v>392.7730426600001</v>
      </c>
      <c r="EZ18" s="44">
        <v>373.77932962</v>
      </c>
      <c r="FA18" s="44">
        <v>409.14585803000006</v>
      </c>
      <c r="FB18" s="44">
        <v>350.77583781999999</v>
      </c>
      <c r="FC18" s="44">
        <v>239.62839481999993</v>
      </c>
      <c r="FD18" s="50">
        <f t="shared" si="12"/>
        <v>4129.4460808599997</v>
      </c>
      <c r="FE18" s="50">
        <f>FE19+FE20+FE21</f>
        <v>4128.3771530000013</v>
      </c>
      <c r="FF18" s="50">
        <v>437.02492209999997</v>
      </c>
      <c r="FG18" s="50">
        <v>345.28768476000005</v>
      </c>
      <c r="FH18" s="50">
        <v>318.73759028000001</v>
      </c>
      <c r="FI18" s="50">
        <v>444.83570590000005</v>
      </c>
      <c r="FJ18" s="50">
        <v>356.02428719</v>
      </c>
      <c r="FK18" s="50">
        <v>430.01531723000005</v>
      </c>
      <c r="FL18" s="50">
        <v>451.00944325</v>
      </c>
      <c r="FM18" s="50">
        <v>423.81232698000002</v>
      </c>
      <c r="FN18" s="50">
        <v>404.17829265999995</v>
      </c>
      <c r="FO18" s="50">
        <v>458.65138119000005</v>
      </c>
      <c r="FP18" s="50">
        <v>480.94061460000006</v>
      </c>
      <c r="FQ18" s="50">
        <v>449.83957738999993</v>
      </c>
      <c r="FR18" s="50">
        <f t="shared" si="13"/>
        <v>5000.35714353</v>
      </c>
      <c r="FS18" s="50">
        <f>FS19+FS20+FS21</f>
        <v>5001.4421069999944</v>
      </c>
      <c r="FT18" s="50">
        <v>526.21184085000004</v>
      </c>
      <c r="FU18" s="50">
        <v>407.47749120999993</v>
      </c>
      <c r="FV18" s="50">
        <v>441.30658965000003</v>
      </c>
      <c r="FW18" s="50">
        <v>463.93168773999997</v>
      </c>
      <c r="FX18" s="50">
        <v>404.24472867000003</v>
      </c>
      <c r="FY18" s="50">
        <v>430.9718652900001</v>
      </c>
      <c r="FZ18" s="50">
        <v>458.16825606999993</v>
      </c>
      <c r="GA18" s="50">
        <v>435.30674061000002</v>
      </c>
      <c r="GB18" s="50">
        <v>454.76831972999997</v>
      </c>
      <c r="GC18" s="50">
        <v>467.24284919999997</v>
      </c>
      <c r="GD18" s="50">
        <v>405.96209124999996</v>
      </c>
      <c r="GE18" s="50">
        <v>438.02593957000005</v>
      </c>
      <c r="GF18" s="50">
        <f t="shared" si="14"/>
        <v>5333.6183998400002</v>
      </c>
      <c r="GG18" s="50">
        <f>GG19+GG20+GG21</f>
        <v>5333.8639649999977</v>
      </c>
      <c r="GH18" s="50">
        <v>482.09530056</v>
      </c>
      <c r="GI18" s="50">
        <v>377.3986433</v>
      </c>
      <c r="GJ18" s="50">
        <v>401.25912953</v>
      </c>
      <c r="GK18" s="50">
        <v>392.63422056000007</v>
      </c>
      <c r="GL18" s="50">
        <v>432.04383708</v>
      </c>
      <c r="GM18" s="50">
        <v>513.03452593999998</v>
      </c>
      <c r="GN18" s="50">
        <v>430.51457726999996</v>
      </c>
      <c r="GO18" s="50">
        <v>465.99844420999995</v>
      </c>
      <c r="GP18" s="50">
        <v>476.01956729</v>
      </c>
      <c r="GQ18" s="50">
        <v>468.12074559000001</v>
      </c>
      <c r="GR18" s="50">
        <v>457.40063393000003</v>
      </c>
      <c r="GS18" s="50">
        <v>495.13067355999993</v>
      </c>
      <c r="GT18" s="50">
        <f t="shared" si="15"/>
        <v>5391.65029882</v>
      </c>
      <c r="GU18" s="50">
        <f>GU19+GU20+GU21</f>
        <v>5391.6503007299998</v>
      </c>
      <c r="GV18" s="50">
        <v>471.76167625999994</v>
      </c>
      <c r="GW18" s="50">
        <v>416.8918913199999</v>
      </c>
      <c r="GX18" s="50">
        <v>401.96905084999997</v>
      </c>
      <c r="GY18" s="50">
        <v>464.27218792999997</v>
      </c>
      <c r="GZ18" s="50">
        <v>477.05564625</v>
      </c>
      <c r="HA18" s="50">
        <v>474.05016585999999</v>
      </c>
      <c r="HB18" s="50">
        <v>467.73540928</v>
      </c>
      <c r="HC18" s="50">
        <v>498.39204888</v>
      </c>
      <c r="HD18" s="50">
        <v>483.97562876000001</v>
      </c>
      <c r="HE18" s="50">
        <v>509.8189961299999</v>
      </c>
      <c r="HF18" s="50">
        <v>494.23260503</v>
      </c>
      <c r="HG18" s="50">
        <v>524.57821011999999</v>
      </c>
      <c r="HH18" s="50">
        <f t="shared" si="6"/>
        <v>5684.7335166699995</v>
      </c>
      <c r="HI18" s="50">
        <v>518.23249023999995</v>
      </c>
      <c r="HJ18" s="50">
        <v>453.0201126</v>
      </c>
      <c r="HK18" s="50">
        <v>414.68127670000001</v>
      </c>
      <c r="HL18" s="50">
        <v>540.40684057999999</v>
      </c>
      <c r="HM18" s="50"/>
      <c r="HN18" s="50"/>
      <c r="HO18" s="50"/>
      <c r="HP18" s="50"/>
      <c r="HQ18" s="50"/>
      <c r="HR18" s="50"/>
      <c r="HS18" s="50"/>
      <c r="HT18" s="50"/>
      <c r="HU18" s="276">
        <f t="shared" si="16"/>
        <v>1754.894806</v>
      </c>
      <c r="HV18" s="276">
        <f t="shared" si="17"/>
        <v>1926.3407199999999</v>
      </c>
      <c r="HW18" s="277">
        <f t="shared" si="18"/>
        <v>171.4459139999999</v>
      </c>
      <c r="HX18" s="277">
        <f t="shared" si="19"/>
        <v>9.7695835336582491</v>
      </c>
    </row>
    <row r="19" spans="1:232" s="12" customFormat="1" ht="20.5">
      <c r="A19" s="314" t="s">
        <v>54</v>
      </c>
      <c r="B19" s="12" t="s">
        <v>55</v>
      </c>
      <c r="C19" s="47" t="s">
        <v>56</v>
      </c>
      <c r="D19" s="42">
        <v>1711.6279858964947</v>
      </c>
      <c r="E19" s="42">
        <v>1589.5619077296087</v>
      </c>
      <c r="F19" s="42">
        <v>1136.0742426053353</v>
      </c>
      <c r="G19" s="42">
        <v>1174.2210374442946</v>
      </c>
      <c r="H19" s="42">
        <v>142.42891617008439</v>
      </c>
      <c r="I19" s="42">
        <v>52.269356748111846</v>
      </c>
      <c r="J19" s="42">
        <v>89.056008503081941</v>
      </c>
      <c r="K19" s="42">
        <v>120.88149185263602</v>
      </c>
      <c r="L19" s="42">
        <v>102.70866130528567</v>
      </c>
      <c r="M19" s="42">
        <v>123.50039555836335</v>
      </c>
      <c r="N19" s="42">
        <v>125.29966534055013</v>
      </c>
      <c r="O19" s="42">
        <v>124.90918520668636</v>
      </c>
      <c r="P19" s="42">
        <v>134.23805214540613</v>
      </c>
      <c r="Q19" s="42">
        <v>133.82016892334136</v>
      </c>
      <c r="R19" s="42">
        <v>127.64414829739158</v>
      </c>
      <c r="S19" s="42">
        <v>87.28521038582592</v>
      </c>
      <c r="T19" s="42">
        <v>1364.0412604367648</v>
      </c>
      <c r="U19" s="42">
        <v>1364.0412604367648</v>
      </c>
      <c r="V19" s="42">
        <v>163.89514573053086</v>
      </c>
      <c r="W19" s="42">
        <v>92.755980330220083</v>
      </c>
      <c r="X19" s="42">
        <v>113.82030409616337</v>
      </c>
      <c r="Y19" s="42">
        <v>135.97703342610458</v>
      </c>
      <c r="Z19" s="42">
        <v>123.84096561772557</v>
      </c>
      <c r="AA19" s="42">
        <v>132.81516752892699</v>
      </c>
      <c r="AB19" s="42">
        <v>146.12317089828744</v>
      </c>
      <c r="AC19" s="42">
        <v>135.38206242423206</v>
      </c>
      <c r="AD19" s="42">
        <v>141.44228974223253</v>
      </c>
      <c r="AE19" s="42">
        <v>132.58674822567886</v>
      </c>
      <c r="AF19" s="42">
        <v>129.05187221472843</v>
      </c>
      <c r="AG19" s="42">
        <v>141.08610793336405</v>
      </c>
      <c r="AH19" s="42">
        <v>1588.7768481681946</v>
      </c>
      <c r="AI19" s="42">
        <v>1588.7768481681949</v>
      </c>
      <c r="AJ19" s="42">
        <v>156.33879431534254</v>
      </c>
      <c r="AK19" s="42">
        <v>96.606676968258583</v>
      </c>
      <c r="AL19" s="42">
        <v>121.0156700872505</v>
      </c>
      <c r="AM19" s="42">
        <v>152.77638715772818</v>
      </c>
      <c r="AN19" s="42">
        <v>125.10937331033973</v>
      </c>
      <c r="AO19" s="42">
        <v>148.60405603838339</v>
      </c>
      <c r="AP19" s="42">
        <v>153.83293208348275</v>
      </c>
      <c r="AQ19" s="42">
        <v>157.18937285502076</v>
      </c>
      <c r="AR19" s="42">
        <v>148.91696404687508</v>
      </c>
      <c r="AS19" s="42">
        <v>137.88467481687641</v>
      </c>
      <c r="AT19" s="42">
        <v>137.9986753063443</v>
      </c>
      <c r="AU19" s="42">
        <v>130.53096453634299</v>
      </c>
      <c r="AV19" s="42">
        <v>1666.804541522245</v>
      </c>
      <c r="AW19" s="42">
        <v>1666.8045415222452</v>
      </c>
      <c r="AX19" s="44">
        <v>193.157231</v>
      </c>
      <c r="AY19" s="44">
        <v>109.30025500000001</v>
      </c>
      <c r="AZ19" s="44">
        <v>119.640603</v>
      </c>
      <c r="BA19" s="44">
        <v>151.299755</v>
      </c>
      <c r="BB19" s="44">
        <v>131.94423900000001</v>
      </c>
      <c r="BC19" s="44">
        <v>172.240635</v>
      </c>
      <c r="BD19" s="44">
        <v>153.109219</v>
      </c>
      <c r="BE19" s="44">
        <v>169.16682900000001</v>
      </c>
      <c r="BF19" s="44">
        <v>167.45422997999998</v>
      </c>
      <c r="BG19" s="44">
        <v>136.02338406000001</v>
      </c>
      <c r="BH19" s="44">
        <v>159.25278201000003</v>
      </c>
      <c r="BI19" s="44">
        <v>141.12171398000001</v>
      </c>
      <c r="BJ19" s="50">
        <f t="shared" si="1"/>
        <v>1803.7108760300002</v>
      </c>
      <c r="BK19" s="44">
        <v>1803.7108760000001</v>
      </c>
      <c r="BL19" s="44">
        <v>195.85518510999998</v>
      </c>
      <c r="BM19" s="44">
        <v>111.55879289000001</v>
      </c>
      <c r="BN19" s="44">
        <v>126.83421594000001</v>
      </c>
      <c r="BO19" s="44">
        <v>164.12995512000001</v>
      </c>
      <c r="BP19" s="44">
        <v>147.94360851000002</v>
      </c>
      <c r="BQ19" s="44">
        <v>167.16480282000001</v>
      </c>
      <c r="BR19" s="44">
        <v>156.23052009999998</v>
      </c>
      <c r="BS19" s="44">
        <v>174.42611324000001</v>
      </c>
      <c r="BT19" s="44">
        <v>160.71261930999998</v>
      </c>
      <c r="BU19" s="44">
        <v>174.71547671000002</v>
      </c>
      <c r="BV19" s="44">
        <v>177.20929922000002</v>
      </c>
      <c r="BW19" s="44">
        <v>146.79276353</v>
      </c>
      <c r="BX19" s="50">
        <f t="shared" si="4"/>
        <v>1903.5733525000001</v>
      </c>
      <c r="BY19" s="50">
        <v>1903.5733520000001</v>
      </c>
      <c r="BZ19" s="50">
        <v>183.31981141000003</v>
      </c>
      <c r="CA19" s="50">
        <v>127.01537313999998</v>
      </c>
      <c r="CB19" s="50">
        <v>143.28984391999998</v>
      </c>
      <c r="CC19" s="50">
        <v>163.24171190999994</v>
      </c>
      <c r="CD19" s="50">
        <v>164.45248279999998</v>
      </c>
      <c r="CE19" s="73">
        <v>174.86393899999999</v>
      </c>
      <c r="CF19" s="50">
        <v>177.90379772</v>
      </c>
      <c r="CG19" s="50">
        <v>170.19623402000002</v>
      </c>
      <c r="CH19" s="50">
        <v>180.17024106999997</v>
      </c>
      <c r="CI19" s="50">
        <v>183.46651279999998</v>
      </c>
      <c r="CJ19" s="50">
        <v>174.33822691000003</v>
      </c>
      <c r="CK19" s="50">
        <v>176.63724355000002</v>
      </c>
      <c r="CL19" s="50">
        <f t="shared" si="5"/>
        <v>2018.8954182499997</v>
      </c>
      <c r="CM19" s="50">
        <v>2018.8954180000001</v>
      </c>
      <c r="CN19" s="50">
        <v>210.52298981999999</v>
      </c>
      <c r="CO19" s="50">
        <v>118.99255610000002</v>
      </c>
      <c r="CP19" s="50">
        <v>148.10282532999997</v>
      </c>
      <c r="CQ19" s="50">
        <v>186.97635073999999</v>
      </c>
      <c r="CR19" s="50">
        <v>170.97870240999995</v>
      </c>
      <c r="CS19" s="50">
        <v>185.83319803000001</v>
      </c>
      <c r="CT19" s="50">
        <v>180.66670751999999</v>
      </c>
      <c r="CU19" s="50">
        <v>196.71585393999999</v>
      </c>
      <c r="CV19" s="50">
        <v>199.33320000999998</v>
      </c>
      <c r="CW19" s="50">
        <v>201.21672024999998</v>
      </c>
      <c r="CX19" s="50">
        <v>185.54479761000002</v>
      </c>
      <c r="CY19" s="50">
        <v>202.86799911000003</v>
      </c>
      <c r="CZ19" s="50">
        <f t="shared" si="9"/>
        <v>2187.7519008700001</v>
      </c>
      <c r="DA19" s="50">
        <v>2187.7519010000001</v>
      </c>
      <c r="DB19" s="50">
        <v>204.37609751999997</v>
      </c>
      <c r="DC19" s="50">
        <v>149.91155864999999</v>
      </c>
      <c r="DD19" s="50">
        <v>164.13907448</v>
      </c>
      <c r="DE19" s="50">
        <v>201.08871764999998</v>
      </c>
      <c r="DF19" s="50">
        <v>190.62738695000002</v>
      </c>
      <c r="DG19" s="50">
        <v>207.19511937000004</v>
      </c>
      <c r="DH19" s="50">
        <v>220.72023087000002</v>
      </c>
      <c r="DI19" s="50">
        <v>224.21628386999998</v>
      </c>
      <c r="DJ19" s="50">
        <v>230.49635627999996</v>
      </c>
      <c r="DK19" s="50">
        <v>207.09512848999998</v>
      </c>
      <c r="DL19" s="50">
        <v>215.80597917999998</v>
      </c>
      <c r="DM19" s="50">
        <v>241.29659856000001</v>
      </c>
      <c r="DN19" s="50">
        <f t="shared" si="20"/>
        <v>2456.9685318699994</v>
      </c>
      <c r="DO19" s="50">
        <v>2456.9685319999999</v>
      </c>
      <c r="DP19" s="44">
        <v>214.12216085000003</v>
      </c>
      <c r="DQ19" s="50">
        <v>189.67648954999999</v>
      </c>
      <c r="DR19" s="50">
        <v>182.61135922</v>
      </c>
      <c r="DS19" s="50">
        <v>220.75818766999998</v>
      </c>
      <c r="DT19" s="50">
        <v>202.56825332000003</v>
      </c>
      <c r="DU19" s="50">
        <v>228.45286518</v>
      </c>
      <c r="DV19" s="50">
        <v>218.39993038</v>
      </c>
      <c r="DW19" s="50">
        <v>228.15742975000001</v>
      </c>
      <c r="DX19" s="50">
        <v>246.06554787000002</v>
      </c>
      <c r="DY19" s="50">
        <v>234.78656058999999</v>
      </c>
      <c r="DZ19" s="50">
        <v>225.72968611999994</v>
      </c>
      <c r="EA19" s="50">
        <v>257.01818082</v>
      </c>
      <c r="EB19" s="50">
        <f t="shared" si="10"/>
        <v>2648.3466513200001</v>
      </c>
      <c r="EC19" s="50">
        <v>2648.3466509999998</v>
      </c>
      <c r="ED19" s="50">
        <v>219.17742745999999</v>
      </c>
      <c r="EE19" s="50">
        <v>199.47310185000001</v>
      </c>
      <c r="EF19" s="50">
        <v>163.05346902000002</v>
      </c>
      <c r="EG19" s="50">
        <v>181.28259706</v>
      </c>
      <c r="EH19" s="50">
        <v>161.38010387</v>
      </c>
      <c r="EI19" s="50">
        <v>204.26915094</v>
      </c>
      <c r="EJ19" s="50">
        <v>218.83385175000004</v>
      </c>
      <c r="EK19" s="50">
        <v>238.55673321999996</v>
      </c>
      <c r="EL19" s="44">
        <v>238.99603074000001</v>
      </c>
      <c r="EM19" s="44">
        <v>237.77250713999999</v>
      </c>
      <c r="EN19" s="44">
        <v>248.70658576000002</v>
      </c>
      <c r="EO19" s="44">
        <v>233.15730057999997</v>
      </c>
      <c r="EP19" s="50">
        <f t="shared" si="11"/>
        <v>2544.6588593900001</v>
      </c>
      <c r="EQ19" s="50">
        <v>2544.6588590000001</v>
      </c>
      <c r="ER19" s="44">
        <v>218.35477900000001</v>
      </c>
      <c r="ES19" s="44">
        <v>209.04308808999997</v>
      </c>
      <c r="ET19" s="44">
        <v>168.040279</v>
      </c>
      <c r="EU19" s="44">
        <v>240.62127121999998</v>
      </c>
      <c r="EV19" s="44">
        <v>233.94073159000001</v>
      </c>
      <c r="EW19" s="44">
        <v>251.11796761999997</v>
      </c>
      <c r="EX19" s="44">
        <v>272.44773908000002</v>
      </c>
      <c r="EY19" s="44">
        <v>266.64371106999999</v>
      </c>
      <c r="EZ19" s="44">
        <v>255.51329699999999</v>
      </c>
      <c r="FA19" s="44">
        <v>281.78393399999999</v>
      </c>
      <c r="FB19" s="44">
        <v>244.09561504999999</v>
      </c>
      <c r="FC19" s="44">
        <v>120.89054773000001</v>
      </c>
      <c r="FD19" s="50">
        <f t="shared" si="12"/>
        <v>2762.4929604499998</v>
      </c>
      <c r="FE19" s="50">
        <v>2762.4929609999999</v>
      </c>
      <c r="FF19" s="50">
        <v>305.15682826</v>
      </c>
      <c r="FG19" s="50">
        <v>241.22451790999997</v>
      </c>
      <c r="FH19" s="50">
        <v>213.27002125000001</v>
      </c>
      <c r="FI19" s="50">
        <v>317.51033463000005</v>
      </c>
      <c r="FJ19" s="50">
        <v>241.87598450999997</v>
      </c>
      <c r="FK19" s="50">
        <v>307.37908601000004</v>
      </c>
      <c r="FL19" s="50">
        <v>318.39030732999998</v>
      </c>
      <c r="FM19" s="50">
        <v>302.72456161000002</v>
      </c>
      <c r="FN19" s="50">
        <v>275.43128775999998</v>
      </c>
      <c r="FO19" s="50">
        <v>329.14276414</v>
      </c>
      <c r="FP19" s="50">
        <v>364.47679590000001</v>
      </c>
      <c r="FQ19" s="50">
        <v>342.08847143999998</v>
      </c>
      <c r="FR19" s="50">
        <f t="shared" si="13"/>
        <v>3558.6709607500002</v>
      </c>
      <c r="FS19" s="50">
        <v>3558.6709599999999</v>
      </c>
      <c r="FT19" s="50">
        <v>386.10967128999999</v>
      </c>
      <c r="FU19" s="50">
        <v>301.80614191999996</v>
      </c>
      <c r="FV19" s="50">
        <v>325.43222743999996</v>
      </c>
      <c r="FW19" s="50">
        <v>338.49891364999996</v>
      </c>
      <c r="FX19" s="50">
        <v>289.73330856000001</v>
      </c>
      <c r="FY19" s="50">
        <v>305.09090129000003</v>
      </c>
      <c r="FZ19" s="50">
        <v>323.28390615999996</v>
      </c>
      <c r="GA19" s="50">
        <v>312.93571600999996</v>
      </c>
      <c r="GB19" s="50">
        <v>329.26568889999999</v>
      </c>
      <c r="GC19" s="50">
        <v>341.81099528999999</v>
      </c>
      <c r="GD19" s="50">
        <v>294.74851663999999</v>
      </c>
      <c r="GE19" s="50">
        <v>330.79873814000007</v>
      </c>
      <c r="GF19" s="50">
        <f t="shared" si="14"/>
        <v>3879.5147252899997</v>
      </c>
      <c r="GG19" s="50">
        <v>3879.514725</v>
      </c>
      <c r="GH19" s="50">
        <v>342.50642629999999</v>
      </c>
      <c r="GI19" s="50">
        <v>264.23297828</v>
      </c>
      <c r="GJ19" s="50">
        <v>295.02499803999996</v>
      </c>
      <c r="GK19" s="50">
        <v>257.97659249000003</v>
      </c>
      <c r="GL19" s="50">
        <v>311.42055184999998</v>
      </c>
      <c r="GM19" s="50">
        <v>385.26376006999999</v>
      </c>
      <c r="GN19" s="50">
        <v>291.92520031999999</v>
      </c>
      <c r="GO19" s="50">
        <v>335.26407283999998</v>
      </c>
      <c r="GP19" s="50">
        <v>348.50577060999996</v>
      </c>
      <c r="GQ19" s="50">
        <v>330.67379256000004</v>
      </c>
      <c r="GR19" s="50">
        <v>336.31847909000004</v>
      </c>
      <c r="GS19" s="50">
        <v>383.24940474000005</v>
      </c>
      <c r="GT19" s="50">
        <f t="shared" si="15"/>
        <v>3882.3620271900004</v>
      </c>
      <c r="GU19" s="50">
        <v>3882.3620270000001</v>
      </c>
      <c r="GV19" s="50">
        <v>327.39997848999997</v>
      </c>
      <c r="GW19" s="50">
        <v>299.04544184999997</v>
      </c>
      <c r="GX19" s="50">
        <v>286.97640398999999</v>
      </c>
      <c r="GY19" s="50">
        <v>324.08337886999999</v>
      </c>
      <c r="GZ19" s="50">
        <v>341.89799519999997</v>
      </c>
      <c r="HA19" s="50">
        <v>353.14339132999999</v>
      </c>
      <c r="HB19" s="50">
        <v>322.24170879000002</v>
      </c>
      <c r="HC19" s="50">
        <v>362.20796027</v>
      </c>
      <c r="HD19" s="50">
        <v>351.63367726999996</v>
      </c>
      <c r="HE19" s="50">
        <v>365.58698776</v>
      </c>
      <c r="HF19" s="50">
        <v>368.36426121</v>
      </c>
      <c r="HG19" s="50">
        <v>397.15842108000004</v>
      </c>
      <c r="HH19" s="50">
        <f t="shared" si="6"/>
        <v>4099.7396061099998</v>
      </c>
      <c r="HI19" s="50">
        <v>365.46684836999998</v>
      </c>
      <c r="HJ19" s="50">
        <v>325.80093109000001</v>
      </c>
      <c r="HK19" s="50">
        <v>289.94353837999995</v>
      </c>
      <c r="HL19" s="50">
        <v>388.96000047000001</v>
      </c>
      <c r="HM19" s="50"/>
      <c r="HN19" s="50"/>
      <c r="HO19" s="50"/>
      <c r="HP19" s="50"/>
      <c r="HQ19" s="50"/>
      <c r="HR19" s="50"/>
      <c r="HS19" s="50"/>
      <c r="HT19" s="50"/>
      <c r="HU19" s="276">
        <f t="shared" si="16"/>
        <v>1237.5052029999999</v>
      </c>
      <c r="HV19" s="276">
        <f t="shared" si="17"/>
        <v>1370.1713179999999</v>
      </c>
      <c r="HW19" s="277">
        <f t="shared" si="18"/>
        <v>132.66611499999999</v>
      </c>
      <c r="HX19" s="277">
        <f t="shared" si="19"/>
        <v>10.720449067881617</v>
      </c>
    </row>
    <row r="20" spans="1:232" s="12" customFormat="1" ht="20.5">
      <c r="A20" s="314" t="s">
        <v>57</v>
      </c>
      <c r="B20" s="12" t="s">
        <v>58</v>
      </c>
      <c r="C20" s="47" t="s">
        <v>59</v>
      </c>
      <c r="D20" s="42">
        <v>637.57801036988974</v>
      </c>
      <c r="E20" s="42">
        <v>769.66218177471956</v>
      </c>
      <c r="F20" s="42">
        <v>717.24981787240824</v>
      </c>
      <c r="G20" s="42">
        <v>651.75811321506421</v>
      </c>
      <c r="H20" s="42">
        <v>55.343791441141484</v>
      </c>
      <c r="I20" s="42">
        <v>53.847516519541728</v>
      </c>
      <c r="J20" s="42">
        <v>41.413268848782877</v>
      </c>
      <c r="K20" s="42">
        <v>50.98525193368279</v>
      </c>
      <c r="L20" s="42">
        <v>51.338341842106765</v>
      </c>
      <c r="M20" s="42">
        <v>57.831477908492268</v>
      </c>
      <c r="N20" s="42">
        <v>62.199900683547625</v>
      </c>
      <c r="O20" s="42">
        <v>64.413401175861267</v>
      </c>
      <c r="P20" s="42">
        <v>65.490960495387057</v>
      </c>
      <c r="Q20" s="42">
        <v>63.12097825282725</v>
      </c>
      <c r="R20" s="42">
        <v>57.088223743746475</v>
      </c>
      <c r="S20" s="42">
        <v>62.074521488210081</v>
      </c>
      <c r="T20" s="42">
        <v>685.14763433332757</v>
      </c>
      <c r="U20" s="42">
        <v>685.14763433332769</v>
      </c>
      <c r="V20" s="42">
        <v>60.174768498756414</v>
      </c>
      <c r="W20" s="42">
        <v>53.974944650286567</v>
      </c>
      <c r="X20" s="42">
        <v>54.884546758413443</v>
      </c>
      <c r="Y20" s="42">
        <v>55.476334796045556</v>
      </c>
      <c r="Z20" s="42">
        <v>53.766562227875767</v>
      </c>
      <c r="AA20" s="42">
        <v>60.221629358967796</v>
      </c>
      <c r="AB20" s="42">
        <v>57.503571408244689</v>
      </c>
      <c r="AC20" s="42">
        <v>64.959892089401876</v>
      </c>
      <c r="AD20" s="42">
        <v>64.94532045918919</v>
      </c>
      <c r="AE20" s="42">
        <v>60.11057136840428</v>
      </c>
      <c r="AF20" s="42">
        <v>62.592562079897093</v>
      </c>
      <c r="AG20" s="42">
        <v>55.229271603462706</v>
      </c>
      <c r="AH20" s="42">
        <v>703.83997529894543</v>
      </c>
      <c r="AI20" s="42">
        <v>703.83997529894532</v>
      </c>
      <c r="AJ20" s="42">
        <v>64.48722830262777</v>
      </c>
      <c r="AK20" s="42">
        <v>55.906271165218186</v>
      </c>
      <c r="AL20" s="42">
        <v>51.881193049555783</v>
      </c>
      <c r="AM20" s="42">
        <v>56.331761059982583</v>
      </c>
      <c r="AN20" s="42">
        <v>57.89799431989573</v>
      </c>
      <c r="AO20" s="42">
        <v>64.496327567856753</v>
      </c>
      <c r="AP20" s="42">
        <v>61.859985145218296</v>
      </c>
      <c r="AQ20" s="42">
        <v>66.332791219173487</v>
      </c>
      <c r="AR20" s="42">
        <v>65.777172582967651</v>
      </c>
      <c r="AS20" s="42">
        <v>60.088687599956749</v>
      </c>
      <c r="AT20" s="42">
        <v>64.591751042965043</v>
      </c>
      <c r="AU20" s="42">
        <v>61.29239304272599</v>
      </c>
      <c r="AV20" s="42">
        <v>730.94355609814409</v>
      </c>
      <c r="AW20" s="42">
        <v>730.94355609814409</v>
      </c>
      <c r="AX20" s="44">
        <v>66.739440999999999</v>
      </c>
      <c r="AY20" s="44">
        <v>51.166615</v>
      </c>
      <c r="AZ20" s="44">
        <v>52.370136000000002</v>
      </c>
      <c r="BA20" s="44">
        <v>61.024819000000001</v>
      </c>
      <c r="BB20" s="44">
        <v>58.913553</v>
      </c>
      <c r="BC20" s="44">
        <v>65.518063999999995</v>
      </c>
      <c r="BD20" s="44">
        <v>66.494169999999997</v>
      </c>
      <c r="BE20" s="44">
        <v>69.305045000000007</v>
      </c>
      <c r="BF20" s="44">
        <v>67.349203079999995</v>
      </c>
      <c r="BG20" s="44">
        <v>63.97557865000001</v>
      </c>
      <c r="BH20" s="44">
        <v>65.340900519999991</v>
      </c>
      <c r="BI20" s="44">
        <v>60.398081740000016</v>
      </c>
      <c r="BJ20" s="50">
        <f t="shared" si="1"/>
        <v>748.59560699000008</v>
      </c>
      <c r="BK20" s="44">
        <v>748.59560699999997</v>
      </c>
      <c r="BL20" s="44">
        <v>69.131329479999991</v>
      </c>
      <c r="BM20" s="44">
        <v>54.626979420000005</v>
      </c>
      <c r="BN20" s="44">
        <v>57.344745350000004</v>
      </c>
      <c r="BO20" s="44">
        <v>64.885803249999981</v>
      </c>
      <c r="BP20" s="44">
        <v>63.478285880000001</v>
      </c>
      <c r="BQ20" s="44">
        <v>65.273663380000002</v>
      </c>
      <c r="BR20" s="44">
        <v>70.818015250000016</v>
      </c>
      <c r="BS20" s="44">
        <v>71.380233019999991</v>
      </c>
      <c r="BT20" s="44">
        <v>73.942910449999971</v>
      </c>
      <c r="BU20" s="44">
        <v>69.43074301</v>
      </c>
      <c r="BV20" s="44">
        <v>69.296714400000027</v>
      </c>
      <c r="BW20" s="44">
        <v>66.683166159999999</v>
      </c>
      <c r="BX20" s="50">
        <f t="shared" si="4"/>
        <v>796.29258905000006</v>
      </c>
      <c r="BY20" s="50">
        <v>796.29258905000006</v>
      </c>
      <c r="BZ20" s="50">
        <v>69.893747949999991</v>
      </c>
      <c r="CA20" s="50">
        <v>62.847186189999995</v>
      </c>
      <c r="CB20" s="50">
        <v>60.453423569999998</v>
      </c>
      <c r="CC20" s="50">
        <v>68.180902589999988</v>
      </c>
      <c r="CD20" s="50">
        <v>71.182647300000014</v>
      </c>
      <c r="CE20" s="73">
        <v>76.036618310000009</v>
      </c>
      <c r="CF20" s="50">
        <v>74.148619929999995</v>
      </c>
      <c r="CG20" s="50">
        <v>75.798546439999967</v>
      </c>
      <c r="CH20" s="50">
        <v>80.900494660000049</v>
      </c>
      <c r="CI20" s="50">
        <v>74.773888769999985</v>
      </c>
      <c r="CJ20" s="50">
        <v>74.775466170000001</v>
      </c>
      <c r="CK20" s="50">
        <v>72.018300910000008</v>
      </c>
      <c r="CL20" s="50">
        <f t="shared" si="5"/>
        <v>861.00984278999988</v>
      </c>
      <c r="CM20" s="50">
        <v>861.00984300000005</v>
      </c>
      <c r="CN20" s="50">
        <v>73.958544279999998</v>
      </c>
      <c r="CO20" s="50">
        <v>65.000137600000002</v>
      </c>
      <c r="CP20" s="50">
        <v>63.586354440000001</v>
      </c>
      <c r="CQ20" s="50">
        <v>70.353395279999987</v>
      </c>
      <c r="CR20" s="50">
        <v>73.764256910000029</v>
      </c>
      <c r="CS20" s="50">
        <v>81.720163169999992</v>
      </c>
      <c r="CT20" s="50">
        <v>77.435438269999992</v>
      </c>
      <c r="CU20" s="50">
        <v>81.838067770000009</v>
      </c>
      <c r="CV20" s="50">
        <v>87.04042333999999</v>
      </c>
      <c r="CW20" s="50">
        <v>75.132776570000004</v>
      </c>
      <c r="CX20" s="50">
        <v>78.623796470000016</v>
      </c>
      <c r="CY20" s="50">
        <v>78.567804439999989</v>
      </c>
      <c r="CZ20" s="50">
        <f t="shared" si="9"/>
        <v>907.02115853999999</v>
      </c>
      <c r="DA20" s="50">
        <v>907.00246000000004</v>
      </c>
      <c r="DB20" s="50">
        <v>78.380427979999993</v>
      </c>
      <c r="DC20" s="50">
        <v>72.050875470000008</v>
      </c>
      <c r="DD20" s="50">
        <v>73.067936459999999</v>
      </c>
      <c r="DE20" s="50">
        <v>82.708648690000004</v>
      </c>
      <c r="DF20" s="50">
        <v>80.300244059999997</v>
      </c>
      <c r="DG20" s="50">
        <v>95.330260680000009</v>
      </c>
      <c r="DH20" s="50">
        <v>93.795984350000012</v>
      </c>
      <c r="DI20" s="50">
        <v>97.583045370000008</v>
      </c>
      <c r="DJ20" s="50">
        <v>97.29460241999999</v>
      </c>
      <c r="DK20" s="50">
        <v>85.281813780000022</v>
      </c>
      <c r="DL20" s="50">
        <v>91.143385759999973</v>
      </c>
      <c r="DM20" s="50">
        <v>82.276838420000018</v>
      </c>
      <c r="DN20" s="50">
        <f t="shared" si="20"/>
        <v>1029.2140634400002</v>
      </c>
      <c r="DO20" s="50">
        <v>1029.2140629999999</v>
      </c>
      <c r="DP20" s="44">
        <v>89.964804270000002</v>
      </c>
      <c r="DQ20" s="50">
        <v>78.58715174000001</v>
      </c>
      <c r="DR20" s="50">
        <v>80.675586719999984</v>
      </c>
      <c r="DS20" s="50">
        <v>88.410347410000014</v>
      </c>
      <c r="DT20" s="50">
        <v>87.330997549999992</v>
      </c>
      <c r="DU20" s="50">
        <v>95.749043649999976</v>
      </c>
      <c r="DV20" s="50">
        <v>91.565102039999985</v>
      </c>
      <c r="DW20" s="50">
        <v>93.598704659999981</v>
      </c>
      <c r="DX20" s="50">
        <v>99.983932100000004</v>
      </c>
      <c r="DY20" s="50">
        <v>88.173631020000002</v>
      </c>
      <c r="DZ20" s="50">
        <v>84.542781380000008</v>
      </c>
      <c r="EA20" s="50">
        <v>85.472943019999974</v>
      </c>
      <c r="EB20" s="50">
        <f t="shared" si="10"/>
        <v>1064.0550255599999</v>
      </c>
      <c r="EC20" s="50">
        <v>1064.0550249999999</v>
      </c>
      <c r="ED20" s="50">
        <v>91.227132470000001</v>
      </c>
      <c r="EE20" s="50">
        <v>78.474114360000002</v>
      </c>
      <c r="EF20" s="50">
        <v>71.947078020000006</v>
      </c>
      <c r="EG20" s="50">
        <v>80.290347900000015</v>
      </c>
      <c r="EH20" s="50">
        <v>79.396007059999988</v>
      </c>
      <c r="EI20" s="50">
        <v>87.892598369999988</v>
      </c>
      <c r="EJ20" s="50">
        <v>98.363117439999982</v>
      </c>
      <c r="EK20" s="50">
        <v>102.65536318000001</v>
      </c>
      <c r="EL20" s="44">
        <v>101.34110115999998</v>
      </c>
      <c r="EM20" s="44">
        <v>95.319154620000006</v>
      </c>
      <c r="EN20" s="44">
        <v>87.521510219999982</v>
      </c>
      <c r="EO20" s="44">
        <v>85.256483129999992</v>
      </c>
      <c r="EP20" s="50">
        <f t="shared" si="11"/>
        <v>1059.68400793</v>
      </c>
      <c r="EQ20" s="50">
        <v>1059.6840079999999</v>
      </c>
      <c r="ER20" s="44">
        <v>88.145899</v>
      </c>
      <c r="ES20" s="44">
        <v>75.317371249999994</v>
      </c>
      <c r="ET20" s="44">
        <v>75.639572879999989</v>
      </c>
      <c r="EU20" s="44">
        <v>97.13031140999999</v>
      </c>
      <c r="EV20" s="44">
        <v>82.140082989999996</v>
      </c>
      <c r="EW20" s="44">
        <v>94.391854240000001</v>
      </c>
      <c r="EX20" s="44">
        <v>105.34232808</v>
      </c>
      <c r="EY20" s="44">
        <v>106.11534505000002</v>
      </c>
      <c r="EZ20" s="44">
        <v>98.114018000000002</v>
      </c>
      <c r="FA20" s="44">
        <v>96.822309000000004</v>
      </c>
      <c r="FB20" s="44">
        <v>87.558833309999997</v>
      </c>
      <c r="FC20" s="44">
        <v>98.122540729999997</v>
      </c>
      <c r="FD20" s="50">
        <f t="shared" si="12"/>
        <v>1104.8404659400001</v>
      </c>
      <c r="FE20" s="50">
        <v>1104.8404660000001</v>
      </c>
      <c r="FF20" s="50">
        <v>94.489587659999998</v>
      </c>
      <c r="FG20" s="50">
        <v>85.432088590000006</v>
      </c>
      <c r="FH20" s="50">
        <v>83.467417219999987</v>
      </c>
      <c r="FI20" s="50">
        <v>94.762113360000029</v>
      </c>
      <c r="FJ20" s="50">
        <v>89.708789329999988</v>
      </c>
      <c r="FK20" s="50">
        <v>99.295791589999993</v>
      </c>
      <c r="FL20" s="50">
        <v>97.606663669999989</v>
      </c>
      <c r="FM20" s="50">
        <v>99.319585369999999</v>
      </c>
      <c r="FN20" s="50">
        <v>108.36951242000001</v>
      </c>
      <c r="FO20" s="50">
        <v>96.951422370000003</v>
      </c>
      <c r="FP20" s="50">
        <v>96.244255089999996</v>
      </c>
      <c r="FQ20" s="50">
        <v>85.386054009999995</v>
      </c>
      <c r="FR20" s="50">
        <f t="shared" si="13"/>
        <v>1131.03328068</v>
      </c>
      <c r="FS20" s="50">
        <v>1131.033281</v>
      </c>
      <c r="FT20" s="50">
        <v>101.65742057</v>
      </c>
      <c r="FU20" s="50">
        <v>85.200088220000012</v>
      </c>
      <c r="FV20" s="50">
        <v>92.239320810000009</v>
      </c>
      <c r="FW20" s="50">
        <v>93.143622550000003</v>
      </c>
      <c r="FX20" s="50">
        <v>94.581915230000007</v>
      </c>
      <c r="FY20" s="50">
        <v>105.70550191999999</v>
      </c>
      <c r="FZ20" s="50">
        <v>100.8234592</v>
      </c>
      <c r="GA20" s="50">
        <v>101.00952856000001</v>
      </c>
      <c r="GB20" s="50">
        <v>106.89766510000001</v>
      </c>
      <c r="GC20" s="50">
        <v>91.657523700000013</v>
      </c>
      <c r="GD20" s="50">
        <v>92.613513190000006</v>
      </c>
      <c r="GE20" s="50">
        <v>89.23925869</v>
      </c>
      <c r="GF20" s="50">
        <f t="shared" si="14"/>
        <v>1154.7688177400003</v>
      </c>
      <c r="GG20" s="50">
        <v>1154.7688189999999</v>
      </c>
      <c r="GH20" s="50">
        <v>100.78356593000001</v>
      </c>
      <c r="GI20" s="50">
        <v>91.032900139999995</v>
      </c>
      <c r="GJ20" s="50">
        <v>83.272342719999983</v>
      </c>
      <c r="GK20" s="50">
        <v>98.178624989999989</v>
      </c>
      <c r="GL20" s="50">
        <v>97.76223573</v>
      </c>
      <c r="GM20" s="50">
        <v>107.28923574</v>
      </c>
      <c r="GN20" s="50">
        <v>101.98135866</v>
      </c>
      <c r="GO20" s="50">
        <v>109.54193059999999</v>
      </c>
      <c r="GP20" s="50">
        <v>107.15859218999999</v>
      </c>
      <c r="GQ20" s="50">
        <v>101.29949929</v>
      </c>
      <c r="GR20" s="50">
        <v>100.66668283</v>
      </c>
      <c r="GS20" s="50">
        <v>91.830675939999992</v>
      </c>
      <c r="GT20" s="50">
        <f t="shared" si="15"/>
        <v>1190.7976447599999</v>
      </c>
      <c r="GU20" s="50">
        <v>1190.797646</v>
      </c>
      <c r="GV20" s="50">
        <v>99.860340059999999</v>
      </c>
      <c r="GW20" s="50">
        <v>95.10325186</v>
      </c>
      <c r="GX20" s="50">
        <v>90.818549629999993</v>
      </c>
      <c r="GY20" s="50">
        <v>104.91310651999999</v>
      </c>
      <c r="GZ20" s="50">
        <v>112.31231529999999</v>
      </c>
      <c r="HA20" s="50">
        <v>99.439710959999985</v>
      </c>
      <c r="HB20" s="50">
        <v>107.71003675999999</v>
      </c>
      <c r="HC20" s="50">
        <v>114.57613521</v>
      </c>
      <c r="HD20" s="50">
        <v>110.13749369000001</v>
      </c>
      <c r="HE20" s="50">
        <v>106.96070463</v>
      </c>
      <c r="HF20" s="50">
        <v>104.06523453</v>
      </c>
      <c r="HG20" s="50">
        <v>98.886429530000015</v>
      </c>
      <c r="HH20" s="50">
        <f t="shared" si="6"/>
        <v>1244.7833086799999</v>
      </c>
      <c r="HI20" s="50">
        <v>107.47964455</v>
      </c>
      <c r="HJ20" s="50">
        <v>104.03680531000001</v>
      </c>
      <c r="HK20" s="50">
        <v>101.19427547000001</v>
      </c>
      <c r="HL20" s="50">
        <v>117.12522049</v>
      </c>
      <c r="HM20" s="50"/>
      <c r="HN20" s="50"/>
      <c r="HO20" s="50"/>
      <c r="HP20" s="50"/>
      <c r="HQ20" s="50"/>
      <c r="HR20" s="50"/>
      <c r="HS20" s="50"/>
      <c r="HT20" s="50"/>
      <c r="HU20" s="276">
        <f t="shared" si="16"/>
        <v>390.69524799999999</v>
      </c>
      <c r="HV20" s="276">
        <f t="shared" si="17"/>
        <v>429.83594599999998</v>
      </c>
      <c r="HW20" s="277">
        <f t="shared" si="18"/>
        <v>39.140697999999986</v>
      </c>
      <c r="HX20" s="277">
        <f t="shared" si="19"/>
        <v>10.018217063136632</v>
      </c>
    </row>
    <row r="21" spans="1:232" s="12" customFormat="1" ht="20.5">
      <c r="A21" s="314" t="s">
        <v>60</v>
      </c>
      <c r="C21" s="47" t="s">
        <v>61</v>
      </c>
      <c r="D21" s="42">
        <v>121.14587850951332</v>
      </c>
      <c r="E21" s="42">
        <v>106.3021596348342</v>
      </c>
      <c r="F21" s="42">
        <v>65.624531163738396</v>
      </c>
      <c r="G21" s="42">
        <v>64.764678345598483</v>
      </c>
      <c r="H21" s="42">
        <v>12.17144182446315</v>
      </c>
      <c r="I21" s="42">
        <v>9.6298768931309446</v>
      </c>
      <c r="J21" s="42">
        <v>11.315813512729012</v>
      </c>
      <c r="K21" s="42">
        <v>12.403896392166235</v>
      </c>
      <c r="L21" s="42">
        <v>12.390685027404512</v>
      </c>
      <c r="M21" s="42">
        <v>11.896948509114917</v>
      </c>
      <c r="N21" s="42">
        <v>15.636274124791552</v>
      </c>
      <c r="O21" s="42">
        <v>13.537304853131173</v>
      </c>
      <c r="P21" s="42">
        <v>12.592429752818708</v>
      </c>
      <c r="Q21" s="42">
        <v>16.142262992242504</v>
      </c>
      <c r="R21" s="42">
        <v>12.468301261802722</v>
      </c>
      <c r="S21" s="42">
        <v>16.244163379832784</v>
      </c>
      <c r="T21" s="42">
        <v>156.42939852362821</v>
      </c>
      <c r="U21" s="42">
        <v>156.42939425501277</v>
      </c>
      <c r="V21" s="42">
        <v>16.447318171211318</v>
      </c>
      <c r="W21" s="42">
        <v>11.349490042743071</v>
      </c>
      <c r="X21" s="42">
        <v>12.564333726045954</v>
      </c>
      <c r="Y21" s="42">
        <v>14.738372291563508</v>
      </c>
      <c r="Z21" s="42">
        <v>13.577916460350256</v>
      </c>
      <c r="AA21" s="42">
        <v>13.509287084307999</v>
      </c>
      <c r="AB21" s="42">
        <v>17.064978286976171</v>
      </c>
      <c r="AC21" s="42">
        <v>14.51600588499781</v>
      </c>
      <c r="AD21" s="42">
        <v>13.051083943745342</v>
      </c>
      <c r="AE21" s="42">
        <v>18.276952037837006</v>
      </c>
      <c r="AF21" s="42">
        <v>13.754248695226549</v>
      </c>
      <c r="AG21" s="42">
        <v>13.051324409081337</v>
      </c>
      <c r="AH21" s="42">
        <v>171.90131103408632</v>
      </c>
      <c r="AI21" s="42">
        <v>171.90226578107126</v>
      </c>
      <c r="AJ21" s="42">
        <v>18.853768618277641</v>
      </c>
      <c r="AK21" s="42">
        <v>12.799221404545222</v>
      </c>
      <c r="AL21" s="42">
        <v>12.720058508488853</v>
      </c>
      <c r="AM21" s="42">
        <v>16.739224591778079</v>
      </c>
      <c r="AN21" s="42">
        <v>13.902073693376817</v>
      </c>
      <c r="AO21" s="42">
        <v>12.825582950580817</v>
      </c>
      <c r="AP21" s="42">
        <v>18.612169253447618</v>
      </c>
      <c r="AQ21" s="42">
        <v>14.391819056237585</v>
      </c>
      <c r="AR21" s="42">
        <v>13.257178388284641</v>
      </c>
      <c r="AS21" s="42">
        <v>17.938853506809863</v>
      </c>
      <c r="AT21" s="42">
        <v>12.989810814964059</v>
      </c>
      <c r="AU21" s="42">
        <v>14.513359343430032</v>
      </c>
      <c r="AV21" s="42">
        <v>179.54312013022124</v>
      </c>
      <c r="AW21" s="42">
        <v>179.54627036840998</v>
      </c>
      <c r="AX21" s="44">
        <f>AX22+AX23+AX24+AX25+AX26+AX27+AX28+AX29</f>
        <v>19.595948999999997</v>
      </c>
      <c r="AY21" s="44">
        <f>AY22+AY23+AY24+AY25+AY26+AY27+AY28+AY29</f>
        <v>13.177261999999999</v>
      </c>
      <c r="AZ21" s="44">
        <f>AZ22+AZ23+AZ24+AZ25+AZ26+AZ27+AZ28+AZ29</f>
        <v>16.918291</v>
      </c>
      <c r="BA21" s="44">
        <f t="shared" ref="BA21:BI21" si="25">BA22+BA23+BA24+BA25+BA26+BA27+BA28+BA29</f>
        <v>20.892891000000002</v>
      </c>
      <c r="BB21" s="44">
        <f t="shared" si="25"/>
        <v>18.424185999999999</v>
      </c>
      <c r="BC21" s="44">
        <f t="shared" si="25"/>
        <v>16.256131</v>
      </c>
      <c r="BD21" s="44">
        <f t="shared" si="25"/>
        <v>22.181022999999996</v>
      </c>
      <c r="BE21" s="44">
        <f t="shared" si="25"/>
        <v>16.994937</v>
      </c>
      <c r="BF21" s="44">
        <f t="shared" si="25"/>
        <v>17.586183460000001</v>
      </c>
      <c r="BG21" s="44">
        <f t="shared" si="25"/>
        <v>21.58064826</v>
      </c>
      <c r="BH21" s="44">
        <f t="shared" si="25"/>
        <v>15.175831519999999</v>
      </c>
      <c r="BI21" s="44">
        <f t="shared" si="25"/>
        <v>17.735417479999999</v>
      </c>
      <c r="BJ21" s="50">
        <f t="shared" si="1"/>
        <v>216.51875071999999</v>
      </c>
      <c r="BK21" s="44">
        <f>BK22+BK23+BK24+BK25+BK26+BK27+BK28+BK29</f>
        <v>216.58567899999997</v>
      </c>
      <c r="BL21" s="44">
        <f>BL22+BL23+BL24+BL25+BL26+BL27+BL28+BL29</f>
        <v>25.659236199999995</v>
      </c>
      <c r="BM21" s="44">
        <v>16.908378620000001</v>
      </c>
      <c r="BN21" s="44">
        <v>18.789944119999998</v>
      </c>
      <c r="BO21" s="44">
        <v>21.536072100000002</v>
      </c>
      <c r="BP21" s="44">
        <v>17.696208599999999</v>
      </c>
      <c r="BQ21" s="44">
        <v>18.425266729999997</v>
      </c>
      <c r="BR21" s="44">
        <v>23.098015140000001</v>
      </c>
      <c r="BS21" s="44">
        <v>17.381099599999999</v>
      </c>
      <c r="BT21" s="44">
        <v>18.258430660000002</v>
      </c>
      <c r="BU21" s="44">
        <v>22.749630539999998</v>
      </c>
      <c r="BV21" s="44">
        <v>17.423738180000001</v>
      </c>
      <c r="BW21" s="44">
        <v>18.998598570000002</v>
      </c>
      <c r="BX21" s="50">
        <f t="shared" si="4"/>
        <v>236.92461906</v>
      </c>
      <c r="BY21" s="50">
        <f>BY22+BY23+BY24+BY25+BY26+BY27+BY28+BY29</f>
        <v>236.92461112999999</v>
      </c>
      <c r="BZ21" s="50">
        <v>23.152281219999995</v>
      </c>
      <c r="CA21" s="50">
        <v>18.037732739999999</v>
      </c>
      <c r="CB21" s="50">
        <v>18.683069960000001</v>
      </c>
      <c r="CC21" s="50">
        <v>21.717388239999998</v>
      </c>
      <c r="CD21" s="50">
        <v>19.524518649999997</v>
      </c>
      <c r="CE21" s="73">
        <v>18.399829879999999</v>
      </c>
      <c r="CF21" s="50">
        <v>21.786063400000003</v>
      </c>
      <c r="CG21" s="50">
        <v>19.143551309999999</v>
      </c>
      <c r="CH21" s="50">
        <v>17.698364399999999</v>
      </c>
      <c r="CI21" s="50">
        <v>26.326828740000003</v>
      </c>
      <c r="CJ21" s="50">
        <v>17.609816670000001</v>
      </c>
      <c r="CK21" s="50">
        <v>18.580623880000001</v>
      </c>
      <c r="CL21" s="50">
        <f t="shared" si="5"/>
        <v>240.66006909000001</v>
      </c>
      <c r="CM21" s="50">
        <f>CM22+CM23+CM24+CM25+CM26+CM27+CM28+CM29</f>
        <v>240.661789</v>
      </c>
      <c r="CN21" s="50">
        <v>24.381772310000002</v>
      </c>
      <c r="CO21" s="50">
        <v>17.829400230000001</v>
      </c>
      <c r="CP21" s="50">
        <v>19.648707260000002</v>
      </c>
      <c r="CQ21" s="50">
        <v>23.374041979999998</v>
      </c>
      <c r="CR21" s="50">
        <v>19.977516080000001</v>
      </c>
      <c r="CS21" s="50">
        <v>19.729248290000001</v>
      </c>
      <c r="CT21" s="50">
        <v>26.381209990000002</v>
      </c>
      <c r="CU21" s="50">
        <v>20.889586950000002</v>
      </c>
      <c r="CV21" s="50">
        <v>18.787268300000004</v>
      </c>
      <c r="CW21" s="50">
        <v>24.827921389999997</v>
      </c>
      <c r="CX21" s="50">
        <v>18.949494659999999</v>
      </c>
      <c r="CY21" s="50">
        <v>21.00664647</v>
      </c>
      <c r="CZ21" s="50">
        <f t="shared" si="9"/>
        <v>255.78281390999999</v>
      </c>
      <c r="DA21" s="50">
        <f>DA22+DA23+DA24+DA25+DA26+DA27+DA28+DA29</f>
        <v>255.78046799999998</v>
      </c>
      <c r="DB21" s="50">
        <v>31.649661940000005</v>
      </c>
      <c r="DC21" s="50">
        <v>20.265856289999999</v>
      </c>
      <c r="DD21" s="50">
        <v>18.546914870000002</v>
      </c>
      <c r="DE21" s="50">
        <v>23.862079750000003</v>
      </c>
      <c r="DF21" s="50">
        <v>19.674508310000004</v>
      </c>
      <c r="DG21" s="50">
        <v>18.317948309999998</v>
      </c>
      <c r="DH21" s="50">
        <v>24.619368590000004</v>
      </c>
      <c r="DI21" s="50">
        <v>19.734239209999998</v>
      </c>
      <c r="DJ21" s="50">
        <v>17.633327379999997</v>
      </c>
      <c r="DK21" s="50">
        <v>24.27858341</v>
      </c>
      <c r="DL21" s="50">
        <v>17.985963819999995</v>
      </c>
      <c r="DM21" s="50">
        <v>16.79917945</v>
      </c>
      <c r="DN21" s="50">
        <f t="shared" si="20"/>
        <v>253.36763132999999</v>
      </c>
      <c r="DO21" s="50">
        <f>DO22+DO23+DO24+DO25+DO26+DO27+DO28+DO29</f>
        <v>253.36866699999999</v>
      </c>
      <c r="DP21" s="44">
        <v>27.369247730000001</v>
      </c>
      <c r="DQ21" s="50">
        <v>18.30524424</v>
      </c>
      <c r="DR21" s="50">
        <v>19.646732650000001</v>
      </c>
      <c r="DS21" s="50">
        <v>24.349696229999999</v>
      </c>
      <c r="DT21" s="50">
        <v>21.700284710000002</v>
      </c>
      <c r="DU21" s="50">
        <v>16.871710359999998</v>
      </c>
      <c r="DV21" s="50">
        <v>24.609666810000007</v>
      </c>
      <c r="DW21" s="50">
        <v>18.649541079999999</v>
      </c>
      <c r="DX21" s="50">
        <v>18.112288380000003</v>
      </c>
      <c r="DY21" s="50">
        <v>25.450650389999996</v>
      </c>
      <c r="DZ21" s="50">
        <v>16.619905240000001</v>
      </c>
      <c r="EA21" s="50">
        <v>16.760482950000004</v>
      </c>
      <c r="EB21" s="50">
        <f t="shared" si="10"/>
        <v>248.44545077000006</v>
      </c>
      <c r="EC21" s="50">
        <f>EC22+EC23+EC24+EC25+EC26+EC27+EC28+EC29</f>
        <v>248.44544599999998</v>
      </c>
      <c r="ED21" s="50">
        <v>28.727238570000004</v>
      </c>
      <c r="EE21" s="50">
        <v>19.510983969999995</v>
      </c>
      <c r="EF21" s="50">
        <v>19.962012389999998</v>
      </c>
      <c r="EG21" s="50">
        <v>23.167759270000005</v>
      </c>
      <c r="EH21" s="50">
        <v>14.876495989999997</v>
      </c>
      <c r="EI21" s="50">
        <v>14.944839480000001</v>
      </c>
      <c r="EJ21" s="50">
        <v>24.488842990000002</v>
      </c>
      <c r="EK21" s="50">
        <v>18.423643179999996</v>
      </c>
      <c r="EL21" s="44">
        <v>18.31949475</v>
      </c>
      <c r="EM21" s="44">
        <v>25.605153999999999</v>
      </c>
      <c r="EN21" s="44">
        <v>15.819450590000002</v>
      </c>
      <c r="EO21" s="44">
        <v>15.88934763</v>
      </c>
      <c r="EP21" s="50">
        <f t="shared" si="11"/>
        <v>239.73526280999999</v>
      </c>
      <c r="EQ21" s="50">
        <f>EQ22+EQ23+EQ24+EQ25+EQ26+EQ27+EQ28+EQ29</f>
        <v>239.73549300000002</v>
      </c>
      <c r="ER21" s="44">
        <v>25.157316750000003</v>
      </c>
      <c r="ES21" s="44">
        <v>14.929920699999998</v>
      </c>
      <c r="ET21" s="44">
        <v>19.198597329999998</v>
      </c>
      <c r="EU21" s="44">
        <v>27.217435170000002</v>
      </c>
      <c r="EV21" s="44">
        <v>17.102976269999999</v>
      </c>
      <c r="EW21" s="44">
        <v>17.763574039999998</v>
      </c>
      <c r="EX21" s="44">
        <v>30.3005222</v>
      </c>
      <c r="EY21" s="44">
        <v>20.013986540000001</v>
      </c>
      <c r="EZ21" s="44">
        <v>20.152014620000003</v>
      </c>
      <c r="FA21" s="44">
        <v>30.539614199999995</v>
      </c>
      <c r="FB21" s="44">
        <v>19.121389460000003</v>
      </c>
      <c r="FC21" s="44">
        <v>20.615306359999998</v>
      </c>
      <c r="FD21" s="50">
        <f>SUM(ER21:FC21)</f>
        <v>262.11265363999996</v>
      </c>
      <c r="FE21" s="50">
        <f>FE22+FE23+FE24+FE25+FE26+FE27+FE28+FE29</f>
        <v>261.04372600000113</v>
      </c>
      <c r="FF21" s="50">
        <v>37.378506179999995</v>
      </c>
      <c r="FG21" s="50">
        <v>18.631078259999999</v>
      </c>
      <c r="FH21" s="50">
        <v>22.000151810000009</v>
      </c>
      <c r="FI21" s="50">
        <v>32.56325790999999</v>
      </c>
      <c r="FJ21" s="50">
        <v>24.439513349999995</v>
      </c>
      <c r="FK21" s="50">
        <v>23.340439630000006</v>
      </c>
      <c r="FL21" s="50">
        <v>35.012472250000009</v>
      </c>
      <c r="FM21" s="50">
        <v>21.768180000000001</v>
      </c>
      <c r="FN21" s="50">
        <v>20.377492480000004</v>
      </c>
      <c r="FO21" s="50">
        <v>32.557194679999995</v>
      </c>
      <c r="FP21" s="50">
        <v>20.219563609999994</v>
      </c>
      <c r="FQ21" s="50">
        <v>22.365051939999997</v>
      </c>
      <c r="FR21" s="50">
        <f>SUM(FF21:FQ21)</f>
        <v>310.65290209999995</v>
      </c>
      <c r="FS21" s="50">
        <f>FS22+FS23+FS24+FS25+FS26+FS27+FS28+FS29</f>
        <v>311.73786599999528</v>
      </c>
      <c r="FT21" s="50">
        <v>38.444748990000008</v>
      </c>
      <c r="FU21" s="50">
        <v>20.471261070000004</v>
      </c>
      <c r="FV21" s="50">
        <v>23.635041400000002</v>
      </c>
      <c r="FW21" s="50">
        <v>32.289151539999992</v>
      </c>
      <c r="FX21" s="50">
        <v>19.929504879999996</v>
      </c>
      <c r="FY21" s="50">
        <v>20.175462080000003</v>
      </c>
      <c r="FZ21" s="50">
        <v>34.06089071000001</v>
      </c>
      <c r="GA21" s="50">
        <v>21.361496039999999</v>
      </c>
      <c r="GB21" s="50">
        <v>18.604965730000004</v>
      </c>
      <c r="GC21" s="50">
        <v>33.774330209999995</v>
      </c>
      <c r="GD21" s="50">
        <v>18.600061419999999</v>
      </c>
      <c r="GE21" s="50">
        <v>17.987942739999998</v>
      </c>
      <c r="GF21" s="50">
        <f t="shared" si="14"/>
        <v>299.33485680999996</v>
      </c>
      <c r="GG21" s="50">
        <f>GG22+GG23+GG24+GG25+GG26+GG27+GG28+GG29</f>
        <v>299.58042099999778</v>
      </c>
      <c r="GH21" s="50">
        <v>38.805308330000003</v>
      </c>
      <c r="GI21" s="50">
        <v>22.13276488</v>
      </c>
      <c r="GJ21" s="50">
        <v>22.961788769999991</v>
      </c>
      <c r="GK21" s="50">
        <v>36.479003079999991</v>
      </c>
      <c r="GL21" s="50">
        <v>22.8610495</v>
      </c>
      <c r="GM21" s="50">
        <v>20.481530129999996</v>
      </c>
      <c r="GN21" s="50">
        <v>36.608018290000004</v>
      </c>
      <c r="GO21" s="50">
        <v>21.192440770000005</v>
      </c>
      <c r="GP21" s="50">
        <v>20.355204490000006</v>
      </c>
      <c r="GQ21" s="50">
        <v>36.147453739999996</v>
      </c>
      <c r="GR21" s="50">
        <v>20.415472009999998</v>
      </c>
      <c r="GS21" s="50">
        <v>20.05059288</v>
      </c>
      <c r="GT21" s="50">
        <f t="shared" si="15"/>
        <v>318.49062687000003</v>
      </c>
      <c r="GU21" s="50">
        <f>GU22+GU23+GU24+GU25+GU26+GU27+GU28+GU29</f>
        <v>318.49062773000003</v>
      </c>
      <c r="GV21" s="50">
        <v>44.501357709999994</v>
      </c>
      <c r="GW21" s="50">
        <v>22.743197609999999</v>
      </c>
      <c r="GX21" s="50">
        <v>24.174097229999994</v>
      </c>
      <c r="GY21" s="50">
        <v>35.275702540000012</v>
      </c>
      <c r="GZ21" s="50">
        <v>22.845335750000004</v>
      </c>
      <c r="HA21" s="50">
        <v>21.467063570000004</v>
      </c>
      <c r="HB21" s="50">
        <v>37.783663730000001</v>
      </c>
      <c r="HC21" s="50">
        <v>21.6079534</v>
      </c>
      <c r="HD21" s="50">
        <v>22.204457799999997</v>
      </c>
      <c r="HE21" s="50">
        <v>37.27130374</v>
      </c>
      <c r="HF21" s="50">
        <v>21.803109289999998</v>
      </c>
      <c r="HG21" s="50">
        <v>28.533359510000004</v>
      </c>
      <c r="HH21" s="50">
        <f t="shared" si="6"/>
        <v>340.21060188000001</v>
      </c>
      <c r="HI21" s="50">
        <v>45.285997319999993</v>
      </c>
      <c r="HJ21" s="50">
        <v>23.1823762</v>
      </c>
      <c r="HK21" s="50">
        <v>23.543462850000008</v>
      </c>
      <c r="HL21" s="50">
        <v>34.32161962</v>
      </c>
      <c r="HM21" s="50"/>
      <c r="HN21" s="50"/>
      <c r="HO21" s="50"/>
      <c r="HP21" s="50"/>
      <c r="HQ21" s="50"/>
      <c r="HR21" s="50"/>
      <c r="HS21" s="50"/>
      <c r="HT21" s="50"/>
      <c r="HU21" s="276">
        <f t="shared" si="16"/>
        <v>126.694355</v>
      </c>
      <c r="HV21" s="276">
        <f t="shared" si="17"/>
        <v>126.333456</v>
      </c>
      <c r="HW21" s="277">
        <f t="shared" si="18"/>
        <v>-0.36089900000000341</v>
      </c>
      <c r="HX21" s="277">
        <f t="shared" si="19"/>
        <v>-0.28485799544897361</v>
      </c>
    </row>
    <row r="22" spans="1:232" s="12" customFormat="1" ht="20.5">
      <c r="A22" s="314" t="s">
        <v>62</v>
      </c>
      <c r="B22" s="12" t="s">
        <v>63</v>
      </c>
      <c r="C22" s="48" t="s">
        <v>64</v>
      </c>
      <c r="D22" s="42">
        <v>14.769143317340253</v>
      </c>
      <c r="E22" s="42">
        <v>13.319764827747138</v>
      </c>
      <c r="F22" s="42">
        <v>10.494926039123284</v>
      </c>
      <c r="G22" s="42">
        <v>12.434785516303265</v>
      </c>
      <c r="H22" s="42">
        <v>2.7810925948059491</v>
      </c>
      <c r="I22" s="42">
        <v>0.54117506445609309</v>
      </c>
      <c r="J22" s="42">
        <v>0.24699774047956471</v>
      </c>
      <c r="K22" s="42">
        <v>2.4296603320413657</v>
      </c>
      <c r="L22" s="42">
        <v>0.33886688180488445</v>
      </c>
      <c r="M22" s="42">
        <v>0.20647292844093088</v>
      </c>
      <c r="N22" s="42">
        <v>2.966119999317022</v>
      </c>
      <c r="O22" s="42">
        <v>0.46090659700286296</v>
      </c>
      <c r="P22" s="42">
        <v>0.28272320590093403</v>
      </c>
      <c r="Q22" s="42">
        <v>3.7671769084979592</v>
      </c>
      <c r="R22" s="42">
        <v>0.3088727440367442</v>
      </c>
      <c r="S22" s="42">
        <v>0.40740946266668943</v>
      </c>
      <c r="T22" s="42">
        <v>14.737474459451001</v>
      </c>
      <c r="U22" s="42">
        <v>14.737468767963756</v>
      </c>
      <c r="V22" s="42">
        <v>3.8327186527111397</v>
      </c>
      <c r="W22" s="42">
        <v>0.51336788066089545</v>
      </c>
      <c r="X22" s="42">
        <v>0.32343583701857137</v>
      </c>
      <c r="Y22" s="42">
        <v>3.2653029863233556</v>
      </c>
      <c r="Z22" s="42">
        <v>0.47261398626074991</v>
      </c>
      <c r="AA22" s="42">
        <v>0.37101809323794405</v>
      </c>
      <c r="AB22" s="42">
        <v>3.3278823114267992</v>
      </c>
      <c r="AC22" s="42">
        <v>0.38540475011525277</v>
      </c>
      <c r="AD22" s="42">
        <v>0.42026368660394647</v>
      </c>
      <c r="AE22" s="42">
        <v>3.8215234973050811</v>
      </c>
      <c r="AF22" s="42">
        <v>0.4475643280345587</v>
      </c>
      <c r="AG22" s="42">
        <v>0.26688237403315862</v>
      </c>
      <c r="AH22" s="42">
        <v>17.447978383731456</v>
      </c>
      <c r="AI22" s="42">
        <v>17.448933130716387</v>
      </c>
      <c r="AJ22" s="42">
        <v>3.6864531220653265</v>
      </c>
      <c r="AK22" s="42">
        <v>1.6103309030682809</v>
      </c>
      <c r="AL22" s="42">
        <v>0.30099714856489157</v>
      </c>
      <c r="AM22" s="42">
        <v>3.2830590036482437</v>
      </c>
      <c r="AN22" s="42">
        <v>0.3588397334107376</v>
      </c>
      <c r="AO22" s="42">
        <v>0.24474675727514356</v>
      </c>
      <c r="AP22" s="42">
        <v>3.8829431818828577</v>
      </c>
      <c r="AQ22" s="42">
        <v>0.50366247204056891</v>
      </c>
      <c r="AR22" s="42">
        <v>0.20560924525187677</v>
      </c>
      <c r="AS22" s="42">
        <v>4.3058619472854449</v>
      </c>
      <c r="AT22" s="42">
        <v>0.39580594305097871</v>
      </c>
      <c r="AU22" s="42">
        <v>0.31491994923193378</v>
      </c>
      <c r="AV22" s="42">
        <v>19.093229406776285</v>
      </c>
      <c r="AW22" s="42">
        <v>19.096379644965026</v>
      </c>
      <c r="AX22" s="44">
        <v>4.5687110000000004</v>
      </c>
      <c r="AY22" s="44">
        <v>0.52248700000000003</v>
      </c>
      <c r="AZ22" s="44">
        <v>0.33850400000000003</v>
      </c>
      <c r="BA22" s="44">
        <v>3.6549710000000002</v>
      </c>
      <c r="BB22" s="44">
        <v>0.48782300000000001</v>
      </c>
      <c r="BC22" s="44">
        <v>0.31822</v>
      </c>
      <c r="BD22" s="44">
        <v>3.827156</v>
      </c>
      <c r="BE22" s="44">
        <v>0.66386500000000004</v>
      </c>
      <c r="BF22" s="44">
        <v>0.33790745</v>
      </c>
      <c r="BG22" s="44">
        <v>4.5573265699999999</v>
      </c>
      <c r="BH22" s="44">
        <v>0.40930061000000001</v>
      </c>
      <c r="BI22" s="44">
        <v>0.35651445000000004</v>
      </c>
      <c r="BJ22" s="50">
        <f t="shared" si="1"/>
        <v>20.042786079999999</v>
      </c>
      <c r="BK22" s="44">
        <v>20.109712999999999</v>
      </c>
      <c r="BL22" s="44">
        <v>5.3009437100000003</v>
      </c>
      <c r="BM22" s="44">
        <v>0.31632542999999969</v>
      </c>
      <c r="BN22" s="44">
        <v>0.37146648999999998</v>
      </c>
      <c r="BO22" s="44">
        <v>3.8904395200000006</v>
      </c>
      <c r="BP22" s="44">
        <v>0.34369852000000001</v>
      </c>
      <c r="BQ22" s="44">
        <v>0.34444717000000002</v>
      </c>
      <c r="BR22" s="44">
        <v>4.4001744299999999</v>
      </c>
      <c r="BS22" s="44">
        <v>0.4649806799999997</v>
      </c>
      <c r="BT22" s="44">
        <v>0.37130856000000001</v>
      </c>
      <c r="BU22" s="44">
        <v>4.7277891599999995</v>
      </c>
      <c r="BV22" s="44">
        <v>0.75300586999999963</v>
      </c>
      <c r="BW22" s="44">
        <v>0.42817952000000004</v>
      </c>
      <c r="BX22" s="50">
        <f t="shared" si="4"/>
        <v>21.71275906</v>
      </c>
      <c r="BY22" s="50">
        <v>21.712758000000001</v>
      </c>
      <c r="BZ22" s="50">
        <v>4.7401987800000001</v>
      </c>
      <c r="CA22" s="50">
        <v>0.36129202999999982</v>
      </c>
      <c r="CB22" s="50">
        <v>0.29959180000000002</v>
      </c>
      <c r="CC22" s="50">
        <v>3.3613887500000001</v>
      </c>
      <c r="CD22" s="50">
        <v>0.39670251000000001</v>
      </c>
      <c r="CE22" s="73">
        <v>0.29757446999999998</v>
      </c>
      <c r="CF22" s="50">
        <v>3.5517825499999995</v>
      </c>
      <c r="CG22" s="50">
        <v>0.30960453999999982</v>
      </c>
      <c r="CH22" s="50">
        <v>0.30855274999999993</v>
      </c>
      <c r="CI22" s="50">
        <v>3.6154030200000005</v>
      </c>
      <c r="CJ22" s="50">
        <v>0.26509271000000018</v>
      </c>
      <c r="CK22" s="50">
        <v>0.35292499999999999</v>
      </c>
      <c r="CL22" s="50">
        <f t="shared" si="5"/>
        <v>17.860108910000001</v>
      </c>
      <c r="CM22" s="50">
        <v>17.861825</v>
      </c>
      <c r="CN22" s="50">
        <v>4.4416543700000002</v>
      </c>
      <c r="CO22" s="50">
        <v>0.49009468000000039</v>
      </c>
      <c r="CP22" s="50">
        <v>0.44924621000000003</v>
      </c>
      <c r="CQ22" s="50">
        <v>5.49047456</v>
      </c>
      <c r="CR22" s="50">
        <v>0.40378951999999957</v>
      </c>
      <c r="CS22" s="50">
        <v>0.45805570999999989</v>
      </c>
      <c r="CT22" s="50">
        <v>6.0616831500000004</v>
      </c>
      <c r="CU22" s="50">
        <v>0.56470366000000016</v>
      </c>
      <c r="CV22" s="50">
        <v>0.41324957000000001</v>
      </c>
      <c r="CW22" s="50">
        <v>5.67423828</v>
      </c>
      <c r="CX22" s="50">
        <v>0.60009122999999998</v>
      </c>
      <c r="CY22" s="50">
        <v>0.58059421</v>
      </c>
      <c r="CZ22" s="50">
        <f t="shared" si="9"/>
        <v>25.627875150000005</v>
      </c>
      <c r="DA22" s="50">
        <v>25.625529</v>
      </c>
      <c r="DB22" s="50">
        <v>8.1965167300000008</v>
      </c>
      <c r="DC22" s="50">
        <v>0.53128395000000017</v>
      </c>
      <c r="DD22" s="50">
        <v>0.43789457999999998</v>
      </c>
      <c r="DE22" s="50">
        <v>6.03608498</v>
      </c>
      <c r="DF22" s="50">
        <v>0.53069328000000004</v>
      </c>
      <c r="DG22" s="50">
        <v>0.42979878999999999</v>
      </c>
      <c r="DH22" s="50">
        <v>6.3931508900000003</v>
      </c>
      <c r="DI22" s="50">
        <v>0.72655465999999991</v>
      </c>
      <c r="DJ22" s="50">
        <v>0.46454680999999998</v>
      </c>
      <c r="DK22" s="50">
        <v>5.3102384499999991</v>
      </c>
      <c r="DL22" s="50">
        <v>0.62444419999999967</v>
      </c>
      <c r="DM22" s="50">
        <v>0.45667947000000003</v>
      </c>
      <c r="DN22" s="50">
        <f t="shared" si="20"/>
        <v>30.137886790000007</v>
      </c>
      <c r="DO22" s="50">
        <v>30.138922999999998</v>
      </c>
      <c r="DP22" s="44">
        <v>6.7744733400000001</v>
      </c>
      <c r="DQ22" s="50">
        <v>0.69428952999999982</v>
      </c>
      <c r="DR22" s="50">
        <v>0.56269689000000001</v>
      </c>
      <c r="DS22" s="50">
        <v>5.6055894299999993</v>
      </c>
      <c r="DT22" s="50">
        <v>0.86771831000000021</v>
      </c>
      <c r="DU22" s="50">
        <v>0.53244689000000001</v>
      </c>
      <c r="DV22" s="50">
        <v>6.4503085900000006</v>
      </c>
      <c r="DW22" s="50">
        <v>0.65154066999999993</v>
      </c>
      <c r="DX22" s="50">
        <v>0.64156579000000002</v>
      </c>
      <c r="DY22" s="50">
        <v>6.5220440600000007</v>
      </c>
      <c r="DZ22" s="50">
        <v>0.36930220000000019</v>
      </c>
      <c r="EA22" s="50">
        <v>0.77646304999999993</v>
      </c>
      <c r="EB22" s="50">
        <f t="shared" si="10"/>
        <v>30.448438750000005</v>
      </c>
      <c r="EC22" s="50">
        <v>30.448436000000001</v>
      </c>
      <c r="ED22" s="50">
        <v>7.2769045600000011</v>
      </c>
      <c r="EE22" s="50">
        <v>0.67760794999999974</v>
      </c>
      <c r="EF22" s="50">
        <v>0.45840578999999998</v>
      </c>
      <c r="EG22" s="50">
        <v>7.4951128300000001</v>
      </c>
      <c r="EH22" s="50">
        <v>0.49677853000000005</v>
      </c>
      <c r="EI22" s="50">
        <v>0.53472742999999989</v>
      </c>
      <c r="EJ22" s="50">
        <v>7.0743803199999995</v>
      </c>
      <c r="EK22" s="50">
        <v>0.61162995999999992</v>
      </c>
      <c r="EL22" s="44">
        <v>0.56484897999999995</v>
      </c>
      <c r="EM22" s="44">
        <v>7.5205329900000004</v>
      </c>
      <c r="EN22" s="44">
        <v>0.63111487000000011</v>
      </c>
      <c r="EO22" s="44">
        <v>0.87630711999999999</v>
      </c>
      <c r="EP22" s="50">
        <f t="shared" si="11"/>
        <v>34.218351329999997</v>
      </c>
      <c r="EQ22" s="198">
        <v>34.218581</v>
      </c>
      <c r="ER22" s="44">
        <v>7.7728837000000013</v>
      </c>
      <c r="ES22" s="44">
        <v>0.40173434999999985</v>
      </c>
      <c r="ET22" s="44">
        <v>1.10161485</v>
      </c>
      <c r="EU22" s="44">
        <v>9.1102004399999998</v>
      </c>
      <c r="EV22" s="44">
        <v>0.51145153999999993</v>
      </c>
      <c r="EW22" s="44">
        <v>0.45809545000000002</v>
      </c>
      <c r="EX22" s="44">
        <v>11.542488000000001</v>
      </c>
      <c r="EY22" s="44">
        <v>0.47863900000000276</v>
      </c>
      <c r="EZ22" s="44">
        <v>0.40360726000000002</v>
      </c>
      <c r="FA22" s="44">
        <v>10.238543</v>
      </c>
      <c r="FB22" s="44">
        <v>0.51707502000000005</v>
      </c>
      <c r="FC22" s="44">
        <v>1.1034828699999999</v>
      </c>
      <c r="FD22" s="50">
        <f>SUM(ER22:FC22)</f>
        <v>43.639815480000003</v>
      </c>
      <c r="FE22" s="50">
        <v>43.639798999999996</v>
      </c>
      <c r="FF22" s="50">
        <v>12.438750719999998</v>
      </c>
      <c r="FG22" s="50">
        <v>0.72894481000000011</v>
      </c>
      <c r="FH22" s="50">
        <v>0.55321666999999997</v>
      </c>
      <c r="FI22" s="50">
        <v>11.319230840000001</v>
      </c>
      <c r="FJ22" s="50">
        <v>0.60971744999999999</v>
      </c>
      <c r="FK22" s="50">
        <v>0.37633141000000009</v>
      </c>
      <c r="FL22" s="50">
        <v>13.488729020000001</v>
      </c>
      <c r="FM22" s="50">
        <v>0.58705978999999986</v>
      </c>
      <c r="FN22" s="50">
        <v>0.38482487999999992</v>
      </c>
      <c r="FO22" s="50">
        <v>13.188069909999998</v>
      </c>
      <c r="FP22" s="50">
        <v>0.49569657999999972</v>
      </c>
      <c r="FQ22" s="50">
        <v>0.22254030000000002</v>
      </c>
      <c r="FR22" s="50">
        <f>SUM(FF22:FQ22)</f>
        <v>54.393112379999984</v>
      </c>
      <c r="FS22" s="50">
        <v>54.393112000000002</v>
      </c>
      <c r="FT22" s="50">
        <v>14.662791390000001</v>
      </c>
      <c r="FU22" s="50">
        <v>0.99447575999999982</v>
      </c>
      <c r="FV22" s="50">
        <v>0.3678689200000001</v>
      </c>
      <c r="FW22" s="50">
        <v>14.15280031</v>
      </c>
      <c r="FX22" s="50">
        <v>0.40257749000000009</v>
      </c>
      <c r="FY22" s="50">
        <v>0.55701860000000003</v>
      </c>
      <c r="FZ22" s="50">
        <v>14.41284257</v>
      </c>
      <c r="GA22" s="50">
        <v>0.60179818999999979</v>
      </c>
      <c r="GB22" s="50">
        <v>0.36881679999999994</v>
      </c>
      <c r="GC22" s="50">
        <v>14.308274910000002</v>
      </c>
      <c r="GD22" s="50">
        <v>0.62503926000000032</v>
      </c>
      <c r="GE22" s="50">
        <v>0.40809999999999996</v>
      </c>
      <c r="GF22" s="50">
        <f t="shared" si="14"/>
        <v>61.862404199999993</v>
      </c>
      <c r="GG22" s="50">
        <v>61.862403</v>
      </c>
      <c r="GH22" s="50">
        <v>15.492366779999999</v>
      </c>
      <c r="GI22" s="50">
        <v>1.4646782199999993</v>
      </c>
      <c r="GJ22" s="50">
        <v>0.78494253999999997</v>
      </c>
      <c r="GK22" s="50">
        <v>14.109389849999999</v>
      </c>
      <c r="GL22" s="50">
        <v>1.3657102500000007</v>
      </c>
      <c r="GM22" s="50">
        <v>0.74074125000000002</v>
      </c>
      <c r="GN22" s="50">
        <v>14.46184834</v>
      </c>
      <c r="GO22" s="50">
        <v>1.1094947499999996</v>
      </c>
      <c r="GP22" s="50">
        <v>0.85238565999999993</v>
      </c>
      <c r="GQ22" s="50">
        <v>14.2645474</v>
      </c>
      <c r="GR22" s="50">
        <v>0.82096986999999988</v>
      </c>
      <c r="GS22" s="50">
        <v>0.62401244</v>
      </c>
      <c r="GT22" s="50">
        <f t="shared" si="15"/>
        <v>66.091087349999995</v>
      </c>
      <c r="GU22" s="50">
        <v>66.091087999999999</v>
      </c>
      <c r="GV22" s="50">
        <v>14.544301489999999</v>
      </c>
      <c r="GW22" s="50">
        <v>1.3768276999999998</v>
      </c>
      <c r="GX22" s="50">
        <v>1.0272823800000002</v>
      </c>
      <c r="GY22" s="50">
        <v>11.84478676</v>
      </c>
      <c r="GZ22" s="50">
        <v>0.85890759000000028</v>
      </c>
      <c r="HA22" s="50">
        <v>0.70985907000000004</v>
      </c>
      <c r="HB22" s="50">
        <v>12.989953250000001</v>
      </c>
      <c r="HC22" s="50">
        <v>0.8060552000000003</v>
      </c>
      <c r="HD22" s="50">
        <v>0.72650956</v>
      </c>
      <c r="HE22" s="50">
        <v>14.942572589999999</v>
      </c>
      <c r="HF22" s="50">
        <v>0.87989549999999905</v>
      </c>
      <c r="HG22" s="50">
        <v>0.56311390999999988</v>
      </c>
      <c r="HH22" s="50">
        <f t="shared" si="6"/>
        <v>61.270064999999988</v>
      </c>
      <c r="HI22" s="50">
        <v>15.100081590000002</v>
      </c>
      <c r="HJ22" s="50">
        <v>1.171686</v>
      </c>
      <c r="HK22" s="50">
        <v>0.82177680000000008</v>
      </c>
      <c r="HL22" s="50">
        <v>10.962653240000002</v>
      </c>
      <c r="HM22" s="50"/>
      <c r="HN22" s="50"/>
      <c r="HO22" s="50"/>
      <c r="HP22" s="50"/>
      <c r="HQ22" s="50"/>
      <c r="HR22" s="50"/>
      <c r="HS22" s="50"/>
      <c r="HT22" s="50"/>
      <c r="HU22" s="276">
        <f>ROUND(SUM(GV22:GY22),6)</f>
        <v>28.793198</v>
      </c>
      <c r="HV22" s="276">
        <f t="shared" si="17"/>
        <v>28.056197999999998</v>
      </c>
      <c r="HW22" s="277">
        <f t="shared" si="18"/>
        <v>-0.73700000000000188</v>
      </c>
      <c r="HX22" s="277">
        <f t="shared" si="19"/>
        <v>-2.5596323131595256</v>
      </c>
    </row>
    <row r="23" spans="1:232" s="12" customFormat="1" ht="20.5">
      <c r="A23" s="314" t="s">
        <v>65</v>
      </c>
      <c r="B23" s="12" t="s">
        <v>66</v>
      </c>
      <c r="C23" s="77" t="s">
        <v>67</v>
      </c>
      <c r="D23" s="42">
        <v>42.23623940671937</v>
      </c>
      <c r="E23" s="42">
        <v>40.716827166606905</v>
      </c>
      <c r="F23" s="42">
        <v>29.105209987421816</v>
      </c>
      <c r="G23" s="42">
        <v>21.757152776592054</v>
      </c>
      <c r="H23" s="42">
        <v>1.7958933073801513</v>
      </c>
      <c r="I23" s="42">
        <v>1.8167995628937796</v>
      </c>
      <c r="J23" s="42">
        <v>1.7562492529922995</v>
      </c>
      <c r="K23" s="42">
        <v>1.7999328404505381</v>
      </c>
      <c r="L23" s="42">
        <v>1.8344787451408928</v>
      </c>
      <c r="M23" s="42">
        <v>1.8224455182383708</v>
      </c>
      <c r="N23" s="42">
        <v>1.9699788276674581</v>
      </c>
      <c r="O23" s="42">
        <v>2.018601203180403</v>
      </c>
      <c r="P23" s="42">
        <v>1.9851110693735383</v>
      </c>
      <c r="Q23" s="42">
        <v>2.0101621504715399</v>
      </c>
      <c r="R23" s="42">
        <v>2.0222622523491616</v>
      </c>
      <c r="S23" s="42">
        <v>2.050114968042299</v>
      </c>
      <c r="T23" s="42">
        <v>22.882029698180432</v>
      </c>
      <c r="U23" s="42">
        <v>22.88203112105224</v>
      </c>
      <c r="V23" s="42">
        <v>2.0907095007996537</v>
      </c>
      <c r="W23" s="42">
        <v>2.3312459803871346</v>
      </c>
      <c r="X23" s="42">
        <v>2.3107054029288392</v>
      </c>
      <c r="Y23" s="42">
        <v>2.3432977046231951</v>
      </c>
      <c r="Z23" s="42">
        <v>2.3345470429878032</v>
      </c>
      <c r="AA23" s="42">
        <v>2.3354334921258273</v>
      </c>
      <c r="AB23" s="42">
        <v>2.3174057062851094</v>
      </c>
      <c r="AC23" s="42">
        <v>2.3308134273567029</v>
      </c>
      <c r="AD23" s="42">
        <v>2.3486861201700617</v>
      </c>
      <c r="AE23" s="42">
        <v>2.3636518858742979</v>
      </c>
      <c r="AF23" s="42">
        <v>2.4101427994149152</v>
      </c>
      <c r="AG23" s="42">
        <v>2.4161843131228622</v>
      </c>
      <c r="AH23" s="42">
        <v>27.932823376076399</v>
      </c>
      <c r="AI23" s="42">
        <v>27.932823376076406</v>
      </c>
      <c r="AJ23" s="42">
        <v>2.4104302195206628</v>
      </c>
      <c r="AK23" s="42">
        <v>2.4200815590121856</v>
      </c>
      <c r="AL23" s="42">
        <v>2.4267021815470602</v>
      </c>
      <c r="AM23" s="42">
        <v>2.457158752653656</v>
      </c>
      <c r="AN23" s="42">
        <v>2.435475609131422</v>
      </c>
      <c r="AO23" s="42">
        <v>2.4405396099054641</v>
      </c>
      <c r="AP23" s="42">
        <v>2.4086487840137507</v>
      </c>
      <c r="AQ23" s="42">
        <v>2.7388333020301534</v>
      </c>
      <c r="AR23" s="42">
        <v>2.2787163988821919</v>
      </c>
      <c r="AS23" s="42">
        <v>2.2829850143140904</v>
      </c>
      <c r="AT23" s="42">
        <v>2.4287582313134246</v>
      </c>
      <c r="AU23" s="42">
        <v>2.4580267044581419</v>
      </c>
      <c r="AV23" s="42">
        <v>29.186356366782203</v>
      </c>
      <c r="AW23" s="42">
        <v>29.186356366782206</v>
      </c>
      <c r="AX23" s="44">
        <v>2.493849</v>
      </c>
      <c r="AY23" s="44">
        <v>2.472963</v>
      </c>
      <c r="AZ23" s="44">
        <v>2.4440369999999998</v>
      </c>
      <c r="BA23" s="44">
        <v>2.495117</v>
      </c>
      <c r="BB23" s="44">
        <v>3.3736999999999999</v>
      </c>
      <c r="BC23" s="44">
        <v>2.00373</v>
      </c>
      <c r="BD23" s="44">
        <v>2.1402030000000001</v>
      </c>
      <c r="BE23" s="44">
        <v>2.5353129999999999</v>
      </c>
      <c r="BF23" s="44">
        <v>2.54337875</v>
      </c>
      <c r="BG23" s="44">
        <v>2.5480018200000001</v>
      </c>
      <c r="BH23" s="44">
        <v>2.5782370100000001</v>
      </c>
      <c r="BI23" s="44">
        <v>2.5869849199999999</v>
      </c>
      <c r="BJ23" s="50">
        <f t="shared" si="1"/>
        <v>30.215514499999994</v>
      </c>
      <c r="BK23" s="44">
        <f>21.061904+2.129934+7.023678</f>
        <v>30.215515999999997</v>
      </c>
      <c r="BL23" s="44">
        <v>2.6128142099999998</v>
      </c>
      <c r="BM23" s="44">
        <v>2.6067647099999998</v>
      </c>
      <c r="BN23" s="44">
        <v>2.5692515199999999</v>
      </c>
      <c r="BO23" s="44">
        <v>2.5865775300000005</v>
      </c>
      <c r="BP23" s="44">
        <v>2.6059465499999996</v>
      </c>
      <c r="BQ23" s="44">
        <v>2.6688232699999999</v>
      </c>
      <c r="BR23" s="44">
        <v>2.6027156900000001</v>
      </c>
      <c r="BS23" s="44">
        <v>2.6172688899999996</v>
      </c>
      <c r="BT23" s="44">
        <v>2.6471669200000001</v>
      </c>
      <c r="BU23" s="44">
        <v>2.7059949599999999</v>
      </c>
      <c r="BV23" s="44">
        <v>2.7135365300000003</v>
      </c>
      <c r="BW23" s="44">
        <v>2.7877000000000001</v>
      </c>
      <c r="BX23" s="50">
        <f t="shared" si="4"/>
        <v>31.724560779999997</v>
      </c>
      <c r="BY23" s="50">
        <f>21.993503+2.410503+7.320548</f>
        <v>31.724553999999998</v>
      </c>
      <c r="BZ23" s="50">
        <v>2.79821601</v>
      </c>
      <c r="CA23" s="50">
        <v>2.83480906</v>
      </c>
      <c r="CB23" s="50">
        <v>2.8058832499999999</v>
      </c>
      <c r="CC23" s="50">
        <v>2.87108075</v>
      </c>
      <c r="CD23" s="50">
        <v>2.8453581899999998</v>
      </c>
      <c r="CE23" s="73">
        <v>2.8330232800000004</v>
      </c>
      <c r="CF23" s="50">
        <v>2.8842675600000001</v>
      </c>
      <c r="CG23" s="50">
        <v>2.89237579</v>
      </c>
      <c r="CH23" s="50">
        <v>2.8892129600000001</v>
      </c>
      <c r="CI23" s="50">
        <v>2.9177250299999997</v>
      </c>
      <c r="CJ23" s="50">
        <v>3.0366209700000004</v>
      </c>
      <c r="CK23" s="50">
        <v>2.8013982800000004</v>
      </c>
      <c r="CL23" s="50">
        <f>SUM(BZ23:CK23)</f>
        <v>34.409971130000002</v>
      </c>
      <c r="CM23" s="50">
        <v>34.409973999999998</v>
      </c>
      <c r="CN23" s="50">
        <v>3.0463066099999998</v>
      </c>
      <c r="CO23" s="50">
        <v>3.0230187700000002</v>
      </c>
      <c r="CP23" s="50">
        <v>2.9759184700000003</v>
      </c>
      <c r="CQ23" s="50">
        <v>3.0723192999999998</v>
      </c>
      <c r="CR23" s="50">
        <v>3.0100267400000003</v>
      </c>
      <c r="CS23" s="50">
        <v>3.0247228100000001</v>
      </c>
      <c r="CT23" s="50">
        <v>2.9766404900000003</v>
      </c>
      <c r="CU23" s="50">
        <v>2.9999710099999999</v>
      </c>
      <c r="CV23" s="50">
        <v>3.0246986600000003</v>
      </c>
      <c r="CW23" s="50">
        <v>3.0431262499999998</v>
      </c>
      <c r="CX23" s="50">
        <v>3.0777956800000004</v>
      </c>
      <c r="CY23" s="50">
        <v>3.0665307199999998</v>
      </c>
      <c r="CZ23" s="50">
        <f t="shared" si="9"/>
        <v>36.34107551000001</v>
      </c>
      <c r="DA23" s="50">
        <v>36.341075000000004</v>
      </c>
      <c r="DB23" s="50">
        <v>3.1564793300000002</v>
      </c>
      <c r="DC23" s="50">
        <v>3.8216919899999997</v>
      </c>
      <c r="DD23" s="50">
        <v>3.6895262899999999</v>
      </c>
      <c r="DE23" s="50">
        <v>3.6598442600000003</v>
      </c>
      <c r="DF23" s="50">
        <v>3.6766418299999999</v>
      </c>
      <c r="DG23" s="50">
        <v>3.7144754999999998</v>
      </c>
      <c r="DH23" s="50">
        <v>3.7502459899999998</v>
      </c>
      <c r="DI23" s="50">
        <v>3.7494017999999998</v>
      </c>
      <c r="DJ23" s="50">
        <v>3.7408038100000001</v>
      </c>
      <c r="DK23" s="50">
        <v>3.7250857100000001</v>
      </c>
      <c r="DL23" s="50">
        <v>3.8756857200000003</v>
      </c>
      <c r="DM23" s="50">
        <v>3.8309006700000001</v>
      </c>
      <c r="DN23" s="50">
        <f t="shared" si="20"/>
        <v>44.390782899999998</v>
      </c>
      <c r="DO23" s="50">
        <v>44.390782000000002</v>
      </c>
      <c r="DP23" s="44">
        <v>3.8812798399999999</v>
      </c>
      <c r="DQ23" s="50">
        <v>4.1092738600000001</v>
      </c>
      <c r="DR23" s="50">
        <v>3.8248601199999999</v>
      </c>
      <c r="DS23" s="50">
        <v>3.8810731600000001</v>
      </c>
      <c r="DT23" s="50">
        <v>6.1089958600000003</v>
      </c>
      <c r="DU23" s="50">
        <v>3.0813868499999995</v>
      </c>
      <c r="DV23" s="50">
        <v>2.6899063500000002</v>
      </c>
      <c r="DW23" s="50">
        <v>3.6270542699999999</v>
      </c>
      <c r="DX23" s="50">
        <v>3.7620614000000003</v>
      </c>
      <c r="DY23" s="50">
        <v>3.89273537</v>
      </c>
      <c r="DZ23" s="50">
        <v>4.0092131700000007</v>
      </c>
      <c r="EA23" s="50">
        <v>4.0283930300000002</v>
      </c>
      <c r="EB23" s="50">
        <f t="shared" si="10"/>
        <v>46.89623327999999</v>
      </c>
      <c r="EC23" s="50">
        <f>34.192568+3.097962+9.605701</f>
        <v>46.896231</v>
      </c>
      <c r="ED23" s="50">
        <v>4.0356087</v>
      </c>
      <c r="EE23" s="50">
        <v>4.7703950199999996</v>
      </c>
      <c r="EF23" s="50">
        <v>4.5554552099999999</v>
      </c>
      <c r="EG23" s="50">
        <v>2.4011812400000001</v>
      </c>
      <c r="EH23" s="50">
        <v>0.38460512000000002</v>
      </c>
      <c r="EI23" s="50">
        <v>0.30137730000000001</v>
      </c>
      <c r="EJ23" s="50">
        <v>1.62420056</v>
      </c>
      <c r="EK23" s="50">
        <v>4.0070009100000004</v>
      </c>
      <c r="EL23" s="44">
        <v>3.9232376800000002</v>
      </c>
      <c r="EM23" s="44">
        <v>3.81011699</v>
      </c>
      <c r="EN23" s="44">
        <v>2.6292137000000002</v>
      </c>
      <c r="EO23" s="44">
        <v>1.33970382</v>
      </c>
      <c r="EP23" s="50">
        <f t="shared" si="11"/>
        <v>33.782096249999995</v>
      </c>
      <c r="EQ23" s="198">
        <v>33.782096000000003</v>
      </c>
      <c r="ER23" s="50">
        <v>1.16969992</v>
      </c>
      <c r="ES23" s="44">
        <v>0.93958945999999999</v>
      </c>
      <c r="ET23" s="44">
        <v>1.04082963</v>
      </c>
      <c r="EU23" s="44">
        <v>1.2719098500000001</v>
      </c>
      <c r="EV23" s="44">
        <v>1.13211453</v>
      </c>
      <c r="EW23" s="44">
        <v>1.4728905999999999</v>
      </c>
      <c r="EX23" s="44">
        <v>1.25853649</v>
      </c>
      <c r="EY23" s="44">
        <v>2.5958959900000003</v>
      </c>
      <c r="EZ23" s="44">
        <v>3.1028852000000002</v>
      </c>
      <c r="FA23" s="44">
        <v>2.8216834199999998</v>
      </c>
      <c r="FB23" s="44">
        <v>1.9333246300000002</v>
      </c>
      <c r="FC23" s="44">
        <v>1.4422227700000001</v>
      </c>
      <c r="FD23" s="50">
        <f t="shared" si="12"/>
        <v>20.181582490000004</v>
      </c>
      <c r="FE23" s="45">
        <v>19.112684000001121</v>
      </c>
      <c r="FF23" s="50">
        <v>1.3900595800000002</v>
      </c>
      <c r="FG23" s="50">
        <v>1.4302328600000001</v>
      </c>
      <c r="FH23" s="50">
        <v>1.6153491799999999</v>
      </c>
      <c r="FI23" s="50">
        <v>3.5112829500000005</v>
      </c>
      <c r="FJ23" s="50">
        <v>3.7989472600000003</v>
      </c>
      <c r="FK23" s="50">
        <v>3.9203604599999999</v>
      </c>
      <c r="FL23" s="50">
        <v>3.8300700399999998</v>
      </c>
      <c r="FM23" s="50">
        <v>3.9409834799999999</v>
      </c>
      <c r="FN23" s="50">
        <v>3.8959085299999998</v>
      </c>
      <c r="FO23" s="50">
        <v>3.8581732099999999</v>
      </c>
      <c r="FP23" s="50">
        <v>4.1825786099999993</v>
      </c>
      <c r="FQ23" s="50">
        <v>4.1326093799999999</v>
      </c>
      <c r="FR23" s="50">
        <f>SUM(FF23:FQ23)</f>
        <v>39.506555539999994</v>
      </c>
      <c r="FS23" s="45">
        <v>40.591713999995243</v>
      </c>
      <c r="FT23" s="50">
        <v>4.1267199899999998</v>
      </c>
      <c r="FU23" s="50">
        <v>4.1022077599999998</v>
      </c>
      <c r="FV23" s="50">
        <v>4.3868094500000003</v>
      </c>
      <c r="FW23" s="50">
        <v>4.0923370000000006</v>
      </c>
      <c r="FX23" s="50">
        <v>3.9622869400000003</v>
      </c>
      <c r="FY23" s="50">
        <v>3.74844556</v>
      </c>
      <c r="FZ23" s="50">
        <v>3.8462206399999999</v>
      </c>
      <c r="GA23" s="50">
        <v>4.0296679500000003</v>
      </c>
      <c r="GB23" s="50">
        <v>3.9600103099999999</v>
      </c>
      <c r="GC23" s="50">
        <v>4.0125213499999992</v>
      </c>
      <c r="GD23" s="50">
        <v>3.7932347100000001</v>
      </c>
      <c r="GE23" s="50">
        <v>3.73235151</v>
      </c>
      <c r="GF23" s="50">
        <f t="shared" si="14"/>
        <v>47.792813170000009</v>
      </c>
      <c r="GG23" s="50">
        <v>48.03837999999778</v>
      </c>
      <c r="GH23" s="50">
        <v>4.3823431899999994</v>
      </c>
      <c r="GI23" s="50">
        <v>4.6322543500000011</v>
      </c>
      <c r="GJ23" s="50">
        <v>4.4527363099999997</v>
      </c>
      <c r="GK23" s="50">
        <v>4.6323507099999999</v>
      </c>
      <c r="GL23" s="50">
        <v>4.6502447599999996</v>
      </c>
      <c r="GM23" s="50">
        <v>4.6604047200000007</v>
      </c>
      <c r="GN23" s="50">
        <v>4.6645785700000006</v>
      </c>
      <c r="GO23" s="50">
        <v>4.3380460599999999</v>
      </c>
      <c r="GP23" s="50">
        <v>4.372357420000001</v>
      </c>
      <c r="GQ23" s="50">
        <v>4.6149888800000003</v>
      </c>
      <c r="GR23" s="50">
        <v>4.4270147499999997</v>
      </c>
      <c r="GS23" s="50">
        <v>4.5413680100000002</v>
      </c>
      <c r="GT23" s="50">
        <f t="shared" si="15"/>
        <v>54.368687730000005</v>
      </c>
      <c r="GU23" s="50">
        <v>54.368687730000005</v>
      </c>
      <c r="GV23" s="50">
        <v>4.7613161100000001</v>
      </c>
      <c r="GW23" s="50">
        <v>4.3723426499999993</v>
      </c>
      <c r="GX23" s="50">
        <v>4.4711910399999999</v>
      </c>
      <c r="GY23" s="50">
        <v>4.85218902</v>
      </c>
      <c r="GZ23" s="50">
        <v>4.7718722600000003</v>
      </c>
      <c r="HA23" s="50">
        <v>4.6093752599999993</v>
      </c>
      <c r="HB23" s="50">
        <v>4.5202773600000006</v>
      </c>
      <c r="HC23" s="50">
        <v>4.4578876799999998</v>
      </c>
      <c r="HD23" s="50">
        <v>4.6407993799999998</v>
      </c>
      <c r="HE23" s="50">
        <v>4.5307518099999999</v>
      </c>
      <c r="HF23" s="50">
        <v>4.7806631099999999</v>
      </c>
      <c r="HG23" s="50">
        <v>4.5170009699999998</v>
      </c>
      <c r="HH23" s="50">
        <f t="shared" si="6"/>
        <v>55.285666649999996</v>
      </c>
      <c r="HI23" s="50">
        <v>4.8875325200000006</v>
      </c>
      <c r="HJ23" s="50">
        <v>5.3914139099999989</v>
      </c>
      <c r="HK23" s="50">
        <v>5.2404753599999996</v>
      </c>
      <c r="HL23" s="50">
        <v>5.5605791900000003</v>
      </c>
      <c r="HM23" s="50"/>
      <c r="HN23" s="50"/>
      <c r="HO23" s="50"/>
      <c r="HP23" s="50"/>
      <c r="HQ23" s="50"/>
      <c r="HR23" s="50"/>
      <c r="HS23" s="50"/>
      <c r="HT23" s="50"/>
      <c r="HU23" s="276">
        <f t="shared" si="16"/>
        <v>18.457039000000002</v>
      </c>
      <c r="HV23" s="276">
        <f t="shared" si="17"/>
        <v>21.080000999999999</v>
      </c>
      <c r="HW23" s="277">
        <f t="shared" si="18"/>
        <v>2.6229619999999976</v>
      </c>
      <c r="HX23" s="277">
        <f t="shared" si="19"/>
        <v>14.211174392598934</v>
      </c>
    </row>
    <row r="24" spans="1:232" s="12" customFormat="1" ht="20.25" hidden="1" customHeight="1">
      <c r="A24" s="314" t="s">
        <v>68</v>
      </c>
      <c r="B24" s="12" t="s">
        <v>69</v>
      </c>
      <c r="C24" s="48" t="s">
        <v>70</v>
      </c>
      <c r="D24" s="42">
        <v>23.767418796705769</v>
      </c>
      <c r="E24" s="42">
        <v>13.546618972003575</v>
      </c>
      <c r="F24" s="42">
        <v>3.7451209725613404</v>
      </c>
      <c r="G24" s="42">
        <v>5.0536223470555086</v>
      </c>
      <c r="H24" s="42">
        <v>0.4193245912089284</v>
      </c>
      <c r="I24" s="42">
        <v>0.43676330812004482</v>
      </c>
      <c r="J24" s="42">
        <v>0.51501272047398705</v>
      </c>
      <c r="K24" s="42">
        <v>0.56403634583753082</v>
      </c>
      <c r="L24" s="42">
        <v>0.69377237465922226</v>
      </c>
      <c r="M24" s="42">
        <v>0.65811662995657405</v>
      </c>
      <c r="N24" s="42">
        <v>0.70974553360538639</v>
      </c>
      <c r="O24" s="42">
        <v>0.78382735442598495</v>
      </c>
      <c r="P24" s="42">
        <v>0.69745761264876127</v>
      </c>
      <c r="Q24" s="42">
        <v>0.75470401420595223</v>
      </c>
      <c r="R24" s="42">
        <v>0.74603587913557701</v>
      </c>
      <c r="S24" s="42">
        <v>0.77744862009891813</v>
      </c>
      <c r="T24" s="42">
        <v>7.7562449843768668</v>
      </c>
      <c r="U24" s="42">
        <v>7.7562449843768686</v>
      </c>
      <c r="V24" s="42">
        <v>0.60600679563576765</v>
      </c>
      <c r="W24" s="42">
        <v>0.52998417766546579</v>
      </c>
      <c r="X24" s="42">
        <v>0.69618556525005548</v>
      </c>
      <c r="Y24" s="42">
        <v>0.75571425319150154</v>
      </c>
      <c r="Z24" s="42">
        <v>0.81453861958668416</v>
      </c>
      <c r="AA24" s="42">
        <v>0.78507663587572074</v>
      </c>
      <c r="AB24" s="42">
        <v>0.89026385734856384</v>
      </c>
      <c r="AC24" s="42">
        <v>0.8396921474550515</v>
      </c>
      <c r="AD24" s="42">
        <v>0.73947928583218081</v>
      </c>
      <c r="AE24" s="42">
        <v>0.88217909972054798</v>
      </c>
      <c r="AF24" s="42">
        <v>0.78388000068297847</v>
      </c>
      <c r="AG24" s="42">
        <v>0.58425535426662345</v>
      </c>
      <c r="AH24" s="42">
        <v>8.9072557925111404</v>
      </c>
      <c r="AI24" s="42">
        <v>8.9072557925111404</v>
      </c>
      <c r="AJ24" s="42">
        <v>0.69337823916767694</v>
      </c>
      <c r="AK24" s="42">
        <v>0.6160892652859119</v>
      </c>
      <c r="AL24" s="42">
        <v>0.72749585944303119</v>
      </c>
      <c r="AM24" s="42">
        <v>0.85232867200528173</v>
      </c>
      <c r="AN24" s="42">
        <v>0.93604191211205412</v>
      </c>
      <c r="AO24" s="42">
        <v>0.87528528579803189</v>
      </c>
      <c r="AP24" s="42">
        <v>1.0008992549843199</v>
      </c>
      <c r="AQ24" s="42">
        <v>0.8825917325456315</v>
      </c>
      <c r="AR24" s="42">
        <v>0.82318398870808929</v>
      </c>
      <c r="AS24" s="42">
        <v>0.91627253117512131</v>
      </c>
      <c r="AT24" s="42">
        <v>0.82005793934012894</v>
      </c>
      <c r="AU24" s="42">
        <v>0.77897251580810578</v>
      </c>
      <c r="AV24" s="42">
        <v>9.922597196373383</v>
      </c>
      <c r="AW24" s="42">
        <v>9.922597196373383</v>
      </c>
      <c r="AX24" s="44">
        <v>0.69928999999999997</v>
      </c>
      <c r="AY24" s="44">
        <v>0.72264700000000004</v>
      </c>
      <c r="AZ24" s="44">
        <v>0.92163099999999998</v>
      </c>
      <c r="BA24" s="44">
        <v>0.98409100000000005</v>
      </c>
      <c r="BB24" s="44">
        <v>0.97295100000000001</v>
      </c>
      <c r="BC24" s="44">
        <v>0.99145700000000003</v>
      </c>
      <c r="BD24" s="44">
        <v>1.1640079999999999</v>
      </c>
      <c r="BE24" s="44">
        <v>0.98631800000000003</v>
      </c>
      <c r="BF24" s="44">
        <v>0.96786104000000006</v>
      </c>
      <c r="BG24" s="44">
        <v>1.0265438200000001</v>
      </c>
      <c r="BH24" s="44">
        <v>0.82294382999999993</v>
      </c>
      <c r="BI24" s="44">
        <v>0.93182390000000004</v>
      </c>
      <c r="BJ24" s="50">
        <f t="shared" si="1"/>
        <v>11.19156559</v>
      </c>
      <c r="BK24" s="44">
        <v>11.191565000000001</v>
      </c>
      <c r="BL24" s="44">
        <v>0.7239972899999999</v>
      </c>
      <c r="BM24" s="44">
        <v>0.74302170000000012</v>
      </c>
      <c r="BN24" s="44">
        <v>0.99863394000000005</v>
      </c>
      <c r="BO24" s="44">
        <v>1.0419659300000002</v>
      </c>
      <c r="BP24" s="44">
        <v>0.91815195000000005</v>
      </c>
      <c r="BQ24" s="44">
        <v>1.0235093399999999</v>
      </c>
      <c r="BR24" s="44">
        <v>1.09747639</v>
      </c>
      <c r="BS24" s="44">
        <v>0.92979621999999995</v>
      </c>
      <c r="BT24" s="44">
        <v>0.96096888999999985</v>
      </c>
      <c r="BU24" s="44">
        <v>0.93171246000000008</v>
      </c>
      <c r="BV24" s="44">
        <v>0.8316029800000001</v>
      </c>
      <c r="BW24" s="44">
        <v>0.92978822999999999</v>
      </c>
      <c r="BX24" s="50">
        <f t="shared" si="4"/>
        <v>11.130625319999998</v>
      </c>
      <c r="BY24" s="50">
        <v>11.130625319999998</v>
      </c>
      <c r="BZ24" s="50">
        <v>0.59223873000000005</v>
      </c>
      <c r="CA24" s="50">
        <v>0.74804486999999997</v>
      </c>
      <c r="CB24" s="50">
        <v>0.94893927</v>
      </c>
      <c r="CC24" s="50">
        <v>0.98671889000000002</v>
      </c>
      <c r="CD24" s="50">
        <v>0.97716755</v>
      </c>
      <c r="CE24" s="73">
        <v>0.90408171000000004</v>
      </c>
      <c r="CF24" s="50">
        <v>0.9302156800000001</v>
      </c>
      <c r="CG24" s="50">
        <v>0.99075803000000007</v>
      </c>
      <c r="CH24" s="50">
        <v>0.8952010600000001</v>
      </c>
      <c r="CI24" s="50">
        <v>0.84837675000000001</v>
      </c>
      <c r="CJ24" s="50">
        <v>0.79488958999999992</v>
      </c>
      <c r="CK24" s="50">
        <v>0.69270268000000002</v>
      </c>
      <c r="CL24" s="50">
        <f t="shared" si="5"/>
        <v>10.309334810000001</v>
      </c>
      <c r="CM24" s="50">
        <v>10.309335000000001</v>
      </c>
      <c r="CN24" s="50">
        <v>2.3781819999999999E-2</v>
      </c>
      <c r="CO24" s="50">
        <v>3.9500000000000001E-4</v>
      </c>
      <c r="CP24" s="50">
        <v>-4.2574399999999995E-3</v>
      </c>
      <c r="CQ24" s="50">
        <v>-3.1353400000000003E-3</v>
      </c>
      <c r="CR24" s="50">
        <v>-3.2129400000000001E-3</v>
      </c>
      <c r="CS24" s="50">
        <v>-1.47211E-3</v>
      </c>
      <c r="CT24" s="50">
        <v>3.0692000000000002E-4</v>
      </c>
      <c r="CU24" s="50">
        <v>-1.0279000000000001E-4</v>
      </c>
      <c r="CV24" s="50">
        <v>-1.35542E-3</v>
      </c>
      <c r="CW24" s="50">
        <v>-3.0782999999999999E-4</v>
      </c>
      <c r="CX24" s="50">
        <v>-1.16E-4</v>
      </c>
      <c r="CY24" s="50">
        <v>-4.0989999999999999E-5</v>
      </c>
      <c r="CZ24" s="50">
        <f t="shared" si="9"/>
        <v>1.048288E-2</v>
      </c>
      <c r="DA24" s="50">
        <v>1.0482999999999999E-2</v>
      </c>
      <c r="DB24" s="50">
        <v>1.0399999999999999E-4</v>
      </c>
      <c r="DC24" s="50">
        <v>1.0399999999999999E-4</v>
      </c>
      <c r="DD24" s="50">
        <v>1.0399999999999999E-4</v>
      </c>
      <c r="DE24" s="50">
        <v>1.0399999999999999E-4</v>
      </c>
      <c r="DF24" s="50">
        <v>1.0399999999999999E-4</v>
      </c>
      <c r="DG24" s="50">
        <v>1.0399999999999999E-4</v>
      </c>
      <c r="DH24" s="50">
        <v>4.2299999999999998E-4</v>
      </c>
      <c r="DI24" s="50">
        <v>1.0399999999999999E-4</v>
      </c>
      <c r="DJ24" s="50">
        <v>1.0399999999999999E-4</v>
      </c>
      <c r="DK24" s="50">
        <v>4.2299999999999998E-4</v>
      </c>
      <c r="DL24" s="50">
        <v>3.0699999999999998E-4</v>
      </c>
      <c r="DM24" s="50">
        <v>7.9998999999999999E-4</v>
      </c>
      <c r="DN24" s="50">
        <f t="shared" si="20"/>
        <v>2.7849899999999998E-3</v>
      </c>
      <c r="DO24" s="50">
        <v>2.7850000000000001E-3</v>
      </c>
      <c r="DP24" s="44">
        <v>0</v>
      </c>
      <c r="DQ24" s="50">
        <v>0</v>
      </c>
      <c r="DR24" s="50">
        <v>0</v>
      </c>
      <c r="DS24" s="50">
        <v>0</v>
      </c>
      <c r="DT24" s="50">
        <v>0</v>
      </c>
      <c r="DU24" s="50">
        <v>0</v>
      </c>
      <c r="DV24" s="50">
        <v>0</v>
      </c>
      <c r="DW24" s="50">
        <v>0</v>
      </c>
      <c r="DX24" s="50">
        <v>0</v>
      </c>
      <c r="DY24" s="50">
        <v>0</v>
      </c>
      <c r="DZ24" s="50">
        <v>0</v>
      </c>
      <c r="EA24" s="50">
        <v>0</v>
      </c>
      <c r="EB24" s="50">
        <f t="shared" si="10"/>
        <v>0</v>
      </c>
      <c r="EC24" s="50"/>
      <c r="ED24" s="50">
        <v>0</v>
      </c>
      <c r="EE24" s="50"/>
      <c r="EF24" s="50"/>
      <c r="EG24" s="50"/>
      <c r="EH24" s="50">
        <v>0</v>
      </c>
      <c r="EI24" s="50"/>
      <c r="EJ24" s="50"/>
      <c r="EK24" s="50"/>
      <c r="EL24" s="44">
        <v>0</v>
      </c>
      <c r="EM24" s="44">
        <v>0</v>
      </c>
      <c r="EN24" s="44">
        <v>0</v>
      </c>
      <c r="EO24" s="44">
        <v>0</v>
      </c>
      <c r="EP24" s="50">
        <f t="shared" si="11"/>
        <v>0</v>
      </c>
      <c r="EQ24" s="198"/>
      <c r="ER24" s="44">
        <v>0</v>
      </c>
      <c r="ES24" s="44">
        <v>0</v>
      </c>
      <c r="ET24" s="44">
        <v>0</v>
      </c>
      <c r="EU24" s="44">
        <v>0</v>
      </c>
      <c r="EV24" s="44">
        <v>0</v>
      </c>
      <c r="EW24" s="44">
        <v>0</v>
      </c>
      <c r="EX24" s="44">
        <v>0</v>
      </c>
      <c r="EY24" s="44">
        <v>0</v>
      </c>
      <c r="EZ24" s="44">
        <v>0</v>
      </c>
      <c r="FA24" s="44">
        <v>0</v>
      </c>
      <c r="FB24" s="44"/>
      <c r="FC24" s="44"/>
      <c r="FD24" s="50">
        <f t="shared" si="12"/>
        <v>0</v>
      </c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>
        <f t="shared" si="13"/>
        <v>0</v>
      </c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>
        <f t="shared" si="14"/>
        <v>0</v>
      </c>
      <c r="GG24" s="50"/>
      <c r="GH24" s="50"/>
      <c r="GI24" s="50"/>
      <c r="GJ24" s="50">
        <v>4.4527363099999997</v>
      </c>
      <c r="GK24" s="50"/>
      <c r="GL24" s="50"/>
      <c r="GM24" s="50"/>
      <c r="GN24" s="50"/>
      <c r="GO24" s="50"/>
      <c r="GP24" s="50"/>
      <c r="GQ24" s="50">
        <v>4.6149888800000003</v>
      </c>
      <c r="GR24" s="50"/>
      <c r="GS24" s="50"/>
      <c r="GT24" s="50">
        <f t="shared" si="15"/>
        <v>9.0677251900000009</v>
      </c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>
        <f t="shared" si="6"/>
        <v>0</v>
      </c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276">
        <f t="shared" si="16"/>
        <v>0</v>
      </c>
      <c r="HV24" s="276">
        <f t="shared" si="17"/>
        <v>0</v>
      </c>
      <c r="HW24" s="277">
        <f t="shared" si="18"/>
        <v>0</v>
      </c>
      <c r="HX24" s="277"/>
    </row>
    <row r="25" spans="1:232" s="12" customFormat="1" ht="23.25" customHeight="1">
      <c r="A25" s="314" t="s">
        <v>71</v>
      </c>
      <c r="B25" s="12" t="s">
        <v>72</v>
      </c>
      <c r="C25" s="48" t="s">
        <v>73</v>
      </c>
      <c r="D25" s="42">
        <v>0</v>
      </c>
      <c r="E25" s="42">
        <v>0</v>
      </c>
      <c r="F25" s="42">
        <v>0</v>
      </c>
      <c r="G25" s="42">
        <v>0</v>
      </c>
      <c r="H25" s="42">
        <v>4.6666396321022647</v>
      </c>
      <c r="I25" s="42">
        <v>4.1380384858367343</v>
      </c>
      <c r="J25" s="42">
        <v>5.3270385484430935</v>
      </c>
      <c r="K25" s="42">
        <v>4.8681481607958981</v>
      </c>
      <c r="L25" s="42">
        <v>5.9822880917012426</v>
      </c>
      <c r="M25" s="42">
        <v>5.9198211734708392</v>
      </c>
      <c r="N25" s="42">
        <v>6.0863199412638522</v>
      </c>
      <c r="O25" s="42">
        <v>6.0888370014968611</v>
      </c>
      <c r="P25" s="42">
        <v>5.3321551954741295</v>
      </c>
      <c r="Q25" s="42">
        <v>5.0726973665488533</v>
      </c>
      <c r="R25" s="42">
        <v>4.7262750354295084</v>
      </c>
      <c r="S25" s="42">
        <v>4.6464220465449833</v>
      </c>
      <c r="T25" s="42">
        <v>62.854680679108263</v>
      </c>
      <c r="U25" s="42">
        <v>62.854680679108256</v>
      </c>
      <c r="V25" s="42">
        <v>6.3148274625642431</v>
      </c>
      <c r="W25" s="42">
        <v>4.5021271933568965</v>
      </c>
      <c r="X25" s="42">
        <v>5.3930313430202448</v>
      </c>
      <c r="Y25" s="42">
        <v>5.1352254682671132</v>
      </c>
      <c r="Z25" s="42">
        <v>6.3133846705482606</v>
      </c>
      <c r="AA25" s="42">
        <v>6.4397413788196998</v>
      </c>
      <c r="AB25" s="42">
        <v>6.754760929078377</v>
      </c>
      <c r="AC25" s="42">
        <v>6.5779249975811185</v>
      </c>
      <c r="AD25" s="42">
        <v>5.2100528739164833</v>
      </c>
      <c r="AE25" s="42">
        <v>5.7834403332934938</v>
      </c>
      <c r="AF25" s="42">
        <v>5.1309255496553803</v>
      </c>
      <c r="AG25" s="42">
        <v>4.1251899533867196</v>
      </c>
      <c r="AH25" s="42">
        <v>67.680632153488034</v>
      </c>
      <c r="AI25" s="42">
        <v>67.68063215348802</v>
      </c>
      <c r="AJ25" s="42">
        <v>7.705038673655813</v>
      </c>
      <c r="AK25" s="42">
        <v>5.2990976146976969</v>
      </c>
      <c r="AL25" s="42">
        <v>5.5824255411181491</v>
      </c>
      <c r="AM25" s="42">
        <v>6.1132420987928358</v>
      </c>
      <c r="AN25" s="42">
        <v>6.3685650622364127</v>
      </c>
      <c r="AO25" s="42">
        <v>6.0275809471773076</v>
      </c>
      <c r="AP25" s="42">
        <v>7.1299153106698308</v>
      </c>
      <c r="AQ25" s="42">
        <v>6.1805425125639575</v>
      </c>
      <c r="AR25" s="42">
        <v>5.7015441004888991</v>
      </c>
      <c r="AS25" s="42">
        <v>5.8372718425051655</v>
      </c>
      <c r="AT25" s="42">
        <v>4.9000973244318473</v>
      </c>
      <c r="AU25" s="42">
        <v>5.1091271535164857</v>
      </c>
      <c r="AV25" s="42">
        <v>71.954448181854417</v>
      </c>
      <c r="AW25" s="42">
        <v>71.954448181854403</v>
      </c>
      <c r="AX25" s="44">
        <v>7.7209199999999996</v>
      </c>
      <c r="AY25" s="44">
        <v>5.3837869999999999</v>
      </c>
      <c r="AZ25" s="44">
        <v>5.9707749999999997</v>
      </c>
      <c r="BA25" s="44">
        <v>6.3405370000000003</v>
      </c>
      <c r="BB25" s="44">
        <v>6.7012299999999998</v>
      </c>
      <c r="BC25" s="44">
        <v>6.3851550000000001</v>
      </c>
      <c r="BD25" s="44">
        <v>7.3181240000000001</v>
      </c>
      <c r="BE25" s="44">
        <v>6.0627509999999996</v>
      </c>
      <c r="BF25" s="44">
        <v>6.1593288799999995</v>
      </c>
      <c r="BG25" s="44">
        <v>5.9734575799999998</v>
      </c>
      <c r="BH25" s="44">
        <v>4.47831549</v>
      </c>
      <c r="BI25" s="44">
        <v>5.00969189</v>
      </c>
      <c r="BJ25" s="50">
        <f t="shared" si="1"/>
        <v>73.504072839999992</v>
      </c>
      <c r="BK25" s="44">
        <v>73.504071999999994</v>
      </c>
      <c r="BL25" s="44">
        <v>8.9998730299999998</v>
      </c>
      <c r="BM25" s="44">
        <v>5.8480398600000001</v>
      </c>
      <c r="BN25" s="44">
        <v>6.8154553100000008</v>
      </c>
      <c r="BO25" s="44">
        <v>6.6337985700000006</v>
      </c>
      <c r="BP25" s="44">
        <v>6.7456630799999999</v>
      </c>
      <c r="BQ25" s="44">
        <v>6.8664564399999994</v>
      </c>
      <c r="BR25" s="44">
        <v>7.2347767999999997</v>
      </c>
      <c r="BS25" s="44">
        <v>6.3162678799999998</v>
      </c>
      <c r="BT25" s="44">
        <v>6.20234679</v>
      </c>
      <c r="BU25" s="44">
        <v>6.3470968599999997</v>
      </c>
      <c r="BV25" s="44">
        <v>5.3886693399999999</v>
      </c>
      <c r="BW25" s="44">
        <v>5.9861039099999998</v>
      </c>
      <c r="BX25" s="50">
        <f t="shared" si="4"/>
        <v>79.384547870000006</v>
      </c>
      <c r="BY25" s="50">
        <v>79.384547999999995</v>
      </c>
      <c r="BZ25" s="50">
        <v>8.2673971399999999</v>
      </c>
      <c r="CA25" s="50">
        <v>6.4367554800000004</v>
      </c>
      <c r="CB25" s="50">
        <v>6.8213365600000007</v>
      </c>
      <c r="CC25" s="50">
        <v>7.0754652499999997</v>
      </c>
      <c r="CD25" s="50">
        <v>7.9538630299999991</v>
      </c>
      <c r="CE25" s="73">
        <v>7.1191935299999995</v>
      </c>
      <c r="CF25" s="50">
        <v>7.3891406500000008</v>
      </c>
      <c r="CG25" s="50">
        <v>7.4822211699999999</v>
      </c>
      <c r="CH25" s="50">
        <v>6.2067744800000009</v>
      </c>
      <c r="CI25" s="50">
        <v>6.4850332800000006</v>
      </c>
      <c r="CJ25" s="50">
        <v>6.0175674299999997</v>
      </c>
      <c r="CK25" s="50">
        <v>6.4588300399999996</v>
      </c>
      <c r="CL25" s="50">
        <f t="shared" si="5"/>
        <v>83.713578040000002</v>
      </c>
      <c r="CM25" s="50">
        <v>83.713577999999998</v>
      </c>
      <c r="CN25" s="50">
        <v>9.6037743399999993</v>
      </c>
      <c r="CO25" s="50">
        <v>6.3459881900000008</v>
      </c>
      <c r="CP25" s="50">
        <v>7.8712047699999994</v>
      </c>
      <c r="CQ25" s="50">
        <v>7.1082731700000004</v>
      </c>
      <c r="CR25" s="50">
        <v>8.4954813199999997</v>
      </c>
      <c r="CS25" s="50">
        <v>8.1261642500000004</v>
      </c>
      <c r="CT25" s="50">
        <v>8.4876839299999993</v>
      </c>
      <c r="CU25" s="50">
        <v>8.3203297599999999</v>
      </c>
      <c r="CV25" s="50">
        <v>6.7761977400000006</v>
      </c>
      <c r="CW25" s="50">
        <v>7.0654540199999998</v>
      </c>
      <c r="CX25" s="50">
        <v>6.4246461699999999</v>
      </c>
      <c r="CY25" s="50">
        <v>6.3923863399999998</v>
      </c>
      <c r="CZ25" s="50">
        <f t="shared" si="9"/>
        <v>91.017583999999999</v>
      </c>
      <c r="DA25" s="50">
        <v>91.017583999999999</v>
      </c>
      <c r="DB25" s="50">
        <v>10.891072339999999</v>
      </c>
      <c r="DC25" s="50">
        <v>7.3980420000000002</v>
      </c>
      <c r="DD25" s="50">
        <v>7.7811672900000008</v>
      </c>
      <c r="DE25" s="50">
        <v>8.15032508</v>
      </c>
      <c r="DF25" s="50">
        <v>8.8403837899999989</v>
      </c>
      <c r="DG25" s="50">
        <v>8.4143292100000018</v>
      </c>
      <c r="DH25" s="50">
        <v>8.6341466400000009</v>
      </c>
      <c r="DI25" s="50">
        <v>7.941980130000001</v>
      </c>
      <c r="DJ25" s="50">
        <v>6.7211733499999999</v>
      </c>
      <c r="DK25" s="50">
        <v>7.6233613</v>
      </c>
      <c r="DL25" s="50">
        <v>6.3384984199999996</v>
      </c>
      <c r="DM25" s="50">
        <v>5.5662266499999999</v>
      </c>
      <c r="DN25" s="50">
        <f t="shared" si="20"/>
        <v>94.300706199999993</v>
      </c>
      <c r="DO25" s="50">
        <v>94.300706000000005</v>
      </c>
      <c r="DP25" s="44">
        <v>10.174811419999999</v>
      </c>
      <c r="DQ25" s="50">
        <v>7.5096290999999997</v>
      </c>
      <c r="DR25" s="50">
        <v>8.8483956299999988</v>
      </c>
      <c r="DS25" s="50">
        <v>8.4541108700000009</v>
      </c>
      <c r="DT25" s="50">
        <v>8.4132070099999989</v>
      </c>
      <c r="DU25" s="50">
        <v>7.7257525399999993</v>
      </c>
      <c r="DV25" s="50">
        <v>9.0754060899999995</v>
      </c>
      <c r="DW25" s="50">
        <v>8.054383210000001</v>
      </c>
      <c r="DX25" s="50">
        <v>7.4493456899999995</v>
      </c>
      <c r="DY25" s="50">
        <v>7.9363437699999997</v>
      </c>
      <c r="DZ25" s="50">
        <v>6.0775305700000004</v>
      </c>
      <c r="EA25" s="50">
        <v>5.5800379299999996</v>
      </c>
      <c r="EB25" s="50">
        <f t="shared" si="10"/>
        <v>95.298953830000016</v>
      </c>
      <c r="EC25" s="50">
        <v>95.298953999999995</v>
      </c>
      <c r="ED25" s="50">
        <v>10.821935570000001</v>
      </c>
      <c r="EE25" s="50">
        <v>7.8094413200000004</v>
      </c>
      <c r="EF25" s="50">
        <v>8.3805289500000004</v>
      </c>
      <c r="EG25" s="50">
        <v>7.5729200600000004</v>
      </c>
      <c r="EH25" s="50">
        <v>8.13636056</v>
      </c>
      <c r="EI25" s="50">
        <v>8.1171277000000011</v>
      </c>
      <c r="EJ25" s="50">
        <v>9.7340493299999995</v>
      </c>
      <c r="EK25" s="50">
        <v>7.9889552899999998</v>
      </c>
      <c r="EL25" s="44">
        <v>7.94003733</v>
      </c>
      <c r="EM25" s="44">
        <v>7.5684057400000002</v>
      </c>
      <c r="EN25" s="44">
        <v>6.6801850200000006</v>
      </c>
      <c r="EO25" s="44">
        <v>6.696460029999999</v>
      </c>
      <c r="EP25" s="50">
        <f t="shared" si="11"/>
        <v>97.446406899999999</v>
      </c>
      <c r="EQ25" s="50">
        <v>97.446406999999994</v>
      </c>
      <c r="ER25" s="44">
        <v>9.7757996899999995</v>
      </c>
      <c r="ES25" s="44">
        <v>7.6553680299999991</v>
      </c>
      <c r="ET25" s="44">
        <v>9.9519380300000009</v>
      </c>
      <c r="EU25" s="44">
        <v>8.8235363499999995</v>
      </c>
      <c r="EV25" s="44">
        <v>8.4036477899999991</v>
      </c>
      <c r="EW25" s="44">
        <v>8.4375343399999991</v>
      </c>
      <c r="EX25" s="44">
        <v>9.3987283700000006</v>
      </c>
      <c r="EY25" s="44">
        <v>8.7588501099999991</v>
      </c>
      <c r="EZ25" s="44">
        <v>7.9278119500000015</v>
      </c>
      <c r="FA25" s="44">
        <v>7.4875334399999991</v>
      </c>
      <c r="FB25" s="44">
        <v>6.7729282300000007</v>
      </c>
      <c r="FC25" s="44">
        <v>6.5992597499999999</v>
      </c>
      <c r="FD25" s="50">
        <f t="shared" si="12"/>
        <v>99.992936080000007</v>
      </c>
      <c r="FE25" s="50">
        <v>99.992936</v>
      </c>
      <c r="FF25" s="50">
        <v>11.201256769999999</v>
      </c>
      <c r="FG25" s="50">
        <v>8.1970305999999997</v>
      </c>
      <c r="FH25" s="50">
        <v>9.829315170000001</v>
      </c>
      <c r="FI25" s="50">
        <v>8.0720415900000013</v>
      </c>
      <c r="FJ25" s="50">
        <v>9.1310759199999989</v>
      </c>
      <c r="FK25" s="50">
        <v>8.4013734499999995</v>
      </c>
      <c r="FL25" s="50">
        <v>8.9128371499999997</v>
      </c>
      <c r="FM25" s="50">
        <v>9.0753390500000002</v>
      </c>
      <c r="FN25" s="50">
        <v>7.8482544500000007</v>
      </c>
      <c r="FO25" s="50">
        <v>7.5056207100000005</v>
      </c>
      <c r="FP25" s="50">
        <v>6.98839875</v>
      </c>
      <c r="FQ25" s="50">
        <v>6.298886669999999</v>
      </c>
      <c r="FR25" s="50">
        <f t="shared" si="13"/>
        <v>101.46143028000002</v>
      </c>
      <c r="FS25" s="45">
        <v>101.46143000000001</v>
      </c>
      <c r="FT25" s="50">
        <v>11.72114891</v>
      </c>
      <c r="FU25" s="50">
        <v>8.1808069000000003</v>
      </c>
      <c r="FV25" s="50">
        <v>9.9148641300000016</v>
      </c>
      <c r="FW25" s="50">
        <v>8.1541350499999989</v>
      </c>
      <c r="FX25" s="50">
        <v>9.2046899</v>
      </c>
      <c r="FY25" s="50">
        <v>8.9229247899999997</v>
      </c>
      <c r="FZ25" s="50">
        <v>8.9798910999999997</v>
      </c>
      <c r="GA25" s="50">
        <v>9.0953692699999991</v>
      </c>
      <c r="GB25" s="50">
        <v>7.6266981999999999</v>
      </c>
      <c r="GC25" s="50">
        <v>7.8464128800000008</v>
      </c>
      <c r="GD25" s="50">
        <v>6.8528797799999994</v>
      </c>
      <c r="GE25" s="50">
        <v>6.0338129700000005</v>
      </c>
      <c r="GF25" s="50">
        <f t="shared" si="14"/>
        <v>102.53363387999998</v>
      </c>
      <c r="GG25" s="50">
        <v>102.53363299999999</v>
      </c>
      <c r="GH25" s="50">
        <v>11.531470430000001</v>
      </c>
      <c r="GI25" s="50">
        <v>8.576314309999999</v>
      </c>
      <c r="GJ25" s="50">
        <v>8.9440178800000005</v>
      </c>
      <c r="GK25" s="50">
        <v>9.16692134</v>
      </c>
      <c r="GL25" s="50">
        <v>8.9714888800000008</v>
      </c>
      <c r="GM25" s="50">
        <v>8.1102570299999996</v>
      </c>
      <c r="GN25" s="50">
        <v>9.6214650900000009</v>
      </c>
      <c r="GO25" s="50">
        <v>8.4275544700000005</v>
      </c>
      <c r="GP25" s="50">
        <v>7.8474719699999991</v>
      </c>
      <c r="GQ25" s="50">
        <v>8.3407920600000001</v>
      </c>
      <c r="GR25" s="50">
        <v>6.8199880499999992</v>
      </c>
      <c r="GS25" s="50">
        <v>5.96442155</v>
      </c>
      <c r="GT25" s="50">
        <f t="shared" si="15"/>
        <v>102.32216306000001</v>
      </c>
      <c r="GU25" s="50">
        <v>102.322163</v>
      </c>
      <c r="GV25" s="50">
        <v>13.814018779999998</v>
      </c>
      <c r="GW25" s="50">
        <v>8.8957136400000003</v>
      </c>
      <c r="GX25" s="50">
        <v>10.286344570000001</v>
      </c>
      <c r="GY25" s="50">
        <v>9.5147276200000004</v>
      </c>
      <c r="GZ25" s="50">
        <v>9.421090809999999</v>
      </c>
      <c r="HA25" s="50">
        <v>8.966416670000001</v>
      </c>
      <c r="HB25" s="50">
        <v>10.90712529</v>
      </c>
      <c r="HC25" s="50">
        <v>9.4933171400000003</v>
      </c>
      <c r="HD25" s="50">
        <v>9.3090895299999996</v>
      </c>
      <c r="HE25" s="50">
        <v>9.2210889399999996</v>
      </c>
      <c r="HF25" s="50">
        <v>7.05665794</v>
      </c>
      <c r="HG25" s="50">
        <v>6.5373961699999992</v>
      </c>
      <c r="HH25" s="50">
        <f t="shared" si="6"/>
        <v>113.42298709999999</v>
      </c>
      <c r="HI25" s="50">
        <v>15.937897449999999</v>
      </c>
      <c r="HJ25" s="50">
        <v>8.4379887299999989</v>
      </c>
      <c r="HK25" s="50">
        <v>10.403929209999999</v>
      </c>
      <c r="HL25" s="50">
        <v>9.2540353399999997</v>
      </c>
      <c r="HM25" s="50"/>
      <c r="HN25" s="50"/>
      <c r="HO25" s="50"/>
      <c r="HP25" s="50"/>
      <c r="HQ25" s="50"/>
      <c r="HR25" s="50"/>
      <c r="HS25" s="50"/>
      <c r="HT25" s="50"/>
      <c r="HU25" s="276">
        <f t="shared" si="16"/>
        <v>42.510804999999998</v>
      </c>
      <c r="HV25" s="276">
        <f t="shared" si="17"/>
        <v>44.033850999999999</v>
      </c>
      <c r="HW25" s="277">
        <f t="shared" si="18"/>
        <v>1.5230460000000008</v>
      </c>
      <c r="HX25" s="277">
        <f t="shared" si="19"/>
        <v>3.5827267914592511</v>
      </c>
    </row>
    <row r="26" spans="1:232" s="12" customFormat="1" ht="20.5">
      <c r="A26" s="314" t="s">
        <v>74</v>
      </c>
      <c r="B26" s="12" t="s">
        <v>75</v>
      </c>
      <c r="C26" s="77" t="s">
        <v>76</v>
      </c>
      <c r="D26" s="42">
        <v>0</v>
      </c>
      <c r="E26" s="42">
        <v>0</v>
      </c>
      <c r="F26" s="42">
        <v>0</v>
      </c>
      <c r="G26" s="42">
        <v>0</v>
      </c>
      <c r="H26" s="42">
        <v>0.2963386662568796</v>
      </c>
      <c r="I26" s="42">
        <v>0.49066453805043797</v>
      </c>
      <c r="J26" s="42">
        <v>0.65045873387174813</v>
      </c>
      <c r="K26" s="42">
        <v>0.67901434823933848</v>
      </c>
      <c r="L26" s="42">
        <v>0.90742226851298513</v>
      </c>
      <c r="M26" s="42">
        <v>1.0776745721424466</v>
      </c>
      <c r="N26" s="42">
        <v>1.2351167608607805</v>
      </c>
      <c r="O26" s="42">
        <v>1.3821008417709633</v>
      </c>
      <c r="P26" s="42">
        <v>1.4246091371136191</v>
      </c>
      <c r="Q26" s="42">
        <v>1.5492512848532449</v>
      </c>
      <c r="R26" s="42">
        <v>1.8540816500759814</v>
      </c>
      <c r="S26" s="42">
        <v>5.7218726700474098</v>
      </c>
      <c r="T26" s="42">
        <v>17.268605471795833</v>
      </c>
      <c r="U26" s="42">
        <v>17.268605471795837</v>
      </c>
      <c r="V26" s="42">
        <v>0.9221674890865732</v>
      </c>
      <c r="W26" s="42">
        <v>0.66793159970631921</v>
      </c>
      <c r="X26" s="42">
        <v>0.72633621891736533</v>
      </c>
      <c r="Y26" s="42">
        <v>0.69617845089100239</v>
      </c>
      <c r="Z26" s="42">
        <v>1.1143320185997803</v>
      </c>
      <c r="AA26" s="42">
        <v>1.2876947200072852</v>
      </c>
      <c r="AB26" s="42">
        <v>1.451101587355792</v>
      </c>
      <c r="AC26" s="42">
        <v>1.4434693029635572</v>
      </c>
      <c r="AD26" s="42">
        <v>1.4760687190169663</v>
      </c>
      <c r="AE26" s="42">
        <v>1.8054777718965742</v>
      </c>
      <c r="AF26" s="42">
        <v>1.8670582409889529</v>
      </c>
      <c r="AG26" s="42">
        <v>3.2582057017319199</v>
      </c>
      <c r="AH26" s="42">
        <v>16.716021821162091</v>
      </c>
      <c r="AI26" s="42">
        <v>16.716021821162091</v>
      </c>
      <c r="AJ26" s="42">
        <v>1.85290920370402</v>
      </c>
      <c r="AK26" s="42">
        <v>1.4440669091240232</v>
      </c>
      <c r="AL26" s="42">
        <v>1.3494743911531524</v>
      </c>
      <c r="AM26" s="42">
        <v>1.4655622335672536</v>
      </c>
      <c r="AN26" s="42">
        <v>1.4185505489439447</v>
      </c>
      <c r="AO26" s="42">
        <v>1.4977675141291171</v>
      </c>
      <c r="AP26" s="42">
        <v>1.7809844565483408</v>
      </c>
      <c r="AQ26" s="42">
        <v>1.6301159355951302</v>
      </c>
      <c r="AR26" s="42">
        <v>1.6447843210909443</v>
      </c>
      <c r="AS26" s="42">
        <v>1.8819642460771424</v>
      </c>
      <c r="AT26" s="42">
        <v>1.7086456536957675</v>
      </c>
      <c r="AU26" s="42">
        <v>3.1214506462683764</v>
      </c>
      <c r="AV26" s="42">
        <v>20.79627605989721</v>
      </c>
      <c r="AW26" s="42">
        <v>20.79627605989721</v>
      </c>
      <c r="AX26" s="44">
        <v>1.464642</v>
      </c>
      <c r="AY26" s="44">
        <v>1.345288</v>
      </c>
      <c r="AZ26" s="44">
        <v>1.3303910000000001</v>
      </c>
      <c r="BA26" s="44">
        <v>1.6748670000000001</v>
      </c>
      <c r="BB26" s="44">
        <v>1.2231590000000001</v>
      </c>
      <c r="BC26" s="44">
        <v>1.4581200000000001</v>
      </c>
      <c r="BD26" s="44">
        <v>1.6662189999999999</v>
      </c>
      <c r="BE26" s="44">
        <v>1.4971730000000001</v>
      </c>
      <c r="BF26" s="44">
        <v>1.62653895</v>
      </c>
      <c r="BG26" s="44">
        <v>1.75303637</v>
      </c>
      <c r="BH26" s="44">
        <v>1.4071057</v>
      </c>
      <c r="BI26" s="44">
        <v>2.7657597000000003</v>
      </c>
      <c r="BJ26" s="50">
        <f t="shared" si="1"/>
        <v>19.212299720000001</v>
      </c>
      <c r="BK26" s="44">
        <v>19.212299999999999</v>
      </c>
      <c r="BL26" s="44">
        <v>1.8142865100000001</v>
      </c>
      <c r="BM26" s="44">
        <v>1.3916383600000002</v>
      </c>
      <c r="BN26" s="44">
        <v>1.4980413100000001</v>
      </c>
      <c r="BO26" s="44">
        <v>1.5695227300000001</v>
      </c>
      <c r="BP26" s="44">
        <v>1.53773837</v>
      </c>
      <c r="BQ26" s="44">
        <v>1.5208728300000001</v>
      </c>
      <c r="BR26" s="44">
        <v>1.59108925</v>
      </c>
      <c r="BS26" s="44">
        <v>1.4485865</v>
      </c>
      <c r="BT26" s="44">
        <v>1.71963691</v>
      </c>
      <c r="BU26" s="44">
        <v>1.78507628</v>
      </c>
      <c r="BV26" s="44">
        <v>1.6070051699999999</v>
      </c>
      <c r="BW26" s="44">
        <v>2.85881585</v>
      </c>
      <c r="BX26" s="50">
        <f t="shared" si="4"/>
        <v>20.34231007</v>
      </c>
      <c r="BY26" s="50">
        <v>20.34231007</v>
      </c>
      <c r="BZ26" s="50">
        <v>1.7430713600000001</v>
      </c>
      <c r="CA26" s="50">
        <v>1.48429214</v>
      </c>
      <c r="CB26" s="50">
        <v>1.5434508300000001</v>
      </c>
      <c r="CC26" s="50">
        <v>1.5279576699999999</v>
      </c>
      <c r="CD26" s="50">
        <v>1.7700201200000001</v>
      </c>
      <c r="CE26" s="73">
        <v>1.6915508700000002</v>
      </c>
      <c r="CF26" s="50">
        <v>1.7506129099999999</v>
      </c>
      <c r="CG26" s="50">
        <v>1.74493163</v>
      </c>
      <c r="CH26" s="50">
        <v>1.6418075700000001</v>
      </c>
      <c r="CI26" s="50">
        <v>1.83067592</v>
      </c>
      <c r="CJ26" s="50">
        <v>1.91663731</v>
      </c>
      <c r="CK26" s="50">
        <v>2.9907668900000002</v>
      </c>
      <c r="CL26" s="50">
        <f t="shared" si="5"/>
        <v>21.635775219999999</v>
      </c>
      <c r="CM26" s="50">
        <v>21.635774999999999</v>
      </c>
      <c r="CN26" s="50">
        <v>1.80924391</v>
      </c>
      <c r="CO26" s="50">
        <v>1.4417031</v>
      </c>
      <c r="CP26" s="50">
        <v>1.6973851100000001</v>
      </c>
      <c r="CQ26" s="50">
        <v>1.6195672400000001</v>
      </c>
      <c r="CR26" s="50">
        <v>1.7821058600000002</v>
      </c>
      <c r="CS26" s="50">
        <v>1.8181615</v>
      </c>
      <c r="CT26" s="50">
        <v>1.88930091</v>
      </c>
      <c r="CU26" s="50">
        <v>1.8553165900000002</v>
      </c>
      <c r="CV26" s="50">
        <v>1.5840045600000001</v>
      </c>
      <c r="CW26" s="50">
        <v>1.8613401299999999</v>
      </c>
      <c r="CX26" s="50">
        <v>1.74089951</v>
      </c>
      <c r="CY26" s="50">
        <v>2.7196116200000002</v>
      </c>
      <c r="CZ26" s="50">
        <f t="shared" si="9"/>
        <v>21.818640039999998</v>
      </c>
      <c r="DA26" s="50">
        <v>21.818639999999998</v>
      </c>
      <c r="DB26" s="50">
        <v>1.74803526</v>
      </c>
      <c r="DC26" s="50">
        <v>1.4805035900000001</v>
      </c>
      <c r="DD26" s="50">
        <v>1.6933663999999999</v>
      </c>
      <c r="DE26" s="50">
        <v>1.7318391399999999</v>
      </c>
      <c r="DF26" s="50">
        <v>1.85241992</v>
      </c>
      <c r="DG26" s="50">
        <v>1.7117259899999999</v>
      </c>
      <c r="DH26" s="50">
        <v>1.81262576</v>
      </c>
      <c r="DI26" s="50">
        <v>1.7631438799999999</v>
      </c>
      <c r="DJ26" s="50">
        <v>1.6085973200000001</v>
      </c>
      <c r="DK26" s="50">
        <v>1.9155354</v>
      </c>
      <c r="DL26" s="50">
        <v>1.7026931599999999</v>
      </c>
      <c r="DM26" s="50">
        <v>2.4751543300000001</v>
      </c>
      <c r="DN26" s="50">
        <f t="shared" si="20"/>
        <v>21.495640149999996</v>
      </c>
      <c r="DO26" s="50">
        <v>21.495640000000002</v>
      </c>
      <c r="DP26" s="44">
        <v>1.6517012099999999</v>
      </c>
      <c r="DQ26" s="50">
        <v>1.4942178400000001</v>
      </c>
      <c r="DR26" s="50">
        <v>1.74553772</v>
      </c>
      <c r="DS26" s="50">
        <v>1.65960591</v>
      </c>
      <c r="DT26" s="50">
        <v>1.6570928</v>
      </c>
      <c r="DU26" s="50">
        <v>1.6059766200000001</v>
      </c>
      <c r="DV26" s="50">
        <v>1.8292282600000001</v>
      </c>
      <c r="DW26" s="50">
        <v>1.6812087600000001</v>
      </c>
      <c r="DX26" s="50">
        <v>1.7183914199999999</v>
      </c>
      <c r="DY26" s="50">
        <v>1.9248375900000001</v>
      </c>
      <c r="DZ26" s="50">
        <v>1.6414489800000001</v>
      </c>
      <c r="EA26" s="50">
        <v>2.5044418900000003</v>
      </c>
      <c r="EB26" s="50">
        <f t="shared" si="10"/>
        <v>21.113688999999997</v>
      </c>
      <c r="EC26" s="50">
        <v>21.113689000000001</v>
      </c>
      <c r="ED26" s="50">
        <v>1.8291967600000001</v>
      </c>
      <c r="EE26" s="50">
        <v>1.60002589</v>
      </c>
      <c r="EF26" s="50">
        <v>1.7223714699999999</v>
      </c>
      <c r="EG26" s="50">
        <v>1.60502297</v>
      </c>
      <c r="EH26" s="50">
        <v>1.6835539399999999</v>
      </c>
      <c r="EI26" s="50">
        <v>1.7110373000000001</v>
      </c>
      <c r="EJ26" s="50">
        <v>1.93351903</v>
      </c>
      <c r="EK26" s="50">
        <v>1.67678393</v>
      </c>
      <c r="EL26" s="44">
        <v>1.7669434900000001</v>
      </c>
      <c r="EM26" s="44">
        <v>1.7988426899999999</v>
      </c>
      <c r="EN26" s="44">
        <v>1.6819513100000001</v>
      </c>
      <c r="EO26" s="44">
        <v>2.7605061699999998</v>
      </c>
      <c r="EP26" s="50">
        <f t="shared" si="11"/>
        <v>21.769754949999996</v>
      </c>
      <c r="EQ26" s="50">
        <v>21.769755</v>
      </c>
      <c r="ER26" s="44">
        <v>1.51910397</v>
      </c>
      <c r="ES26" s="44">
        <v>1.59155183</v>
      </c>
      <c r="ET26" s="44">
        <v>2.0258117599999999</v>
      </c>
      <c r="EU26" s="44">
        <v>1.7385583500000001</v>
      </c>
      <c r="EV26" s="44">
        <v>1.6534264999999999</v>
      </c>
      <c r="EW26" s="44">
        <v>1.7993940100000001</v>
      </c>
      <c r="EX26" s="44">
        <v>1.97089212</v>
      </c>
      <c r="EY26" s="44">
        <v>1.9286020100000001</v>
      </c>
      <c r="EZ26" s="44">
        <v>1.8826303899999999</v>
      </c>
      <c r="FA26" s="44">
        <v>1.9856059699999999</v>
      </c>
      <c r="FB26" s="44">
        <v>1.6997702299999999</v>
      </c>
      <c r="FC26" s="44">
        <v>2.7275345400000002</v>
      </c>
      <c r="FD26" s="50">
        <f t="shared" si="12"/>
        <v>22.522881679999998</v>
      </c>
      <c r="FE26" s="50">
        <v>22.522881000000002</v>
      </c>
      <c r="FF26" s="50">
        <v>1.6737566000000001</v>
      </c>
      <c r="FG26" s="50">
        <v>1.7770114699999999</v>
      </c>
      <c r="FH26" s="50">
        <v>1.95462969</v>
      </c>
      <c r="FI26" s="50">
        <v>1.60430856</v>
      </c>
      <c r="FJ26" s="50">
        <v>1.7040713200000002</v>
      </c>
      <c r="FK26" s="50">
        <v>1.79308928</v>
      </c>
      <c r="FL26" s="50">
        <v>1.8735011399999999</v>
      </c>
      <c r="FM26" s="50">
        <v>1.9456206200000001</v>
      </c>
      <c r="FN26" s="50">
        <v>1.96630156</v>
      </c>
      <c r="FO26" s="50">
        <v>1.83570385</v>
      </c>
      <c r="FP26" s="50">
        <v>1.86413915</v>
      </c>
      <c r="FQ26" s="50">
        <v>2.4556930499999998</v>
      </c>
      <c r="FR26" s="50">
        <f t="shared" si="13"/>
        <v>22.447826290000002</v>
      </c>
      <c r="FS26" s="45">
        <v>22.447825999999999</v>
      </c>
      <c r="FT26" s="50">
        <v>1.8721875800000001</v>
      </c>
      <c r="FU26" s="50">
        <v>1.7593479599999999</v>
      </c>
      <c r="FV26" s="50">
        <v>2.1674899999999999</v>
      </c>
      <c r="FW26" s="50">
        <v>1.7793641899999999</v>
      </c>
      <c r="FX26" s="50">
        <v>1.9541126499999999</v>
      </c>
      <c r="FY26" s="50">
        <v>2.1627993500000002</v>
      </c>
      <c r="FZ26" s="50">
        <v>2.17109481</v>
      </c>
      <c r="GA26" s="50">
        <v>2.3352397999999996</v>
      </c>
      <c r="GB26" s="50">
        <v>2.0904618999999998</v>
      </c>
      <c r="GC26" s="50">
        <v>2.1287293700000003</v>
      </c>
      <c r="GD26" s="50">
        <v>2.0351366799999999</v>
      </c>
      <c r="GE26" s="50">
        <v>2.8864420800000001</v>
      </c>
      <c r="GF26" s="50">
        <f t="shared" si="14"/>
        <v>25.342406370000006</v>
      </c>
      <c r="GG26" s="50">
        <v>25.342406</v>
      </c>
      <c r="GH26" s="50">
        <v>2.3733082400000001</v>
      </c>
      <c r="GI26" s="50">
        <v>2.1929507999999998</v>
      </c>
      <c r="GJ26" s="50">
        <v>2.1970225099999996</v>
      </c>
      <c r="GK26" s="50">
        <v>2.3204088599999997</v>
      </c>
      <c r="GL26" s="50">
        <v>2.2439511899999998</v>
      </c>
      <c r="GM26" s="50">
        <v>2.1908277200000001</v>
      </c>
      <c r="GN26" s="50">
        <v>2.6556222599999999</v>
      </c>
      <c r="GO26" s="50">
        <v>2.3621316800000001</v>
      </c>
      <c r="GP26" s="50">
        <v>2.3450780400000002</v>
      </c>
      <c r="GQ26" s="50">
        <v>2.46555875</v>
      </c>
      <c r="GR26" s="50">
        <v>2.2187987400000004</v>
      </c>
      <c r="GS26" s="50">
        <v>2.9367358299999999</v>
      </c>
      <c r="GT26" s="50">
        <f t="shared" si="15"/>
        <v>28.50239462</v>
      </c>
      <c r="GU26" s="50">
        <v>28.502395</v>
      </c>
      <c r="GV26" s="50">
        <v>2.5845109700000002</v>
      </c>
      <c r="GW26" s="50">
        <v>2.2717374000000001</v>
      </c>
      <c r="GX26" s="50">
        <v>2.7039917599999996</v>
      </c>
      <c r="GY26" s="50">
        <v>2.0821107300000001</v>
      </c>
      <c r="GZ26" s="50">
        <v>2.2978995099999997</v>
      </c>
      <c r="HA26" s="50">
        <v>2.2689142100000002</v>
      </c>
      <c r="HB26" s="50">
        <v>2.7275595799999999</v>
      </c>
      <c r="HC26" s="50">
        <v>2.3731192599999997</v>
      </c>
      <c r="HD26" s="50">
        <v>2.34369234</v>
      </c>
      <c r="HE26" s="50">
        <v>2.7215479999999999</v>
      </c>
      <c r="HF26" s="50">
        <v>2.1656499900000004</v>
      </c>
      <c r="HG26" s="50">
        <v>2.9930278800000001</v>
      </c>
      <c r="HH26" s="50">
        <f t="shared" si="6"/>
        <v>29.533761630000001</v>
      </c>
      <c r="HI26" s="50">
        <v>2.7364943999999998</v>
      </c>
      <c r="HJ26" s="50">
        <v>1.5915488500000001</v>
      </c>
      <c r="HK26" s="50">
        <v>1.82105983</v>
      </c>
      <c r="HL26" s="50">
        <v>1.8403899399999999</v>
      </c>
      <c r="HM26" s="50"/>
      <c r="HN26" s="50"/>
      <c r="HO26" s="50"/>
      <c r="HP26" s="50"/>
      <c r="HQ26" s="50"/>
      <c r="HR26" s="50"/>
      <c r="HS26" s="50"/>
      <c r="HT26" s="50"/>
      <c r="HU26" s="276">
        <f t="shared" si="16"/>
        <v>9.6423509999999997</v>
      </c>
      <c r="HV26" s="276">
        <f t="shared" si="17"/>
        <v>7.9894930000000004</v>
      </c>
      <c r="HW26" s="277">
        <f t="shared" si="18"/>
        <v>-1.6528579999999993</v>
      </c>
      <c r="HX26" s="277">
        <f t="shared" si="19"/>
        <v>-17.141649375759087</v>
      </c>
    </row>
    <row r="27" spans="1:232" s="12" customFormat="1" ht="20.5">
      <c r="A27" s="314" t="s">
        <v>77</v>
      </c>
      <c r="B27" s="12" t="s">
        <v>78</v>
      </c>
      <c r="C27" s="48" t="s">
        <v>79</v>
      </c>
      <c r="D27" s="42">
        <v>0.75193225991883939</v>
      </c>
      <c r="E27" s="42">
        <v>1.1696490059817533</v>
      </c>
      <c r="F27" s="42">
        <v>0.8337772693382508</v>
      </c>
      <c r="G27" s="42">
        <v>0.94930165451534143</v>
      </c>
      <c r="H27" s="42">
        <v>8.0767895458762312E-2</v>
      </c>
      <c r="I27" s="42">
        <v>5.2475512376139012E-3</v>
      </c>
      <c r="J27" s="42">
        <v>2.8727781856676968E-3</v>
      </c>
      <c r="K27" s="42">
        <v>2.1528050494874816E-3</v>
      </c>
      <c r="L27" s="42">
        <v>2.0418210482581207E-3</v>
      </c>
      <c r="M27" s="42">
        <v>1.2017575312604938E-2</v>
      </c>
      <c r="N27" s="42">
        <v>0.14440014570207341</v>
      </c>
      <c r="O27" s="42">
        <v>0.23624082959118051</v>
      </c>
      <c r="P27" s="42">
        <v>0.22357300186111631</v>
      </c>
      <c r="Q27" s="42">
        <v>0.21585107654481192</v>
      </c>
      <c r="R27" s="42">
        <v>0.19938844969579003</v>
      </c>
      <c r="S27" s="42">
        <v>0.11309412012452974</v>
      </c>
      <c r="T27" s="42">
        <v>1.2376480498118962</v>
      </c>
      <c r="U27" s="42">
        <v>1.2376480498118965</v>
      </c>
      <c r="V27" s="42">
        <v>6.2018713610053448E-2</v>
      </c>
      <c r="W27" s="42">
        <v>9.9303646535876297E-2</v>
      </c>
      <c r="X27" s="42">
        <v>0.10845698089367733</v>
      </c>
      <c r="Y27" s="42">
        <v>4.0637218911673809E-2</v>
      </c>
      <c r="Z27" s="42">
        <v>3.2246543844371971E-2</v>
      </c>
      <c r="AA27" s="42">
        <v>9.066539177352435E-3</v>
      </c>
      <c r="AB27" s="42">
        <v>9.6183288655158489E-2</v>
      </c>
      <c r="AC27" s="42">
        <v>0.17284477606843446</v>
      </c>
      <c r="AD27" s="42">
        <v>0.22639740240522252</v>
      </c>
      <c r="AE27" s="42">
        <v>0.23726814303845739</v>
      </c>
      <c r="AF27" s="42">
        <v>0.14525956027569564</v>
      </c>
      <c r="AG27" s="42">
        <v>7.187636951411773E-2</v>
      </c>
      <c r="AH27" s="42">
        <v>1.3015591829300917</v>
      </c>
      <c r="AI27" s="42">
        <v>1.3015591829300914</v>
      </c>
      <c r="AJ27" s="42">
        <v>8.1290089413264585E-2</v>
      </c>
      <c r="AK27" s="42">
        <v>8.0555887558978037E-2</v>
      </c>
      <c r="AL27" s="42">
        <v>9.7594777491306253E-2</v>
      </c>
      <c r="AM27" s="42">
        <v>0.12388375706455855</v>
      </c>
      <c r="AN27" s="42">
        <v>6.7530919004445064E-2</v>
      </c>
      <c r="AO27" s="42">
        <v>7.4302365951246724E-3</v>
      </c>
      <c r="AP27" s="42">
        <v>5.5127745431158622E-2</v>
      </c>
      <c r="AQ27" s="42">
        <v>0.1276387157728186</v>
      </c>
      <c r="AR27" s="42">
        <v>0.13954388421238356</v>
      </c>
      <c r="AS27" s="42">
        <v>0.12889795732522866</v>
      </c>
      <c r="AT27" s="42">
        <v>8.2870899994877664E-2</v>
      </c>
      <c r="AU27" s="42">
        <v>2.9582927814867304E-2</v>
      </c>
      <c r="AV27" s="42">
        <v>1.0219477976790117</v>
      </c>
      <c r="AW27" s="42">
        <v>1.0219477976790117</v>
      </c>
      <c r="AX27" s="44">
        <v>6.6705E-2</v>
      </c>
      <c r="AY27" s="44">
        <v>2.3619999999999999E-2</v>
      </c>
      <c r="AZ27" s="44">
        <v>4.3038E-2</v>
      </c>
      <c r="BA27" s="44">
        <v>2.4420000000000001E-2</v>
      </c>
      <c r="BB27" s="44">
        <v>0.211364</v>
      </c>
      <c r="BC27" s="44">
        <v>0.18964900000000001</v>
      </c>
      <c r="BD27" s="44">
        <v>0.221752</v>
      </c>
      <c r="BE27" s="44">
        <v>0.20466200000000001</v>
      </c>
      <c r="BF27" s="44">
        <v>0.22221407999999998</v>
      </c>
      <c r="BG27" s="44">
        <v>0.21447126</v>
      </c>
      <c r="BH27" s="44">
        <v>0.16290441</v>
      </c>
      <c r="BI27" s="44">
        <v>0.15400082999999998</v>
      </c>
      <c r="BJ27" s="50">
        <f t="shared" si="1"/>
        <v>1.7388005800000002</v>
      </c>
      <c r="BK27" s="44">
        <v>1.738801</v>
      </c>
      <c r="BL27" s="44">
        <v>0.16869942999999998</v>
      </c>
      <c r="BM27" s="44">
        <v>0.19443963</v>
      </c>
      <c r="BN27" s="44">
        <v>0.15385182</v>
      </c>
      <c r="BO27" s="44">
        <v>2.757457E-2</v>
      </c>
      <c r="BP27" s="44">
        <v>5.0280699999999999E-3</v>
      </c>
      <c r="BQ27" s="44">
        <v>8.4306829999999999E-2</v>
      </c>
      <c r="BR27" s="44">
        <v>0.14750929999999998</v>
      </c>
      <c r="BS27" s="44">
        <v>0.19285376999999998</v>
      </c>
      <c r="BT27" s="44">
        <v>0.20462588000000001</v>
      </c>
      <c r="BU27" s="44">
        <v>0.19998973</v>
      </c>
      <c r="BV27" s="44">
        <v>0.14162060000000001</v>
      </c>
      <c r="BW27" s="44">
        <v>0.11406895</v>
      </c>
      <c r="BX27" s="50">
        <f t="shared" si="4"/>
        <v>1.63456858</v>
      </c>
      <c r="BY27" s="50">
        <v>1.63456858</v>
      </c>
      <c r="BZ27" s="50">
        <v>6.8695560000000003E-2</v>
      </c>
      <c r="CA27" s="50">
        <v>4.6174180000000002E-2</v>
      </c>
      <c r="CB27" s="50">
        <v>0.10861564</v>
      </c>
      <c r="CC27" s="50">
        <v>3.3916250000000002E-2</v>
      </c>
      <c r="CD27" s="50">
        <v>3.33563E-3</v>
      </c>
      <c r="CE27" s="73">
        <v>2.7762389999999998E-2</v>
      </c>
      <c r="CF27" s="50">
        <v>0.11658578</v>
      </c>
      <c r="CG27" s="50">
        <v>0.13697257999999998</v>
      </c>
      <c r="CH27" s="50">
        <v>0.12242217999999999</v>
      </c>
      <c r="CI27" s="50">
        <v>0.16283581</v>
      </c>
      <c r="CJ27" s="50">
        <v>6.2574470000000007E-2</v>
      </c>
      <c r="CK27" s="50">
        <v>2.9742319999999999E-2</v>
      </c>
      <c r="CL27" s="50">
        <f t="shared" si="5"/>
        <v>0.91963278999999998</v>
      </c>
      <c r="CM27" s="50">
        <v>0.91963300000000003</v>
      </c>
      <c r="CN27" s="50">
        <v>1.858566E-2</v>
      </c>
      <c r="CO27" s="50">
        <v>0.43289674</v>
      </c>
      <c r="CP27" s="50">
        <v>0.49514332</v>
      </c>
      <c r="CQ27" s="50">
        <v>0.42495002000000004</v>
      </c>
      <c r="CR27" s="50">
        <v>0.41550138000000003</v>
      </c>
      <c r="CS27" s="50">
        <v>0.40288032000000001</v>
      </c>
      <c r="CT27" s="50">
        <v>0.36476267000000001</v>
      </c>
      <c r="CU27" s="50">
        <v>0.37962915999999997</v>
      </c>
      <c r="CV27" s="50">
        <v>0.38807791999999997</v>
      </c>
      <c r="CW27" s="50">
        <v>0.40013477000000003</v>
      </c>
      <c r="CX27" s="50">
        <v>0.43024863000000002</v>
      </c>
      <c r="CY27" s="50">
        <v>0.44948110999999996</v>
      </c>
      <c r="CZ27" s="50">
        <f t="shared" si="9"/>
        <v>4.6022917000000003</v>
      </c>
      <c r="DA27" s="50">
        <v>4.6022920000000003</v>
      </c>
      <c r="DB27" s="50">
        <v>0.44239989000000002</v>
      </c>
      <c r="DC27" s="50">
        <v>0.46416684999999996</v>
      </c>
      <c r="DD27" s="50">
        <v>0.41675265</v>
      </c>
      <c r="DE27" s="50">
        <v>0.48329960999999999</v>
      </c>
      <c r="DF27" s="50">
        <v>0.40844915999999998</v>
      </c>
      <c r="DG27" s="50">
        <v>0.40579187</v>
      </c>
      <c r="DH27" s="50">
        <v>0.39265522999999997</v>
      </c>
      <c r="DI27" s="50">
        <v>0.39961334999999998</v>
      </c>
      <c r="DJ27" s="50">
        <v>0.41481840000000003</v>
      </c>
      <c r="DK27" s="50">
        <v>0.36774628999999998</v>
      </c>
      <c r="DL27" s="50">
        <v>0.46139432000000002</v>
      </c>
      <c r="DM27" s="50">
        <v>0.34032835</v>
      </c>
      <c r="DN27" s="50">
        <f t="shared" si="20"/>
        <v>4.9974159700000005</v>
      </c>
      <c r="DO27" s="50">
        <v>4.9974160000000003</v>
      </c>
      <c r="DP27" s="44">
        <v>0.50939407999999997</v>
      </c>
      <c r="DQ27" s="50">
        <v>0.46078637</v>
      </c>
      <c r="DR27" s="50">
        <v>0.41662242999999999</v>
      </c>
      <c r="DS27" s="50">
        <v>0.41325856</v>
      </c>
      <c r="DT27" s="50">
        <v>0.38620088000000002</v>
      </c>
      <c r="DU27" s="50">
        <v>0.39408859000000002</v>
      </c>
      <c r="DV27" s="50">
        <v>0.37789851000000002</v>
      </c>
      <c r="DW27" s="50">
        <v>0.37604850000000001</v>
      </c>
      <c r="DX27" s="50">
        <v>0.48612346999999995</v>
      </c>
      <c r="DY27" s="50">
        <v>0.37778828999999997</v>
      </c>
      <c r="DZ27" s="50">
        <v>0.41355782000000002</v>
      </c>
      <c r="EA27" s="50">
        <v>0.40563924000000001</v>
      </c>
      <c r="EB27" s="50">
        <f t="shared" si="10"/>
        <v>5.0174067400000002</v>
      </c>
      <c r="EC27" s="50">
        <v>5.0174070000000004</v>
      </c>
      <c r="ED27" s="50">
        <v>0.43697147999999997</v>
      </c>
      <c r="EE27" s="50">
        <v>0.40816726000000003</v>
      </c>
      <c r="EF27" s="50">
        <v>0.42361599</v>
      </c>
      <c r="EG27" s="50">
        <v>0.42842878000000001</v>
      </c>
      <c r="EH27" s="50">
        <v>0.38668428000000005</v>
      </c>
      <c r="EI27" s="50">
        <v>0.36669816</v>
      </c>
      <c r="EJ27" s="50">
        <v>0.35803962</v>
      </c>
      <c r="EK27" s="50">
        <v>0.38183102000000002</v>
      </c>
      <c r="EL27" s="44">
        <v>0.39422942999999999</v>
      </c>
      <c r="EM27" s="44">
        <v>0.39566220000000002</v>
      </c>
      <c r="EN27" s="44">
        <v>0.42206077000000003</v>
      </c>
      <c r="EO27" s="44">
        <v>0.39674380999999997</v>
      </c>
      <c r="EP27" s="50">
        <f t="shared" si="11"/>
        <v>4.7991327999999998</v>
      </c>
      <c r="EQ27" s="50">
        <v>4.7991330000000003</v>
      </c>
      <c r="ER27" s="44">
        <v>0.42642672999999998</v>
      </c>
      <c r="ES27" s="44">
        <v>0.44595979999999996</v>
      </c>
      <c r="ET27" s="44">
        <v>0.41806119000000003</v>
      </c>
      <c r="EU27" s="44">
        <v>0.46918213000000003</v>
      </c>
      <c r="EV27" s="44">
        <v>0.39525737999999999</v>
      </c>
      <c r="EW27" s="44">
        <v>0.39833542999999999</v>
      </c>
      <c r="EX27" s="44">
        <v>0.37680681999999999</v>
      </c>
      <c r="EY27" s="44">
        <v>0.43373690999999998</v>
      </c>
      <c r="EZ27" s="44">
        <v>0.41095847999999996</v>
      </c>
      <c r="FA27" s="44">
        <v>0.39814073999999999</v>
      </c>
      <c r="FB27" s="44">
        <v>0.44900727000000001</v>
      </c>
      <c r="FC27" s="44">
        <v>0.42087928000000002</v>
      </c>
      <c r="FD27" s="50">
        <f>SUM(ER27:FC27)</f>
        <v>5.04275216</v>
      </c>
      <c r="FE27" s="50">
        <v>5.0427520000000001</v>
      </c>
      <c r="FF27" s="50">
        <v>0.48379061000000001</v>
      </c>
      <c r="FG27" s="50">
        <v>0.41561244000000003</v>
      </c>
      <c r="FH27" s="50">
        <v>0.42839981999999999</v>
      </c>
      <c r="FI27" s="50">
        <v>0.44967048999999998</v>
      </c>
      <c r="FJ27" s="50">
        <v>0.41378862999999999</v>
      </c>
      <c r="FK27" s="50">
        <v>0.40190478999999996</v>
      </c>
      <c r="FL27" s="50">
        <v>0.38874878999999996</v>
      </c>
      <c r="FM27" s="50">
        <v>0.38741755999999999</v>
      </c>
      <c r="FN27" s="50">
        <v>0.41408634999999999</v>
      </c>
      <c r="FO27" s="50">
        <v>0.36916569999999999</v>
      </c>
      <c r="FP27" s="50">
        <v>0.40093808000000003</v>
      </c>
      <c r="FQ27" s="50">
        <v>0.43040110999999998</v>
      </c>
      <c r="FR27" s="50">
        <f>SUM(FF27:FQ27)</f>
        <v>4.9839243700000004</v>
      </c>
      <c r="FS27" s="45">
        <v>4.983924</v>
      </c>
      <c r="FT27" s="50">
        <v>0.43421607000000001</v>
      </c>
      <c r="FU27" s="50">
        <v>0.46753906000000001</v>
      </c>
      <c r="FV27" s="50">
        <v>0.41399075000000002</v>
      </c>
      <c r="FW27" s="50">
        <v>0.43584993999999999</v>
      </c>
      <c r="FX27" s="50">
        <v>0.38106150999999999</v>
      </c>
      <c r="FY27" s="50">
        <v>0.38488783000000004</v>
      </c>
      <c r="FZ27" s="50">
        <v>0.37138394000000002</v>
      </c>
      <c r="GA27" s="50">
        <v>0.36922944000000002</v>
      </c>
      <c r="GB27" s="50">
        <v>0.41312624999999997</v>
      </c>
      <c r="GC27" s="50">
        <v>0.38548478000000003</v>
      </c>
      <c r="GD27" s="50">
        <v>0.42069011000000001</v>
      </c>
      <c r="GE27" s="50">
        <v>0.43678093000000001</v>
      </c>
      <c r="GF27" s="50">
        <f t="shared" si="14"/>
        <v>4.9142406100000002</v>
      </c>
      <c r="GG27" s="50">
        <v>4.9142409999999996</v>
      </c>
      <c r="GH27" s="50">
        <v>0.44794128000000005</v>
      </c>
      <c r="GI27" s="50">
        <v>0.44912417999999998</v>
      </c>
      <c r="GJ27" s="50">
        <v>0.42597166999999997</v>
      </c>
      <c r="GK27" s="50">
        <v>0.41666689000000001</v>
      </c>
      <c r="GL27" s="50">
        <v>0.42158015000000004</v>
      </c>
      <c r="GM27" s="50">
        <v>0.38142877000000003</v>
      </c>
      <c r="GN27" s="50">
        <v>0.36693796999999995</v>
      </c>
      <c r="GO27" s="50">
        <v>0.39519710999999996</v>
      </c>
      <c r="GP27" s="50">
        <v>0.39463628000000001</v>
      </c>
      <c r="GQ27" s="50">
        <v>0.39258134</v>
      </c>
      <c r="GR27" s="50">
        <v>0.43092978999999998</v>
      </c>
      <c r="GS27" s="50">
        <v>0.42922378999999999</v>
      </c>
      <c r="GT27" s="50">
        <f t="shared" si="15"/>
        <v>4.9522192199999999</v>
      </c>
      <c r="GU27" s="50">
        <v>4.9522190000000004</v>
      </c>
      <c r="GV27" s="50">
        <v>0.43988663</v>
      </c>
      <c r="GW27" s="50">
        <v>0.44684942</v>
      </c>
      <c r="GX27" s="50">
        <v>0.44636003000000002</v>
      </c>
      <c r="GY27" s="50">
        <v>0.45297375000000001</v>
      </c>
      <c r="GZ27" s="50">
        <v>0.40747541999999998</v>
      </c>
      <c r="HA27" s="50">
        <v>0.40443572</v>
      </c>
      <c r="HB27" s="50">
        <v>0.37364520000000001</v>
      </c>
      <c r="HC27" s="50">
        <v>0.42002305000000001</v>
      </c>
      <c r="HD27" s="50">
        <v>0.40909305000000001</v>
      </c>
      <c r="HE27" s="50">
        <v>0.39578288</v>
      </c>
      <c r="HF27" s="50">
        <v>0.45376630000000001</v>
      </c>
      <c r="HG27" s="50">
        <v>0.45968819</v>
      </c>
      <c r="HH27" s="50">
        <f t="shared" si="6"/>
        <v>5.1099796399999997</v>
      </c>
      <c r="HI27" s="50">
        <v>0.46304208000000002</v>
      </c>
      <c r="HJ27" s="50">
        <v>0.51569337000000004</v>
      </c>
      <c r="HK27" s="50">
        <v>0.47922179999999998</v>
      </c>
      <c r="HL27" s="50">
        <v>0.47356788</v>
      </c>
      <c r="HM27" s="50"/>
      <c r="HN27" s="50"/>
      <c r="HO27" s="50"/>
      <c r="HP27" s="50"/>
      <c r="HQ27" s="50"/>
      <c r="HR27" s="50"/>
      <c r="HS27" s="50"/>
      <c r="HT27" s="50"/>
      <c r="HU27" s="276">
        <f t="shared" si="16"/>
        <v>1.78607</v>
      </c>
      <c r="HV27" s="276">
        <f t="shared" si="17"/>
        <v>1.9315249999999999</v>
      </c>
      <c r="HW27" s="277">
        <f t="shared" si="18"/>
        <v>0.14545499999999989</v>
      </c>
      <c r="HX27" s="277">
        <f t="shared" si="19"/>
        <v>8.143857743537481</v>
      </c>
    </row>
    <row r="28" spans="1:232" s="12" customFormat="1" ht="20.5">
      <c r="A28" s="314" t="s">
        <v>80</v>
      </c>
      <c r="B28" s="12" t="s">
        <v>81</v>
      </c>
      <c r="C28" s="48" t="s">
        <v>82</v>
      </c>
      <c r="D28" s="42">
        <v>39.621144728829087</v>
      </c>
      <c r="E28" s="42">
        <v>37.549299662494803</v>
      </c>
      <c r="F28" s="42">
        <v>21.445496895293708</v>
      </c>
      <c r="G28" s="42">
        <v>24.569816051132324</v>
      </c>
      <c r="H28" s="42">
        <v>2.1313851372502151</v>
      </c>
      <c r="I28" s="42">
        <v>2.2011883825362406</v>
      </c>
      <c r="J28" s="42">
        <v>2.8171837382826506</v>
      </c>
      <c r="K28" s="42">
        <v>2.0609515597520787</v>
      </c>
      <c r="L28" s="42">
        <v>2.631814844537026</v>
      </c>
      <c r="M28" s="42">
        <v>2.20040011155315</v>
      </c>
      <c r="N28" s="42">
        <v>2.5245929163749778</v>
      </c>
      <c r="O28" s="42">
        <v>2.5667910256629161</v>
      </c>
      <c r="P28" s="42">
        <v>2.6468005304466109</v>
      </c>
      <c r="Q28" s="42">
        <v>2.7724201911201418</v>
      </c>
      <c r="R28" s="42">
        <v>2.6113852510799598</v>
      </c>
      <c r="S28" s="42">
        <v>2.527801492307955</v>
      </c>
      <c r="T28" s="42">
        <v>29.692715180903921</v>
      </c>
      <c r="U28" s="42">
        <v>29.692715180903921</v>
      </c>
      <c r="V28" s="42">
        <v>2.6188695568038884</v>
      </c>
      <c r="W28" s="42">
        <v>2.7055295644304813</v>
      </c>
      <c r="X28" s="42">
        <v>3.0061823780172001</v>
      </c>
      <c r="Y28" s="42">
        <v>2.5020162093556668</v>
      </c>
      <c r="Z28" s="42">
        <v>2.4962535785226039</v>
      </c>
      <c r="AA28" s="42">
        <v>2.2812562250641713</v>
      </c>
      <c r="AB28" s="42">
        <v>2.2273806068263697</v>
      </c>
      <c r="AC28" s="42">
        <v>2.7658564834576924</v>
      </c>
      <c r="AD28" s="42">
        <v>2.6301358558004795</v>
      </c>
      <c r="AE28" s="42">
        <v>3.3834113067085561</v>
      </c>
      <c r="AF28" s="42">
        <v>2.9694182161740685</v>
      </c>
      <c r="AG28" s="42">
        <v>2.3287303430259363</v>
      </c>
      <c r="AH28" s="42">
        <v>31.915040324187114</v>
      </c>
      <c r="AI28" s="42">
        <v>31.915040324187114</v>
      </c>
      <c r="AJ28" s="42">
        <v>2.4242690707508778</v>
      </c>
      <c r="AK28" s="42">
        <v>1.3289992657981458</v>
      </c>
      <c r="AL28" s="42">
        <v>2.2353686091712626</v>
      </c>
      <c r="AM28" s="42">
        <v>2.443990074046249</v>
      </c>
      <c r="AN28" s="42">
        <v>2.3170699085378001</v>
      </c>
      <c r="AO28" s="42">
        <v>1.7322325997006278</v>
      </c>
      <c r="AP28" s="42">
        <v>2.3536505199173599</v>
      </c>
      <c r="AQ28" s="42">
        <v>2.3284343856893246</v>
      </c>
      <c r="AR28" s="42">
        <v>2.4637964496502582</v>
      </c>
      <c r="AS28" s="42">
        <v>2.5855999681276716</v>
      </c>
      <c r="AT28" s="42">
        <v>2.653574823137034</v>
      </c>
      <c r="AU28" s="42">
        <v>2.7012794463321215</v>
      </c>
      <c r="AV28" s="42">
        <v>27.568265120858733</v>
      </c>
      <c r="AW28" s="42">
        <v>27.568265120858733</v>
      </c>
      <c r="AX28" s="44">
        <v>2.5818319999999999</v>
      </c>
      <c r="AY28" s="44">
        <v>2.7064699999999999</v>
      </c>
      <c r="AZ28" s="44">
        <v>3.0772089999999999</v>
      </c>
      <c r="BA28" s="44">
        <v>3.149095</v>
      </c>
      <c r="BB28" s="44">
        <v>2.7078829999999998</v>
      </c>
      <c r="BC28" s="44">
        <v>2.3678279999999998</v>
      </c>
      <c r="BD28" s="44">
        <v>3.2836989999999999</v>
      </c>
      <c r="BE28" s="44">
        <v>2.7371530000000002</v>
      </c>
      <c r="BF28" s="44">
        <v>3.4026588900000001</v>
      </c>
      <c r="BG28" s="44">
        <v>3.2477963599999997</v>
      </c>
      <c r="BH28" s="44">
        <v>3.0349518199999999</v>
      </c>
      <c r="BI28" s="44">
        <v>3.3406056399999997</v>
      </c>
      <c r="BJ28" s="50">
        <f t="shared" si="1"/>
        <v>35.63718171</v>
      </c>
      <c r="BK28" s="44">
        <v>35.637182000000003</v>
      </c>
      <c r="BL28" s="44">
        <v>3.3807308100000002</v>
      </c>
      <c r="BM28" s="44">
        <v>3.1421966600000002</v>
      </c>
      <c r="BN28" s="44">
        <v>3.5649939099999997</v>
      </c>
      <c r="BO28" s="44">
        <v>2.9964210599999999</v>
      </c>
      <c r="BP28" s="44">
        <v>2.75141569</v>
      </c>
      <c r="BQ28" s="44">
        <v>3.21092171</v>
      </c>
      <c r="BR28" s="44">
        <v>3.4151947499999999</v>
      </c>
      <c r="BS28" s="44">
        <v>3.0491496699999998</v>
      </c>
      <c r="BT28" s="44">
        <v>3.6395499</v>
      </c>
      <c r="BU28" s="44">
        <v>3.7936569700000002</v>
      </c>
      <c r="BV28" s="44">
        <v>3.5700300600000001</v>
      </c>
      <c r="BW28" s="44">
        <v>3.4507070299999998</v>
      </c>
      <c r="BX28" s="50">
        <f t="shared" si="4"/>
        <v>39.964968219999996</v>
      </c>
      <c r="BY28" s="50">
        <v>39.964967999999999</v>
      </c>
      <c r="BZ28" s="50">
        <v>2.4417675599999997</v>
      </c>
      <c r="CA28" s="50">
        <v>3.4051756800000001</v>
      </c>
      <c r="CB28" s="50">
        <v>3.5195546800000002</v>
      </c>
      <c r="CC28" s="50">
        <v>3.2439843700000002</v>
      </c>
      <c r="CD28" s="50">
        <v>2.9133125399999997</v>
      </c>
      <c r="CE28" s="73">
        <v>3.0777749999999999</v>
      </c>
      <c r="CF28" s="50">
        <v>2.8963613599999998</v>
      </c>
      <c r="CG28" s="50">
        <v>3.3246597100000002</v>
      </c>
      <c r="CH28" s="50">
        <v>3.4395158300000004</v>
      </c>
      <c r="CI28" s="50">
        <v>8.0694992800000005</v>
      </c>
      <c r="CJ28" s="50">
        <v>3.2424987099999996</v>
      </c>
      <c r="CK28" s="50">
        <v>3.0021208200000005</v>
      </c>
      <c r="CL28" s="50">
        <f t="shared" si="5"/>
        <v>42.576225540000003</v>
      </c>
      <c r="CM28" s="50">
        <v>42.576225999999998</v>
      </c>
      <c r="CN28" s="50">
        <v>2.8427924500000001</v>
      </c>
      <c r="CO28" s="50">
        <v>3.3802950200000002</v>
      </c>
      <c r="CP28" s="50">
        <v>3.5343195400000003</v>
      </c>
      <c r="CQ28" s="50">
        <v>3.0449542499999995</v>
      </c>
      <c r="CR28" s="50">
        <v>3.1052594300000003</v>
      </c>
      <c r="CS28" s="50">
        <v>3.2643814399999997</v>
      </c>
      <c r="CT28" s="50">
        <v>4.0476725800000004</v>
      </c>
      <c r="CU28" s="50">
        <v>4.2239830899999999</v>
      </c>
      <c r="CV28" s="50">
        <v>4.19127998</v>
      </c>
      <c r="CW28" s="50">
        <v>4.3505973600000001</v>
      </c>
      <c r="CX28" s="50">
        <v>4.2197754600000001</v>
      </c>
      <c r="CY28" s="50">
        <v>5.0959252299999998</v>
      </c>
      <c r="CZ28" s="50">
        <f t="shared" si="9"/>
        <v>45.301235830000003</v>
      </c>
      <c r="DA28" s="50">
        <v>45.301236000000003</v>
      </c>
      <c r="DB28" s="50">
        <v>4.5730551799999999</v>
      </c>
      <c r="DC28" s="50">
        <v>3.9441526499999999</v>
      </c>
      <c r="DD28" s="50">
        <v>4.5281036600000002</v>
      </c>
      <c r="DE28" s="50">
        <v>3.8105974099999997</v>
      </c>
      <c r="DF28" s="50">
        <v>4.3658163300000004</v>
      </c>
      <c r="DG28" s="50">
        <v>3.6417229500000001</v>
      </c>
      <c r="DH28" s="50">
        <v>3.6361210800000001</v>
      </c>
      <c r="DI28" s="50">
        <v>5.1534413899999993</v>
      </c>
      <c r="DJ28" s="50">
        <v>4.6832836899999997</v>
      </c>
      <c r="DK28" s="50">
        <v>5.3361932599999999</v>
      </c>
      <c r="DL28" s="50">
        <v>4.9829409999999994</v>
      </c>
      <c r="DM28" s="50">
        <v>4.1290899900000007</v>
      </c>
      <c r="DN28" s="50">
        <f t="shared" si="20"/>
        <v>52.78451858999999</v>
      </c>
      <c r="DO28" s="50">
        <v>52.784519000000003</v>
      </c>
      <c r="DP28" s="44">
        <v>4.3775878399999995</v>
      </c>
      <c r="DQ28" s="50">
        <v>4.0370475399999997</v>
      </c>
      <c r="DR28" s="50">
        <v>4.2486198600000007</v>
      </c>
      <c r="DS28" s="50">
        <v>4.3360583000000004</v>
      </c>
      <c r="DT28" s="50">
        <v>4.2670698499999995</v>
      </c>
      <c r="DU28" s="50">
        <v>3.5320588700000002</v>
      </c>
      <c r="DV28" s="50">
        <v>4.1869190099999996</v>
      </c>
      <c r="DW28" s="50">
        <v>4.2593056699999998</v>
      </c>
      <c r="DX28" s="50">
        <v>4.05480061</v>
      </c>
      <c r="DY28" s="50">
        <v>4.7969013100000009</v>
      </c>
      <c r="DZ28" s="50">
        <v>4.1088525000000002</v>
      </c>
      <c r="EA28" s="50">
        <v>3.4655078100000001</v>
      </c>
      <c r="EB28" s="50">
        <f t="shared" si="10"/>
        <v>49.670729170000001</v>
      </c>
      <c r="EC28" s="50">
        <v>49.670729000000001</v>
      </c>
      <c r="ED28" s="50">
        <v>4.3266214999999999</v>
      </c>
      <c r="EE28" s="50">
        <v>4.24534653</v>
      </c>
      <c r="EF28" s="50">
        <v>4.4216349800000003</v>
      </c>
      <c r="EG28" s="50">
        <v>3.6650933899999996</v>
      </c>
      <c r="EH28" s="50">
        <v>3.7885135600000002</v>
      </c>
      <c r="EI28" s="50">
        <v>3.9138715900000003</v>
      </c>
      <c r="EJ28" s="50">
        <v>3.7646541300000003</v>
      </c>
      <c r="EK28" s="50">
        <v>3.7574420700000002</v>
      </c>
      <c r="EL28" s="44">
        <v>3.7301978400000002</v>
      </c>
      <c r="EM28" s="44">
        <v>4.5115933900000007</v>
      </c>
      <c r="EN28" s="44">
        <v>3.7749249200000001</v>
      </c>
      <c r="EO28" s="44">
        <v>3.8196266800000003</v>
      </c>
      <c r="EP28" s="50">
        <f t="shared" si="11"/>
        <v>47.719520580000008</v>
      </c>
      <c r="EQ28" s="50">
        <v>47.719521</v>
      </c>
      <c r="ER28" s="44">
        <v>4.4934027400000005</v>
      </c>
      <c r="ES28" s="44">
        <v>3.8957172299999998</v>
      </c>
      <c r="ET28" s="44">
        <v>4.6603418699999999</v>
      </c>
      <c r="EU28" s="44">
        <v>5.8040480499999996</v>
      </c>
      <c r="EV28" s="44">
        <v>5.0070785300000011</v>
      </c>
      <c r="EW28" s="44">
        <v>5.1973242099999997</v>
      </c>
      <c r="EX28" s="44">
        <v>5.7530703999999995</v>
      </c>
      <c r="EY28" s="44">
        <v>5.8182495200000002</v>
      </c>
      <c r="EZ28" s="44">
        <v>6.4241210000000004</v>
      </c>
      <c r="FA28" s="44">
        <v>7.6081083600000001</v>
      </c>
      <c r="FB28" s="44">
        <v>7.7492160799999938</v>
      </c>
      <c r="FC28" s="44">
        <v>8.3219279099999994</v>
      </c>
      <c r="FD28" s="50">
        <f t="shared" si="12"/>
        <v>70.732605899999996</v>
      </c>
      <c r="FE28" s="50">
        <v>70.732674000000003</v>
      </c>
      <c r="FF28" s="50">
        <v>10.190891899999999</v>
      </c>
      <c r="FG28" s="50">
        <v>6.08224608</v>
      </c>
      <c r="FH28" s="50">
        <v>7.6192412799999998</v>
      </c>
      <c r="FI28" s="50">
        <v>7.6067234799999994</v>
      </c>
      <c r="FJ28" s="50">
        <v>8.7817707699999961</v>
      </c>
      <c r="FK28" s="50">
        <v>8.4473802400000011</v>
      </c>
      <c r="FL28" s="50">
        <v>6.5185861099999993</v>
      </c>
      <c r="FM28" s="50">
        <v>5.8317595000000004</v>
      </c>
      <c r="FN28" s="50">
        <v>5.8682587099999965</v>
      </c>
      <c r="FO28" s="50">
        <v>5.8004613000000003</v>
      </c>
      <c r="FP28" s="50">
        <v>6.2878124399999997</v>
      </c>
      <c r="FQ28" s="50">
        <v>8.8249214300000016</v>
      </c>
      <c r="FR28" s="50">
        <f t="shared" si="13"/>
        <v>87.860053239999985</v>
      </c>
      <c r="FS28" s="50">
        <v>87.859859999999998</v>
      </c>
      <c r="FT28" s="50">
        <v>5.6276850499999993</v>
      </c>
      <c r="FU28" s="50">
        <v>4.9668836300000008</v>
      </c>
      <c r="FV28" s="50">
        <v>6.3840181500000011</v>
      </c>
      <c r="FW28" s="50">
        <v>3.6746650500000002</v>
      </c>
      <c r="FX28" s="50">
        <v>4.0247993899999992</v>
      </c>
      <c r="FY28" s="50">
        <v>4.399385950000001</v>
      </c>
      <c r="FZ28" s="50">
        <v>4.2796396500000027</v>
      </c>
      <c r="GA28" s="50">
        <v>4.9301913899999992</v>
      </c>
      <c r="GB28" s="50">
        <v>4.1458522699999998</v>
      </c>
      <c r="GC28" s="50">
        <v>5.0929069199999999</v>
      </c>
      <c r="GD28" s="50">
        <v>4.8730808799999998</v>
      </c>
      <c r="GE28" s="50">
        <v>4.4904552500000001</v>
      </c>
      <c r="GF28" s="50">
        <f t="shared" si="14"/>
        <v>56.889563579999987</v>
      </c>
      <c r="GG28" s="50">
        <v>56.889358000000001</v>
      </c>
      <c r="GH28" s="50">
        <v>4.5778784099999994</v>
      </c>
      <c r="GI28" s="50">
        <v>4.8174430199999998</v>
      </c>
      <c r="GJ28" s="50">
        <v>6.1570978599999995</v>
      </c>
      <c r="GK28" s="50">
        <v>5.83326543</v>
      </c>
      <c r="GL28" s="50">
        <v>5.20807427</v>
      </c>
      <c r="GM28" s="50">
        <v>4.3978706399999998</v>
      </c>
      <c r="GN28" s="50">
        <v>4.8375660600000003</v>
      </c>
      <c r="GO28" s="50">
        <v>4.5600166999999994</v>
      </c>
      <c r="GP28" s="50">
        <v>4.5432751200000006</v>
      </c>
      <c r="GQ28" s="50">
        <v>6.0689853099999995</v>
      </c>
      <c r="GR28" s="50">
        <v>5.6977708099999989</v>
      </c>
      <c r="GS28" s="50">
        <v>5.5548312600000003</v>
      </c>
      <c r="GT28" s="50">
        <f t="shared" si="15"/>
        <v>62.254074890000005</v>
      </c>
      <c r="GU28" s="50">
        <v>62.254075</v>
      </c>
      <c r="GV28" s="50">
        <v>8.3573237300000009</v>
      </c>
      <c r="GW28" s="50">
        <v>5.3797267999999994</v>
      </c>
      <c r="GX28" s="50">
        <v>5.2389274500000003</v>
      </c>
      <c r="GY28" s="50">
        <v>6.5289146599999999</v>
      </c>
      <c r="GZ28" s="50">
        <v>5.0880901600000001</v>
      </c>
      <c r="HA28" s="50">
        <v>4.5080626400000003</v>
      </c>
      <c r="HB28" s="50">
        <v>6.2651030500000005</v>
      </c>
      <c r="HC28" s="50">
        <v>4.0575510699999997</v>
      </c>
      <c r="HD28" s="50">
        <v>4.7752739399999999</v>
      </c>
      <c r="HE28" s="50">
        <v>5.45955952</v>
      </c>
      <c r="HF28" s="50">
        <v>6.46647645</v>
      </c>
      <c r="HG28" s="50">
        <v>13.46313239</v>
      </c>
      <c r="HH28" s="50">
        <f t="shared" si="6"/>
        <v>75.588141860000007</v>
      </c>
      <c r="HI28" s="50">
        <v>6.1609492799999996</v>
      </c>
      <c r="HJ28" s="50">
        <v>6.0740649300000005</v>
      </c>
      <c r="HK28" s="50">
        <v>4.7769998500000002</v>
      </c>
      <c r="HL28" s="50">
        <v>6.2303940300000002</v>
      </c>
      <c r="HM28" s="50"/>
      <c r="HN28" s="50"/>
      <c r="HO28" s="50"/>
      <c r="HP28" s="50"/>
      <c r="HQ28" s="50"/>
      <c r="HR28" s="50"/>
      <c r="HS28" s="50"/>
      <c r="HT28" s="50"/>
      <c r="HU28" s="276">
        <f t="shared" si="16"/>
        <v>25.504892999999999</v>
      </c>
      <c r="HV28" s="276">
        <f>ROUND(SUM(HI28:HL28),6)</f>
        <v>23.242408000000001</v>
      </c>
      <c r="HW28" s="277">
        <f t="shared" si="18"/>
        <v>-2.2624849999999981</v>
      </c>
      <c r="HX28" s="277">
        <f t="shared" si="19"/>
        <v>-8.870788048395255</v>
      </c>
    </row>
    <row r="29" spans="1:232" s="12" customFormat="1" ht="20.25" hidden="1" customHeight="1">
      <c r="A29" s="314" t="s">
        <v>83</v>
      </c>
      <c r="B29" s="12" t="s">
        <v>84</v>
      </c>
      <c r="C29" s="48" t="s">
        <v>83</v>
      </c>
      <c r="D29" s="44" t="s">
        <v>46</v>
      </c>
      <c r="E29" s="44" t="s">
        <v>46</v>
      </c>
      <c r="F29" s="44" t="s">
        <v>46</v>
      </c>
      <c r="G29" s="44" t="s">
        <v>46</v>
      </c>
      <c r="H29" s="44" t="s">
        <v>46</v>
      </c>
      <c r="I29" s="44" t="s">
        <v>46</v>
      </c>
      <c r="J29" s="44" t="s">
        <v>46</v>
      </c>
      <c r="K29" s="44" t="s">
        <v>46</v>
      </c>
      <c r="L29" s="44" t="s">
        <v>46</v>
      </c>
      <c r="M29" s="44" t="s">
        <v>46</v>
      </c>
      <c r="N29" s="44" t="s">
        <v>46</v>
      </c>
      <c r="O29" s="44" t="s">
        <v>46</v>
      </c>
      <c r="P29" s="44" t="s">
        <v>46</v>
      </c>
      <c r="Q29" s="44" t="s">
        <v>46</v>
      </c>
      <c r="R29" s="44" t="s">
        <v>46</v>
      </c>
      <c r="S29" s="44" t="s">
        <v>46</v>
      </c>
      <c r="T29" s="44">
        <v>0</v>
      </c>
      <c r="U29" s="44" t="s">
        <v>46</v>
      </c>
      <c r="V29" s="44" t="s">
        <v>46</v>
      </c>
      <c r="W29" s="44" t="s">
        <v>46</v>
      </c>
      <c r="X29" s="44" t="s">
        <v>46</v>
      </c>
      <c r="Y29" s="44" t="s">
        <v>46</v>
      </c>
      <c r="Z29" s="44" t="s">
        <v>46</v>
      </c>
      <c r="AA29" s="44" t="s">
        <v>46</v>
      </c>
      <c r="AB29" s="44" t="s">
        <v>46</v>
      </c>
      <c r="AC29" s="44" t="s">
        <v>46</v>
      </c>
      <c r="AD29" s="44" t="s">
        <v>46</v>
      </c>
      <c r="AE29" s="44" t="s">
        <v>46</v>
      </c>
      <c r="AF29" s="44" t="s">
        <v>46</v>
      </c>
      <c r="AG29" s="44" t="s">
        <v>46</v>
      </c>
      <c r="AH29" s="44">
        <v>0</v>
      </c>
      <c r="AI29" s="44" t="s">
        <v>46</v>
      </c>
      <c r="AJ29" s="44" t="s">
        <v>46</v>
      </c>
      <c r="AK29" s="44" t="s">
        <v>46</v>
      </c>
      <c r="AL29" s="44" t="s">
        <v>46</v>
      </c>
      <c r="AM29" s="44" t="s">
        <v>46</v>
      </c>
      <c r="AN29" s="44" t="s">
        <v>46</v>
      </c>
      <c r="AO29" s="44" t="s">
        <v>46</v>
      </c>
      <c r="AP29" s="44" t="s">
        <v>46</v>
      </c>
      <c r="AQ29" s="44" t="s">
        <v>46</v>
      </c>
      <c r="AR29" s="44" t="s">
        <v>46</v>
      </c>
      <c r="AS29" s="44" t="s">
        <v>46</v>
      </c>
      <c r="AT29" s="44" t="s">
        <v>46</v>
      </c>
      <c r="AU29" s="44" t="s">
        <v>46</v>
      </c>
      <c r="AV29" s="44" t="s">
        <v>46</v>
      </c>
      <c r="AW29" s="44" t="s">
        <v>46</v>
      </c>
      <c r="AX29" s="44"/>
      <c r="AY29" s="44"/>
      <c r="AZ29" s="44">
        <v>2.7927059999999999</v>
      </c>
      <c r="BA29" s="44">
        <v>2.5697930000000002</v>
      </c>
      <c r="BB29" s="44">
        <v>2.746076</v>
      </c>
      <c r="BC29" s="44">
        <v>2.5419719999999999</v>
      </c>
      <c r="BD29" s="44">
        <v>2.5598619999999999</v>
      </c>
      <c r="BE29" s="44">
        <v>2.3077019999999999</v>
      </c>
      <c r="BF29" s="44">
        <v>2.3262954200000001</v>
      </c>
      <c r="BG29" s="44">
        <v>2.2600144800000002</v>
      </c>
      <c r="BH29" s="44">
        <v>2.2820726499999999</v>
      </c>
      <c r="BI29" s="44">
        <v>2.59003615</v>
      </c>
      <c r="BJ29" s="50">
        <f t="shared" si="1"/>
        <v>24.976529699999997</v>
      </c>
      <c r="BK29" s="44">
        <v>24.97653</v>
      </c>
      <c r="BL29" s="44">
        <v>2.6578912099999998</v>
      </c>
      <c r="BM29" s="44">
        <v>2.66595227</v>
      </c>
      <c r="BN29" s="44">
        <v>2.8182498199999997</v>
      </c>
      <c r="BO29" s="44">
        <v>2.7897721899999999</v>
      </c>
      <c r="BP29" s="44">
        <v>2.7885663700000003</v>
      </c>
      <c r="BQ29" s="44">
        <v>2.7059291400000003</v>
      </c>
      <c r="BR29" s="44">
        <v>2.6090785299999997</v>
      </c>
      <c r="BS29" s="44">
        <v>2.36219599</v>
      </c>
      <c r="BT29" s="44">
        <v>2.51282681</v>
      </c>
      <c r="BU29" s="44">
        <v>2.2583141200000001</v>
      </c>
      <c r="BV29" s="44">
        <v>2.4182676299999999</v>
      </c>
      <c r="BW29" s="44">
        <v>2.44323508</v>
      </c>
      <c r="BX29" s="50">
        <f t="shared" si="4"/>
        <v>31.030279159999999</v>
      </c>
      <c r="BY29" s="50">
        <v>31.030279159999999</v>
      </c>
      <c r="BZ29" s="50">
        <v>2.50069608</v>
      </c>
      <c r="CA29" s="50">
        <v>2.7211892999999998</v>
      </c>
      <c r="CB29" s="50">
        <v>2.6356979300000001</v>
      </c>
      <c r="CC29" s="50">
        <v>2.6168763099999999</v>
      </c>
      <c r="CD29" s="50">
        <v>2.6647590800000001</v>
      </c>
      <c r="CE29" s="73">
        <v>2.4488686299999998</v>
      </c>
      <c r="CF29" s="50">
        <v>2.2670969100000002</v>
      </c>
      <c r="CG29" s="50">
        <v>2.2620278599999999</v>
      </c>
      <c r="CH29" s="50">
        <v>2.1948775699999996</v>
      </c>
      <c r="CI29" s="50">
        <v>2.3972796499999998</v>
      </c>
      <c r="CJ29" s="50">
        <v>2.27393548</v>
      </c>
      <c r="CK29" s="50">
        <v>2.25213785</v>
      </c>
      <c r="CL29" s="50">
        <f t="shared" si="5"/>
        <v>29.23544265</v>
      </c>
      <c r="CM29" s="50">
        <v>29.235443</v>
      </c>
      <c r="CN29" s="50">
        <v>2.5956331499999998</v>
      </c>
      <c r="CO29" s="50">
        <v>2.7150087300000001</v>
      </c>
      <c r="CP29" s="50">
        <v>2.6297472799999997</v>
      </c>
      <c r="CQ29" s="50">
        <v>2.6166387799999997</v>
      </c>
      <c r="CR29" s="50">
        <v>2.7685647700000002</v>
      </c>
      <c r="CS29" s="50">
        <v>2.6363543700000003</v>
      </c>
      <c r="CT29" s="50">
        <v>2.5531593399999997</v>
      </c>
      <c r="CU29" s="50">
        <v>2.5457564700000002</v>
      </c>
      <c r="CV29" s="50">
        <v>2.4111152900000001</v>
      </c>
      <c r="CW29" s="50">
        <v>2.4333384100000002</v>
      </c>
      <c r="CX29" s="50">
        <v>2.4561539799999998</v>
      </c>
      <c r="CY29" s="50">
        <v>2.7021582299999998</v>
      </c>
      <c r="CZ29" s="50">
        <f t="shared" si="9"/>
        <v>31.063628800000004</v>
      </c>
      <c r="DA29" s="50">
        <v>31.063628999999999</v>
      </c>
      <c r="DB29" s="50">
        <v>2.6419992099999998</v>
      </c>
      <c r="DC29" s="50">
        <v>2.6259112599999996</v>
      </c>
      <c r="DD29" s="50">
        <v>0</v>
      </c>
      <c r="DE29" s="50">
        <v>-1.0014729999999999E-2</v>
      </c>
      <c r="DF29" s="50">
        <v>0</v>
      </c>
      <c r="DG29" s="50">
        <v>0</v>
      </c>
      <c r="DH29" s="50">
        <v>0</v>
      </c>
      <c r="DI29" s="50">
        <v>0</v>
      </c>
      <c r="DJ29" s="50">
        <v>0</v>
      </c>
      <c r="DK29" s="50">
        <v>0</v>
      </c>
      <c r="DL29" s="50">
        <v>0</v>
      </c>
      <c r="DM29" s="50">
        <v>0</v>
      </c>
      <c r="DN29" s="50">
        <f t="shared" si="20"/>
        <v>5.2578957399999995</v>
      </c>
      <c r="DO29" s="50">
        <v>5.2578959999999997</v>
      </c>
      <c r="DP29" s="44">
        <v>0</v>
      </c>
      <c r="DQ29" s="50">
        <v>0</v>
      </c>
      <c r="DR29" s="50">
        <v>0</v>
      </c>
      <c r="DS29" s="50">
        <v>0</v>
      </c>
      <c r="DT29" s="50">
        <v>0</v>
      </c>
      <c r="DU29" s="50">
        <v>0</v>
      </c>
      <c r="DV29" s="50">
        <v>0</v>
      </c>
      <c r="DW29" s="50">
        <v>0</v>
      </c>
      <c r="DX29" s="50">
        <v>0</v>
      </c>
      <c r="DY29" s="50">
        <v>0</v>
      </c>
      <c r="DZ29" s="50">
        <v>0</v>
      </c>
      <c r="EA29" s="50">
        <v>0</v>
      </c>
      <c r="EB29" s="50">
        <f t="shared" si="10"/>
        <v>0</v>
      </c>
      <c r="EC29" s="50"/>
      <c r="ED29" s="50"/>
      <c r="EE29" s="50"/>
      <c r="EF29" s="50">
        <v>0</v>
      </c>
      <c r="EG29" s="50">
        <v>0</v>
      </c>
      <c r="EH29" s="50">
        <v>0</v>
      </c>
      <c r="EI29" s="50">
        <v>0</v>
      </c>
      <c r="EJ29" s="50"/>
      <c r="EK29" s="50">
        <v>0</v>
      </c>
      <c r="EL29" s="44">
        <v>0</v>
      </c>
      <c r="EM29" s="44">
        <v>0</v>
      </c>
      <c r="EN29" s="44">
        <v>0</v>
      </c>
      <c r="EO29" s="44">
        <v>0</v>
      </c>
      <c r="EP29" s="50">
        <f t="shared" si="11"/>
        <v>0</v>
      </c>
      <c r="EQ29" s="198"/>
      <c r="ER29" s="44">
        <v>0</v>
      </c>
      <c r="ES29" s="44">
        <v>0</v>
      </c>
      <c r="ET29" s="44">
        <v>0</v>
      </c>
      <c r="EU29" s="44">
        <v>0</v>
      </c>
      <c r="EV29" s="44">
        <v>0</v>
      </c>
      <c r="EW29" s="44">
        <v>0</v>
      </c>
      <c r="EX29" s="44">
        <v>0</v>
      </c>
      <c r="EY29" s="44">
        <v>0</v>
      </c>
      <c r="EZ29" s="44">
        <v>0</v>
      </c>
      <c r="FA29" s="44">
        <v>0</v>
      </c>
      <c r="FB29" s="44"/>
      <c r="FC29" s="44"/>
      <c r="FD29" s="50">
        <f t="shared" si="12"/>
        <v>0</v>
      </c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>
        <f t="shared" si="13"/>
        <v>0</v>
      </c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>
        <f t="shared" si="14"/>
        <v>0</v>
      </c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>
        <f t="shared" si="15"/>
        <v>0</v>
      </c>
      <c r="GU29" s="50"/>
      <c r="GV29" s="50"/>
      <c r="GW29" s="50"/>
      <c r="GX29" s="50"/>
      <c r="GY29" s="50"/>
      <c r="GZ29" s="50"/>
      <c r="HA29" s="50">
        <v>6.4099999999999997E-4</v>
      </c>
      <c r="HB29" s="50"/>
      <c r="HC29" s="50"/>
      <c r="HD29" s="50"/>
      <c r="HE29" s="50"/>
      <c r="HF29" s="50"/>
      <c r="HG29" s="50">
        <v>13.46313239</v>
      </c>
      <c r="HH29" s="50">
        <f t="shared" si="6"/>
        <v>13.46377339</v>
      </c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276">
        <f t="shared" si="16"/>
        <v>0</v>
      </c>
      <c r="HV29" s="276">
        <f t="shared" si="17"/>
        <v>0</v>
      </c>
      <c r="HW29" s="277">
        <f t="shared" si="18"/>
        <v>0</v>
      </c>
      <c r="HX29" s="277"/>
    </row>
    <row r="30" spans="1:232" s="12" customFormat="1" ht="20.5">
      <c r="A30" s="314" t="s">
        <v>85</v>
      </c>
      <c r="B30" s="12" t="s">
        <v>86</v>
      </c>
      <c r="C30" s="46" t="s">
        <v>87</v>
      </c>
      <c r="D30" s="42">
        <v>0</v>
      </c>
      <c r="E30" s="42">
        <v>0</v>
      </c>
      <c r="F30" s="42">
        <v>0</v>
      </c>
      <c r="G30" s="42">
        <v>9.2479553332081202E-2</v>
      </c>
      <c r="H30" s="42">
        <v>0.44088873996</v>
      </c>
      <c r="I30" s="42">
        <v>-0.30488003767999999</v>
      </c>
      <c r="J30" s="42">
        <v>0.17121339661999999</v>
      </c>
      <c r="K30" s="42">
        <v>5.5412888950000003E-2</v>
      </c>
      <c r="L30" s="42">
        <v>0.43877029727</v>
      </c>
      <c r="M30" s="42">
        <v>0.29009278547</v>
      </c>
      <c r="N30" s="42">
        <v>-0.48073691954000003</v>
      </c>
      <c r="O30" s="42">
        <v>0.6508632136400001</v>
      </c>
      <c r="P30" s="42">
        <v>0.44084783240000003</v>
      </c>
      <c r="Q30" s="42">
        <v>-0.88946538437000011</v>
      </c>
      <c r="R30" s="42">
        <v>0.62282602261000009</v>
      </c>
      <c r="S30" s="42">
        <v>-1.4044831275900003</v>
      </c>
      <c r="T30" s="42">
        <v>0</v>
      </c>
      <c r="U30" s="42">
        <v>0</v>
      </c>
      <c r="V30" s="42">
        <v>0.86141797713160417</v>
      </c>
      <c r="W30" s="42">
        <v>0.90722228388380077</v>
      </c>
      <c r="X30" s="42">
        <v>0.60363848242000684</v>
      </c>
      <c r="Y30" s="42">
        <v>-1.6480690206643991</v>
      </c>
      <c r="Z30" s="42">
        <v>0.940624313445099</v>
      </c>
      <c r="AA30" s="42">
        <v>0.64262747508645157</v>
      </c>
      <c r="AB30" s="42">
        <v>-1.4002396116129106</v>
      </c>
      <c r="AC30" s="42">
        <v>1.1617307243555814</v>
      </c>
      <c r="AD30" s="42">
        <v>0.6704970375808903</v>
      </c>
      <c r="AE30" s="42">
        <v>-1.4940793450378178</v>
      </c>
      <c r="AF30" s="42">
        <v>1.1915128542239373</v>
      </c>
      <c r="AG30" s="42">
        <v>-2.4422726677708155</v>
      </c>
      <c r="AH30" s="42">
        <v>0</v>
      </c>
      <c r="AI30" s="42">
        <v>0</v>
      </c>
      <c r="AJ30" s="42">
        <v>1.92533859</v>
      </c>
      <c r="AK30" s="42">
        <v>1.6504130799999999</v>
      </c>
      <c r="AL30" s="42">
        <v>0.6880777400000001</v>
      </c>
      <c r="AM30" s="42">
        <v>-3.0391221900000001</v>
      </c>
      <c r="AN30" s="42">
        <v>1.3628351574549946</v>
      </c>
      <c r="AO30" s="42">
        <v>0.85604437000000011</v>
      </c>
      <c r="AP30" s="42">
        <v>-2.0349186971047404</v>
      </c>
      <c r="AQ30" s="42">
        <v>1.5832835328199613</v>
      </c>
      <c r="AR30" s="42">
        <v>0.98787286355797643</v>
      </c>
      <c r="AS30" s="42">
        <v>-1.9577143400000001</v>
      </c>
      <c r="AT30" s="42">
        <v>1.6899647696939686</v>
      </c>
      <c r="AU30" s="42">
        <v>-3.7140089199999999</v>
      </c>
      <c r="AV30" s="42">
        <v>0</v>
      </c>
      <c r="AW30" s="42">
        <v>0</v>
      </c>
      <c r="AX30" s="44">
        <v>2.4652609999999999</v>
      </c>
      <c r="AY30" s="44">
        <v>1.7009380000000001</v>
      </c>
      <c r="AZ30" s="44">
        <v>1.1983740000000001</v>
      </c>
      <c r="BA30" s="44">
        <v>-3.148946</v>
      </c>
      <c r="BB30" s="44">
        <v>1.6613119999999999</v>
      </c>
      <c r="BC30" s="44">
        <v>1.1012470000000001</v>
      </c>
      <c r="BD30" s="44">
        <v>-2.7156099999999999</v>
      </c>
      <c r="BE30" s="44">
        <v>1.8125830000000001</v>
      </c>
      <c r="BF30" s="44">
        <v>1.2380702399999997</v>
      </c>
      <c r="BG30" s="44">
        <v>-2.9267451900000001</v>
      </c>
      <c r="BH30" s="44">
        <v>1.9053963800000002</v>
      </c>
      <c r="BI30" s="44">
        <v>-4.291625569999999</v>
      </c>
      <c r="BJ30" s="50">
        <f t="shared" si="1"/>
        <v>2.5486000000096709E-4</v>
      </c>
      <c r="BK30" s="44">
        <v>0</v>
      </c>
      <c r="BL30" s="44">
        <v>2.4579276600000002</v>
      </c>
      <c r="BM30" s="44">
        <v>2.2536193999999998</v>
      </c>
      <c r="BN30" s="44">
        <v>1.5245284000000001</v>
      </c>
      <c r="BO30" s="44">
        <v>-5.4995153200000004</v>
      </c>
      <c r="BP30" s="44">
        <v>8.359996240000001</v>
      </c>
      <c r="BQ30" s="44">
        <v>2.3718100199999999</v>
      </c>
      <c r="BR30" s="44">
        <v>-8.7054396000000001</v>
      </c>
      <c r="BS30" s="44">
        <v>2.19491382</v>
      </c>
      <c r="BT30" s="44">
        <v>1.4693522700000001</v>
      </c>
      <c r="BU30" s="44">
        <v>-4.1264802000000005</v>
      </c>
      <c r="BV30" s="44">
        <v>2.3148835500000002</v>
      </c>
      <c r="BW30" s="44">
        <v>-4.6155962400000003</v>
      </c>
      <c r="BX30" s="50">
        <f t="shared" si="4"/>
        <v>0</v>
      </c>
      <c r="BY30" s="44">
        <v>0</v>
      </c>
      <c r="BZ30" s="50">
        <v>2.3892790000000006</v>
      </c>
      <c r="CA30" s="50">
        <v>2.4789637399999997</v>
      </c>
      <c r="CB30" s="50">
        <v>1.48828633</v>
      </c>
      <c r="CC30" s="50">
        <v>-4.4924985200000007</v>
      </c>
      <c r="CD30" s="50">
        <v>2.3269202599999996</v>
      </c>
      <c r="CE30" s="73">
        <v>1.4435890600000001</v>
      </c>
      <c r="CF30" s="50">
        <v>-3.52442645</v>
      </c>
      <c r="CG30" s="50">
        <v>2.4384935400000001</v>
      </c>
      <c r="CH30" s="50">
        <v>1.50148883</v>
      </c>
      <c r="CI30" s="50">
        <v>-3.8395782000000001</v>
      </c>
      <c r="CJ30" s="50">
        <v>2.4829898400000001</v>
      </c>
      <c r="CK30" s="50">
        <v>-4.6935074299999995</v>
      </c>
      <c r="CL30" s="50">
        <f t="shared" si="5"/>
        <v>0</v>
      </c>
      <c r="CM30" s="50"/>
      <c r="CN30" s="50">
        <v>2.50147297</v>
      </c>
      <c r="CO30" s="50">
        <v>2.6399486799999998</v>
      </c>
      <c r="CP30" s="50">
        <v>1.9214769899999997</v>
      </c>
      <c r="CQ30" s="50">
        <v>-3.6699625499999997</v>
      </c>
      <c r="CR30" s="50">
        <v>3.2844755500000002</v>
      </c>
      <c r="CS30" s="50">
        <v>2.0486507199999999</v>
      </c>
      <c r="CT30" s="50">
        <v>-5.6698191100000006</v>
      </c>
      <c r="CU30" s="50">
        <v>3.4801056200000002</v>
      </c>
      <c r="CV30" s="50">
        <v>2.1819820600000002</v>
      </c>
      <c r="CW30" s="50">
        <v>-5.7197377300000003</v>
      </c>
      <c r="CX30" s="50">
        <v>3.39572304</v>
      </c>
      <c r="CY30" s="50">
        <v>-6.3943162399999993</v>
      </c>
      <c r="CZ30" s="50">
        <f t="shared" si="9"/>
        <v>0</v>
      </c>
      <c r="DA30" s="50"/>
      <c r="DB30" s="50">
        <v>3.7753517200000002</v>
      </c>
      <c r="DC30" s="50">
        <v>3.60569213</v>
      </c>
      <c r="DD30" s="50">
        <v>2.3112959399999999</v>
      </c>
      <c r="DE30" s="50">
        <v>-7.2582160199999999</v>
      </c>
      <c r="DF30" s="50">
        <v>3.3282698000000002</v>
      </c>
      <c r="DG30" s="50">
        <v>2.2327938999999994</v>
      </c>
      <c r="DH30" s="50">
        <v>-5.2313562500000002</v>
      </c>
      <c r="DI30" s="50">
        <v>3.4598137600000003</v>
      </c>
      <c r="DJ30" s="50">
        <v>2.1914187499999995</v>
      </c>
      <c r="DK30" s="50">
        <v>-5.3201731100000007</v>
      </c>
      <c r="DL30" s="50">
        <v>3.49612458</v>
      </c>
      <c r="DM30" s="50">
        <v>-6.5910152000000002</v>
      </c>
      <c r="DN30" s="50">
        <f t="shared" si="20"/>
        <v>0</v>
      </c>
      <c r="DO30" s="50"/>
      <c r="DP30" s="44">
        <v>4.3315611500000006</v>
      </c>
      <c r="DQ30" s="50">
        <v>3.3821438600000002</v>
      </c>
      <c r="DR30" s="50">
        <v>2.30503115</v>
      </c>
      <c r="DS30" s="50">
        <v>-6.7302504499999998</v>
      </c>
      <c r="DT30" s="50">
        <v>3.1827800000000002</v>
      </c>
      <c r="DU30" s="50">
        <v>2.2577463900000003</v>
      </c>
      <c r="DV30" s="50">
        <v>-6.3698214200000001</v>
      </c>
      <c r="DW30" s="50">
        <v>2.9182093600000005</v>
      </c>
      <c r="DX30" s="50">
        <v>2.2513986200000002</v>
      </c>
      <c r="DY30" s="50">
        <v>-4.4158999099999994</v>
      </c>
      <c r="DZ30" s="50">
        <v>2.9120434799999999</v>
      </c>
      <c r="EA30" s="50">
        <v>-6.0249422299999997</v>
      </c>
      <c r="EB30" s="50">
        <f t="shared" si="10"/>
        <v>0</v>
      </c>
      <c r="EC30" s="50"/>
      <c r="ED30" s="50">
        <v>3.1906939100000002</v>
      </c>
      <c r="EE30" s="50">
        <v>2.79745212</v>
      </c>
      <c r="EF30" s="50">
        <v>1.88092174</v>
      </c>
      <c r="EG30" s="50">
        <v>-5.60134124</v>
      </c>
      <c r="EH30" s="50">
        <v>2.1093202299999998</v>
      </c>
      <c r="EI30" s="50">
        <v>1.6397229499999999</v>
      </c>
      <c r="EJ30" s="50">
        <v>-3.79422287</v>
      </c>
      <c r="EK30" s="50">
        <v>2.1702753200000005</v>
      </c>
      <c r="EL30" s="44">
        <v>1.92732971</v>
      </c>
      <c r="EM30" s="44">
        <v>-4.12643264</v>
      </c>
      <c r="EN30" s="44">
        <v>2.65375871</v>
      </c>
      <c r="EO30" s="44">
        <v>-4.8474779399999992</v>
      </c>
      <c r="EP30" s="50">
        <f t="shared" si="11"/>
        <v>0</v>
      </c>
      <c r="EQ30" s="198"/>
      <c r="ER30" s="44">
        <v>8.1142869999999992E-2</v>
      </c>
      <c r="ES30" s="44">
        <v>-6.584567999999999E-2</v>
      </c>
      <c r="ET30" s="44">
        <v>-4.3249350000000006E-2</v>
      </c>
      <c r="EU30" s="44">
        <v>-3.5170299999999995E-3</v>
      </c>
      <c r="EV30" s="44">
        <v>-6.9920000000000008E-4</v>
      </c>
      <c r="EW30" s="44">
        <v>2.5249000000000002E-4</v>
      </c>
      <c r="EX30" s="44">
        <v>-9.7065000000000009E-4</v>
      </c>
      <c r="EY30" s="44">
        <v>-4.9182659999999996E-2</v>
      </c>
      <c r="EZ30" s="44">
        <v>-5.903769999237014E-3</v>
      </c>
      <c r="FA30" s="44">
        <v>-2.588E-3</v>
      </c>
      <c r="FB30" s="44">
        <v>-3.2823800001128278E-3</v>
      </c>
      <c r="FC30" s="44">
        <v>1.8079040000000001E-2</v>
      </c>
      <c r="FD30" s="50">
        <f t="shared" si="12"/>
        <v>-7.5764319999349836E-2</v>
      </c>
      <c r="FE30" s="50">
        <v>-7.6009999999999994E-2</v>
      </c>
      <c r="FF30" s="50">
        <v>2.1775099999999997E-3</v>
      </c>
      <c r="FG30" s="50">
        <v>1.2406199999999998E-3</v>
      </c>
      <c r="FH30" s="50">
        <v>6.9286E-4</v>
      </c>
      <c r="FI30" s="50">
        <v>0.12301068</v>
      </c>
      <c r="FJ30" s="50">
        <v>-0.12159968000000002</v>
      </c>
      <c r="FK30" s="50">
        <v>1.4570000000000002E-4</v>
      </c>
      <c r="FL30" s="50">
        <v>-2.5219999999999999E-5</v>
      </c>
      <c r="FM30" s="50">
        <v>2.7604000000000002E-4</v>
      </c>
      <c r="FN30" s="50">
        <v>3.7485000000000003E-4</v>
      </c>
      <c r="FO30" s="50">
        <v>2.1312000000000002E-4</v>
      </c>
      <c r="FP30" s="50">
        <v>2.2640999999999998E-3</v>
      </c>
      <c r="FQ30" s="50">
        <v>4.4005599999999995E-3</v>
      </c>
      <c r="FR30" s="50">
        <f t="shared" si="13"/>
        <v>1.3171139999999975E-2</v>
      </c>
      <c r="FS30" s="50">
        <v>1.9323E-2</v>
      </c>
      <c r="FT30" s="50">
        <v>8.5182599999999997E-3</v>
      </c>
      <c r="FU30" s="50">
        <v>1.3332699999999999E-3</v>
      </c>
      <c r="FV30" s="50">
        <v>9.077E-4</v>
      </c>
      <c r="FW30" s="50">
        <v>2.9379999999999999E-4</v>
      </c>
      <c r="FX30" s="50">
        <v>7.1229999999999994E-5</v>
      </c>
      <c r="FY30" s="50">
        <v>-9.6949999999999998E-5</v>
      </c>
      <c r="FZ30" s="50">
        <v>2.4283E-4</v>
      </c>
      <c r="GA30" s="50">
        <v>1.6200000000000001E-4</v>
      </c>
      <c r="GB30" s="50">
        <v>2.04E-4</v>
      </c>
      <c r="GC30" s="50">
        <v>6.0621999999999998E-4</v>
      </c>
      <c r="GD30" s="50">
        <v>1.717E-3</v>
      </c>
      <c r="GE30" s="50">
        <v>9.4567599999484109E-3</v>
      </c>
      <c r="GF30" s="50">
        <f t="shared" si="14"/>
        <v>2.3416119999948408E-2</v>
      </c>
      <c r="GG30" s="50">
        <v>1.7264000000000002E-2</v>
      </c>
      <c r="GH30" s="50">
        <v>2.7195100000000001E-3</v>
      </c>
      <c r="GI30" s="50">
        <v>1.4986400000000001E-3</v>
      </c>
      <c r="GJ30" s="50">
        <v>9.9201999999999992E-4</v>
      </c>
      <c r="GK30" s="50">
        <v>-4.8151999999999998E-4</v>
      </c>
      <c r="GL30" s="50">
        <v>5.2400000000000005E-4</v>
      </c>
      <c r="GM30" s="50">
        <v>-4.9392450000000004E-2</v>
      </c>
      <c r="GN30" s="50">
        <v>5.2171290000000002E-2</v>
      </c>
      <c r="GO30" s="50">
        <v>1.5300000000000001E-4</v>
      </c>
      <c r="GP30" s="50">
        <v>3.2713000000000002E-4</v>
      </c>
      <c r="GQ30" s="50">
        <v>2.8801E-4</v>
      </c>
      <c r="GR30" s="50">
        <v>1.97051E-3</v>
      </c>
      <c r="GS30" s="50">
        <v>9.7623400000000013E-3</v>
      </c>
      <c r="GT30" s="50">
        <f t="shared" si="15"/>
        <v>2.0532479999999999E-2</v>
      </c>
      <c r="GU30" s="50">
        <f>0.020463+0.000069</f>
        <v>2.0531999999999998E-2</v>
      </c>
      <c r="GV30" s="50">
        <v>2.60377E-3</v>
      </c>
      <c r="GW30" s="50">
        <v>8.0212999999999997E-4</v>
      </c>
      <c r="GX30" s="50">
        <v>8.2401000000000002E-4</v>
      </c>
      <c r="GY30" s="50">
        <v>4.6599E-4</v>
      </c>
      <c r="GZ30" s="50">
        <v>-1E-8</v>
      </c>
      <c r="HA30" s="50">
        <v>6.4099999999999997E-4</v>
      </c>
      <c r="HB30" s="50">
        <v>4.1102000000000001E-4</v>
      </c>
      <c r="HC30" s="50">
        <v>2.9498000000000003E-4</v>
      </c>
      <c r="HD30" s="50">
        <v>-5.1960000000000004E-5</v>
      </c>
      <c r="HE30" s="50">
        <v>7.6502000000000004E-4</v>
      </c>
      <c r="HF30" s="50">
        <v>1.8338199999999999E-3</v>
      </c>
      <c r="HG30" s="50">
        <v>8.9922300000000004E-3</v>
      </c>
      <c r="HH30" s="50">
        <f t="shared" si="6"/>
        <v>1.7582E-2</v>
      </c>
      <c r="HI30" s="50">
        <v>-3.1729799999999997E-3</v>
      </c>
      <c r="HJ30" s="50">
        <v>6.3619899999999997E-3</v>
      </c>
      <c r="HK30" s="50">
        <v>5.7701000000000009E-4</v>
      </c>
      <c r="HL30" s="50">
        <v>4.4598000000000001E-4</v>
      </c>
      <c r="HM30" s="50"/>
      <c r="HN30" s="50"/>
      <c r="HO30" s="50"/>
      <c r="HP30" s="50"/>
      <c r="HQ30" s="50"/>
      <c r="HR30" s="50"/>
      <c r="HS30" s="50"/>
      <c r="HT30" s="50"/>
      <c r="HU30" s="276">
        <f t="shared" si="16"/>
        <v>4.6959999999999997E-3</v>
      </c>
      <c r="HV30" s="276">
        <f t="shared" si="17"/>
        <v>4.2119999999999996E-3</v>
      </c>
      <c r="HW30" s="277">
        <f t="shared" si="18"/>
        <v>-4.8400000000000006E-4</v>
      </c>
      <c r="HX30" s="277">
        <f t="shared" si="19"/>
        <v>-10.306643952299837</v>
      </c>
    </row>
    <row r="31" spans="1:232" s="12" customFormat="1" ht="20.5">
      <c r="A31" s="314" t="s">
        <v>88</v>
      </c>
      <c r="C31" s="46" t="s">
        <v>89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50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50"/>
      <c r="BY31" s="50"/>
      <c r="BZ31" s="50"/>
      <c r="CA31" s="50"/>
      <c r="CB31" s="50"/>
      <c r="CC31" s="50"/>
      <c r="CD31" s="50"/>
      <c r="CE31" s="73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44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44"/>
      <c r="EM31" s="44"/>
      <c r="EN31" s="44"/>
      <c r="EO31" s="44"/>
      <c r="EP31" s="50">
        <f t="shared" si="11"/>
        <v>0</v>
      </c>
      <c r="EQ31" s="198"/>
      <c r="ER31" s="44">
        <v>108.444799</v>
      </c>
      <c r="ES31" s="44">
        <v>16.010897029999999</v>
      </c>
      <c r="ET31" s="44">
        <v>46.653340319999998</v>
      </c>
      <c r="EU31" s="44">
        <v>57.285141270000004</v>
      </c>
      <c r="EV31" s="44">
        <v>74.044946999999993</v>
      </c>
      <c r="EW31" s="44">
        <v>-38.021983000000006</v>
      </c>
      <c r="EX31" s="44">
        <v>6.8669710000000004</v>
      </c>
      <c r="EY31" s="44">
        <v>4.1647904499999999</v>
      </c>
      <c r="EZ31" s="44">
        <v>15.1746669</v>
      </c>
      <c r="FA31" s="44">
        <v>-78.061942999999999</v>
      </c>
      <c r="FB31" s="44">
        <v>43.919421</v>
      </c>
      <c r="FC31" s="44">
        <v>89.553413580000012</v>
      </c>
      <c r="FD31" s="50">
        <f>SUM(ER31:FC31)</f>
        <v>346.03446154999995</v>
      </c>
      <c r="FE31" s="50">
        <v>346.03446100000002</v>
      </c>
      <c r="FF31" s="50">
        <v>-100.50582699999997</v>
      </c>
      <c r="FG31" s="50">
        <v>9.4563140000000004E-2</v>
      </c>
      <c r="FH31" s="50">
        <v>39.035239429999997</v>
      </c>
      <c r="FI31" s="50">
        <v>4.7994269200000002</v>
      </c>
      <c r="FJ31" s="50">
        <v>59.771283740000001</v>
      </c>
      <c r="FK31" s="50">
        <v>-106.98573773000001</v>
      </c>
      <c r="FL31" s="50">
        <v>10.1221838</v>
      </c>
      <c r="FM31" s="50">
        <v>-22.73803946</v>
      </c>
      <c r="FN31" s="50">
        <v>16.212695960000001</v>
      </c>
      <c r="FO31" s="50">
        <v>-26.931324750000002</v>
      </c>
      <c r="FP31" s="50">
        <v>5.1394456399999999</v>
      </c>
      <c r="FQ31" s="50">
        <v>139.84237862000001</v>
      </c>
      <c r="FR31" s="50">
        <f>SUM(FF31:FQ31)</f>
        <v>17.856288310000039</v>
      </c>
      <c r="FS31" s="50">
        <v>17.856287999999999</v>
      </c>
      <c r="FT31" s="50">
        <v>-129.65501176999999</v>
      </c>
      <c r="FU31" s="50">
        <v>6.4317831200000004</v>
      </c>
      <c r="FV31" s="50">
        <v>-11.924212610000001</v>
      </c>
      <c r="FW31" s="50">
        <v>18.271030469999999</v>
      </c>
      <c r="FX31" s="50">
        <v>73.487500209999993</v>
      </c>
      <c r="FY31" s="50">
        <v>-108.10106795</v>
      </c>
      <c r="FZ31" s="50">
        <v>-6.3888475300000005</v>
      </c>
      <c r="GA31" s="50">
        <v>-6.7772362299999998</v>
      </c>
      <c r="GB31" s="50">
        <v>-15.61334416</v>
      </c>
      <c r="GC31" s="50">
        <v>26.04573744</v>
      </c>
      <c r="GD31" s="50">
        <v>-18.672512879999999</v>
      </c>
      <c r="GE31" s="50">
        <v>134.08311295999999</v>
      </c>
      <c r="GF31" s="50">
        <f t="shared" si="14"/>
        <v>-38.813068929999986</v>
      </c>
      <c r="GG31" s="50">
        <v>-38.813068999999999</v>
      </c>
      <c r="GH31" s="50">
        <v>-144.84002692999999</v>
      </c>
      <c r="GI31" s="50">
        <v>-7.8529006500000005</v>
      </c>
      <c r="GJ31" s="50">
        <v>80.096921949999995</v>
      </c>
      <c r="GK31" s="50">
        <v>-43.489684559999993</v>
      </c>
      <c r="GL31" s="50">
        <v>53.921879650000001</v>
      </c>
      <c r="GM31" s="50">
        <v>-38.914134019999999</v>
      </c>
      <c r="GN31" s="50">
        <v>-3.3675344700000003</v>
      </c>
      <c r="GO31" s="50">
        <v>-11.24128499</v>
      </c>
      <c r="GP31" s="50">
        <v>-6.6318157199999996</v>
      </c>
      <c r="GQ31" s="50">
        <v>-10.398508150000001</v>
      </c>
      <c r="GR31" s="50">
        <v>8.2443690400000005</v>
      </c>
      <c r="GS31" s="50">
        <v>150.36969403000001</v>
      </c>
      <c r="GT31" s="50">
        <f t="shared" si="15"/>
        <v>25.896975179999984</v>
      </c>
      <c r="GU31" s="50">
        <v>25.896975000000001</v>
      </c>
      <c r="GV31" s="50">
        <v>-167.33376544999999</v>
      </c>
      <c r="GW31" s="50">
        <v>-5.837085769999999</v>
      </c>
      <c r="GX31" s="50">
        <v>72.739804839999991</v>
      </c>
      <c r="GY31" s="50">
        <v>-27.10248614</v>
      </c>
      <c r="GZ31" s="50">
        <v>-1.3178509199999999</v>
      </c>
      <c r="HA31" s="50">
        <v>26.463781940000001</v>
      </c>
      <c r="HB31" s="50">
        <v>-3.9396755099999998</v>
      </c>
      <c r="HC31" s="50">
        <v>-1.2945258100000001</v>
      </c>
      <c r="HD31" s="50">
        <v>-42.40067449</v>
      </c>
      <c r="HE31" s="50">
        <v>-0.68301065000000005</v>
      </c>
      <c r="HF31" s="50">
        <v>-2.3671898700000003</v>
      </c>
      <c r="HG31" s="50">
        <v>122.42129473999999</v>
      </c>
      <c r="HH31" s="50">
        <f t="shared" si="6"/>
        <v>-30.651383089999982</v>
      </c>
      <c r="HI31" s="50">
        <v>-131.96988658000001</v>
      </c>
      <c r="HJ31" s="50">
        <v>9.9572780899999991</v>
      </c>
      <c r="HK31" s="50">
        <v>67.716127540000002</v>
      </c>
      <c r="HL31" s="50">
        <v>-27.697971800000001</v>
      </c>
      <c r="HM31" s="50"/>
      <c r="HN31" s="50"/>
      <c r="HO31" s="50"/>
      <c r="HP31" s="50"/>
      <c r="HQ31" s="50"/>
      <c r="HR31" s="50"/>
      <c r="HS31" s="50"/>
      <c r="HT31" s="50"/>
      <c r="HU31" s="276">
        <f t="shared" si="16"/>
        <v>-127.53353300000001</v>
      </c>
      <c r="HV31" s="276">
        <f t="shared" si="17"/>
        <v>-81.994452999999993</v>
      </c>
      <c r="HW31" s="277">
        <f>HV31-HU31</f>
        <v>45.539080000000013</v>
      </c>
      <c r="HX31" s="277">
        <f>HV31/HU31*100-100</f>
        <v>-35.707534268653887</v>
      </c>
    </row>
    <row r="32" spans="1:232" s="12" customFormat="1" ht="20.5">
      <c r="A32" s="42" t="s">
        <v>90</v>
      </c>
      <c r="B32" s="12" t="s">
        <v>91</v>
      </c>
      <c r="C32" s="42" t="s">
        <v>92</v>
      </c>
      <c r="D32" s="42">
        <v>378.34913005617517</v>
      </c>
      <c r="E32" s="42">
        <v>422.64815795015403</v>
      </c>
      <c r="F32" s="42">
        <v>603.46749733922968</v>
      </c>
      <c r="G32" s="42">
        <v>541.22633906466092</v>
      </c>
      <c r="H32" s="42">
        <v>24.320183152059474</v>
      </c>
      <c r="I32" s="42">
        <v>16.72036158018452</v>
      </c>
      <c r="J32" s="42">
        <v>19.505283123032882</v>
      </c>
      <c r="K32" s="42">
        <v>39.66876113397192</v>
      </c>
      <c r="L32" s="42">
        <v>29.454607543497186</v>
      </c>
      <c r="M32" s="42">
        <v>145.54487737690735</v>
      </c>
      <c r="N32" s="42">
        <v>28.391817633365772</v>
      </c>
      <c r="O32" s="42">
        <v>28.194722853028725</v>
      </c>
      <c r="P32" s="42">
        <v>54.449034154614949</v>
      </c>
      <c r="Q32" s="42">
        <v>21.168288740530784</v>
      </c>
      <c r="R32" s="42">
        <v>21.9664785630133</v>
      </c>
      <c r="S32" s="42">
        <v>41.496383059857372</v>
      </c>
      <c r="T32" s="42">
        <v>470.8807989140642</v>
      </c>
      <c r="U32" s="42">
        <v>467.54542375968271</v>
      </c>
      <c r="V32" s="42">
        <v>52.939079743427762</v>
      </c>
      <c r="W32" s="42">
        <v>24.457709958964379</v>
      </c>
      <c r="X32" s="42">
        <v>28.572193669927891</v>
      </c>
      <c r="Y32" s="42">
        <v>50.675693365433318</v>
      </c>
      <c r="Z32" s="42">
        <v>45.331517748902961</v>
      </c>
      <c r="AA32" s="42">
        <v>80.194065486252214</v>
      </c>
      <c r="AB32" s="42">
        <v>99.368584982441774</v>
      </c>
      <c r="AC32" s="42">
        <v>35.781407049476101</v>
      </c>
      <c r="AD32" s="42">
        <v>22.996485222053373</v>
      </c>
      <c r="AE32" s="42">
        <v>53.746275206174133</v>
      </c>
      <c r="AF32" s="42">
        <v>35.019289873136756</v>
      </c>
      <c r="AG32" s="42">
        <v>27.04236600816159</v>
      </c>
      <c r="AH32" s="42">
        <v>556.12466831435233</v>
      </c>
      <c r="AI32" s="42">
        <v>560.98391727992441</v>
      </c>
      <c r="AJ32" s="42">
        <v>37.361378136720901</v>
      </c>
      <c r="AK32" s="42">
        <v>29.867975993306807</v>
      </c>
      <c r="AL32" s="42">
        <v>36.972881486161157</v>
      </c>
      <c r="AM32" s="42">
        <v>68.902548932561572</v>
      </c>
      <c r="AN32" s="42">
        <v>76.51721105742142</v>
      </c>
      <c r="AO32" s="42">
        <v>35.960970626234342</v>
      </c>
      <c r="AP32" s="42">
        <v>80.307956414590677</v>
      </c>
      <c r="AQ32" s="42">
        <v>49.402317004456435</v>
      </c>
      <c r="AR32" s="42">
        <v>28.75767212480293</v>
      </c>
      <c r="AS32" s="42">
        <v>30.399545250169322</v>
      </c>
      <c r="AT32" s="42">
        <v>26.178253111820649</v>
      </c>
      <c r="AU32" s="42">
        <v>29.371018093237943</v>
      </c>
      <c r="AV32" s="42">
        <v>529.99972823148414</v>
      </c>
      <c r="AW32" s="42">
        <v>522.24710587873722</v>
      </c>
      <c r="AX32" s="44">
        <v>22.968249</v>
      </c>
      <c r="AY32" s="44">
        <v>30.211894999999998</v>
      </c>
      <c r="AZ32" s="44">
        <v>21.699113000000001</v>
      </c>
      <c r="BA32" s="44">
        <v>63.617536999999999</v>
      </c>
      <c r="BB32" s="44">
        <v>120.543329</v>
      </c>
      <c r="BC32" s="44">
        <v>33.419572000000002</v>
      </c>
      <c r="BD32" s="44">
        <v>38.025993</v>
      </c>
      <c r="BE32" s="44">
        <v>34.398251000000002</v>
      </c>
      <c r="BF32" s="44">
        <v>24.557922580000014</v>
      </c>
      <c r="BG32" s="44">
        <v>26.124748000000007</v>
      </c>
      <c r="BH32" s="44">
        <v>29.990130679999979</v>
      </c>
      <c r="BI32" s="44">
        <v>36.110589580000024</v>
      </c>
      <c r="BJ32" s="50">
        <f t="shared" si="1"/>
        <v>481.66732984000004</v>
      </c>
      <c r="BK32" s="44">
        <v>484.97253999999998</v>
      </c>
      <c r="BL32" s="44">
        <v>34.396315349999966</v>
      </c>
      <c r="BM32" s="44">
        <v>30.416847319999992</v>
      </c>
      <c r="BN32" s="44">
        <v>20.994764060000001</v>
      </c>
      <c r="BO32" s="44">
        <v>82.355133340000094</v>
      </c>
      <c r="BP32" s="44">
        <v>45.517645929999979</v>
      </c>
      <c r="BQ32" s="44">
        <v>77.571358039999964</v>
      </c>
      <c r="BR32" s="44">
        <v>37.460729960000009</v>
      </c>
      <c r="BS32" s="44">
        <v>34.35984590000001</v>
      </c>
      <c r="BT32" s="44">
        <v>24.046018750000005</v>
      </c>
      <c r="BU32" s="44">
        <v>23.890315440000006</v>
      </c>
      <c r="BV32" s="44">
        <v>30.90461835</v>
      </c>
      <c r="BW32" s="44">
        <v>57.153183859999878</v>
      </c>
      <c r="BX32" s="50">
        <f t="shared" si="4"/>
        <v>499.06677629999996</v>
      </c>
      <c r="BY32" s="50">
        <v>498.43061399999999</v>
      </c>
      <c r="BZ32" s="50">
        <v>20.688101180000015</v>
      </c>
      <c r="CA32" s="50">
        <v>29.745853479999997</v>
      </c>
      <c r="CB32" s="50">
        <v>24.588054409999998</v>
      </c>
      <c r="CC32" s="50">
        <v>63.214668499999824</v>
      </c>
      <c r="CD32" s="50">
        <v>122.87981577000021</v>
      </c>
      <c r="CE32" s="73">
        <v>28.68290768</v>
      </c>
      <c r="CF32" s="50">
        <v>65.962503179999985</v>
      </c>
      <c r="CG32" s="50">
        <v>32.630155959999996</v>
      </c>
      <c r="CH32" s="50">
        <v>75.542618460000014</v>
      </c>
      <c r="CI32" s="50">
        <v>25.43464169000001</v>
      </c>
      <c r="CJ32" s="50">
        <v>32.854938900000235</v>
      </c>
      <c r="CK32" s="50">
        <v>40.7738325199998</v>
      </c>
      <c r="CL32" s="50">
        <f t="shared" si="5"/>
        <v>562.99809173000017</v>
      </c>
      <c r="CM32" s="50">
        <v>564.49925699999994</v>
      </c>
      <c r="CN32" s="50">
        <v>30.85126047</v>
      </c>
      <c r="CO32" s="50">
        <v>33.499464730000007</v>
      </c>
      <c r="CP32" s="50">
        <v>24.777418159999996</v>
      </c>
      <c r="CQ32" s="50">
        <v>56.242184299999998</v>
      </c>
      <c r="CR32" s="50">
        <v>122.14931303000003</v>
      </c>
      <c r="CS32" s="50">
        <v>68.730914360000014</v>
      </c>
      <c r="CT32" s="50">
        <v>29.471944050000005</v>
      </c>
      <c r="CU32" s="50">
        <v>47.914544930000005</v>
      </c>
      <c r="CV32" s="50">
        <v>22.066306639999986</v>
      </c>
      <c r="CW32" s="50">
        <v>29.616136879999996</v>
      </c>
      <c r="CX32" s="50">
        <v>36.376026419999995</v>
      </c>
      <c r="CY32" s="50">
        <v>32.72724195000005</v>
      </c>
      <c r="CZ32" s="50">
        <f t="shared" si="9"/>
        <v>534.42275591999999</v>
      </c>
      <c r="DA32" s="50">
        <v>536.46617700000002</v>
      </c>
      <c r="DB32" s="50">
        <v>29.737793309999994</v>
      </c>
      <c r="DC32" s="50">
        <v>26.820414219999982</v>
      </c>
      <c r="DD32" s="50">
        <v>25.545815719999979</v>
      </c>
      <c r="DE32" s="50">
        <v>67.589412700000011</v>
      </c>
      <c r="DF32" s="50">
        <v>212.60940386999988</v>
      </c>
      <c r="DG32" s="50">
        <v>72.412966609999955</v>
      </c>
      <c r="DH32" s="50">
        <v>36.892646970000023</v>
      </c>
      <c r="DI32" s="50">
        <v>35.441643840000005</v>
      </c>
      <c r="DJ32" s="50">
        <v>49.76996877000002</v>
      </c>
      <c r="DK32" s="50">
        <v>37.591966880000008</v>
      </c>
      <c r="DL32" s="50">
        <v>93.128835399999943</v>
      </c>
      <c r="DM32" s="50">
        <v>30.204924970000022</v>
      </c>
      <c r="DN32" s="50">
        <f t="shared" si="20"/>
        <v>717.7457932599998</v>
      </c>
      <c r="DO32" s="50">
        <v>717.65869199999997</v>
      </c>
      <c r="DP32" s="44">
        <v>29.018453090000005</v>
      </c>
      <c r="DQ32" s="50">
        <v>28.387863260000014</v>
      </c>
      <c r="DR32" s="50">
        <v>34.060441189999985</v>
      </c>
      <c r="DS32" s="50">
        <v>57.645277500000034</v>
      </c>
      <c r="DT32" s="50">
        <v>242.88192318000003</v>
      </c>
      <c r="DU32" s="50">
        <v>42.057046299999989</v>
      </c>
      <c r="DV32" s="50">
        <v>38.707975460000007</v>
      </c>
      <c r="DW32" s="50">
        <v>35.941024319999997</v>
      </c>
      <c r="DX32" s="50">
        <v>29.656725629999997</v>
      </c>
      <c r="DY32" s="50">
        <v>34.115245200000011</v>
      </c>
      <c r="DZ32" s="50">
        <v>35.129194969998601</v>
      </c>
      <c r="EA32" s="50">
        <v>33.648996549996951</v>
      </c>
      <c r="EB32" s="50">
        <f t="shared" si="10"/>
        <v>641.25016664999555</v>
      </c>
      <c r="EC32" s="50">
        <v>642.53926100000001</v>
      </c>
      <c r="ED32" s="50">
        <v>38.342596709995597</v>
      </c>
      <c r="EE32" s="50">
        <v>32.586787759994884</v>
      </c>
      <c r="EF32" s="50">
        <v>43.737657040000002</v>
      </c>
      <c r="EG32" s="50">
        <v>65.221663069999963</v>
      </c>
      <c r="EH32" s="50">
        <v>171.93499862000007</v>
      </c>
      <c r="EI32" s="50">
        <v>91.92218337999995</v>
      </c>
      <c r="EJ32" s="50">
        <v>35.600724970000016</v>
      </c>
      <c r="EK32" s="50">
        <v>32.930517000000002</v>
      </c>
      <c r="EL32" s="44">
        <v>32.476280750000029</v>
      </c>
      <c r="EM32" s="44">
        <v>38.573090000000001</v>
      </c>
      <c r="EN32" s="44">
        <v>47.569358000000001</v>
      </c>
      <c r="EO32" s="44">
        <v>40.514661659999994</v>
      </c>
      <c r="EP32" s="50">
        <f t="shared" si="11"/>
        <v>671.41051895999044</v>
      </c>
      <c r="EQ32" s="198">
        <v>666.28032499999995</v>
      </c>
      <c r="ER32" s="44">
        <v>31.370887999999926</v>
      </c>
      <c r="ES32" s="44">
        <v>45.121068000000001</v>
      </c>
      <c r="ET32" s="44">
        <v>35.264769000000001</v>
      </c>
      <c r="EU32" s="44">
        <v>47.331130000000002</v>
      </c>
      <c r="EV32" s="44">
        <v>194.13074499999999</v>
      </c>
      <c r="EW32" s="44">
        <v>137.90323599999999</v>
      </c>
      <c r="EX32" s="44">
        <v>43.569983000000001</v>
      </c>
      <c r="EY32" s="44">
        <v>43.156872</v>
      </c>
      <c r="EZ32" s="44">
        <v>57.070799999999998</v>
      </c>
      <c r="FA32" s="44">
        <v>48.487023000000001</v>
      </c>
      <c r="FB32" s="44">
        <v>40.267898000000002</v>
      </c>
      <c r="FC32" s="44">
        <v>50.335583</v>
      </c>
      <c r="FD32" s="50">
        <f t="shared" si="12"/>
        <v>774.00999499999989</v>
      </c>
      <c r="FE32" s="50">
        <v>771.24271599999997</v>
      </c>
      <c r="FF32" s="50">
        <v>57.283079000000001</v>
      </c>
      <c r="FG32" s="50">
        <v>46.204664999999999</v>
      </c>
      <c r="FH32" s="50">
        <v>65.464438000000001</v>
      </c>
      <c r="FI32" s="50">
        <v>67.048771000000002</v>
      </c>
      <c r="FJ32" s="50">
        <v>88.414715999999999</v>
      </c>
      <c r="FK32" s="50">
        <v>128.24976268999995</v>
      </c>
      <c r="FL32" s="50">
        <v>133.11235800000006</v>
      </c>
      <c r="FM32" s="50">
        <v>59.638621999999998</v>
      </c>
      <c r="FN32" s="50">
        <v>41.622448000000006</v>
      </c>
      <c r="FO32" s="50">
        <v>49.702570000000001</v>
      </c>
      <c r="FP32" s="50">
        <v>59.671256999999997</v>
      </c>
      <c r="FQ32" s="50">
        <v>51.171359000000002</v>
      </c>
      <c r="FR32" s="50">
        <f t="shared" si="13"/>
        <v>847.58404568999993</v>
      </c>
      <c r="FS32" s="50">
        <v>845.03690500000005</v>
      </c>
      <c r="FT32" s="50">
        <v>46.895817000000001</v>
      </c>
      <c r="FU32" s="50">
        <v>55.444927999999997</v>
      </c>
      <c r="FV32" s="50">
        <v>53.78161399999999</v>
      </c>
      <c r="FW32" s="50">
        <v>77.237088999999997</v>
      </c>
      <c r="FX32" s="50">
        <v>192.09222</v>
      </c>
      <c r="FY32" s="50">
        <v>237.32225700000001</v>
      </c>
      <c r="FZ32" s="50">
        <v>86.506563999999997</v>
      </c>
      <c r="GA32" s="50">
        <v>54.412139000000003</v>
      </c>
      <c r="GB32" s="50">
        <v>54.637887999999997</v>
      </c>
      <c r="GC32" s="50">
        <v>62.36665</v>
      </c>
      <c r="GD32" s="50">
        <v>85.156537999999998</v>
      </c>
      <c r="GE32" s="50">
        <v>58.406103000000009</v>
      </c>
      <c r="GF32" s="50">
        <f t="shared" si="14"/>
        <v>1064.2598069999999</v>
      </c>
      <c r="GG32" s="50">
        <v>1063.587362</v>
      </c>
      <c r="GH32" s="50">
        <v>91.673743000000002</v>
      </c>
      <c r="GI32" s="50">
        <v>62.936034999999997</v>
      </c>
      <c r="GJ32" s="50">
        <v>48.128200000000007</v>
      </c>
      <c r="GK32" s="50">
        <v>77.884473</v>
      </c>
      <c r="GL32" s="50">
        <v>104.81848163999999</v>
      </c>
      <c r="GM32" s="50">
        <v>443.24760199999997</v>
      </c>
      <c r="GN32" s="50">
        <v>77.237887000000015</v>
      </c>
      <c r="GO32" s="50">
        <v>56.736381000000002</v>
      </c>
      <c r="GP32" s="50">
        <v>55.541927000000001</v>
      </c>
      <c r="GQ32" s="50">
        <v>80.275670000000005</v>
      </c>
      <c r="GR32" s="50">
        <v>73.701819999999998</v>
      </c>
      <c r="GS32" s="50">
        <v>47.824013999999998</v>
      </c>
      <c r="GT32" s="50">
        <f t="shared" si="15"/>
        <v>1220.0062336400001</v>
      </c>
      <c r="GU32" s="50">
        <v>1217.792009</v>
      </c>
      <c r="GV32" s="50">
        <v>72.897604999999999</v>
      </c>
      <c r="GW32" s="50">
        <v>62.986465000000003</v>
      </c>
      <c r="GX32" s="50">
        <v>48.597045999999999</v>
      </c>
      <c r="GY32" s="50">
        <v>54.495927000000009</v>
      </c>
      <c r="GZ32" s="50">
        <v>62.847914999999993</v>
      </c>
      <c r="HA32" s="50">
        <v>366.53139499999997</v>
      </c>
      <c r="HB32" s="50">
        <v>131.632993</v>
      </c>
      <c r="HC32" s="50">
        <v>91.358001000000002</v>
      </c>
      <c r="HD32" s="50">
        <v>59.268605000000001</v>
      </c>
      <c r="HE32" s="50">
        <v>65.803820999999999</v>
      </c>
      <c r="HF32" s="50">
        <v>62.498635999999976</v>
      </c>
      <c r="HG32" s="50">
        <v>64.61863799999999</v>
      </c>
      <c r="HH32" s="50">
        <f t="shared" si="6"/>
        <v>1143.537047</v>
      </c>
      <c r="HI32" s="50">
        <v>69.185707000000008</v>
      </c>
      <c r="HJ32" s="50">
        <v>72.41334999999998</v>
      </c>
      <c r="HK32" s="50">
        <v>51.844268</v>
      </c>
      <c r="HL32" s="50">
        <v>80.650923000000006</v>
      </c>
      <c r="HM32" s="50"/>
      <c r="HN32" s="50"/>
      <c r="HO32" s="50"/>
      <c r="HP32" s="50"/>
      <c r="HQ32" s="50"/>
      <c r="HR32" s="50"/>
      <c r="HS32" s="50"/>
      <c r="HT32" s="50"/>
      <c r="HU32" s="276">
        <f t="shared" si="16"/>
        <v>238.97704300000001</v>
      </c>
      <c r="HV32" s="276">
        <f t="shared" si="17"/>
        <v>274.09424799999999</v>
      </c>
      <c r="HW32" s="277">
        <f t="shared" si="18"/>
        <v>35.117204999999984</v>
      </c>
      <c r="HX32" s="277">
        <f t="shared" si="19"/>
        <v>14.694802713748516</v>
      </c>
    </row>
    <row r="33" spans="1:233" s="12" customFormat="1" ht="20.5">
      <c r="A33" s="42" t="s">
        <v>93</v>
      </c>
      <c r="B33" s="12" t="s">
        <v>94</v>
      </c>
      <c r="C33" s="42" t="s">
        <v>95</v>
      </c>
      <c r="D33" s="42">
        <v>323.87445859727603</v>
      </c>
      <c r="E33" s="42">
        <v>337.6961428790957</v>
      </c>
      <c r="F33" s="42">
        <v>354.25448631481891</v>
      </c>
      <c r="G33" s="42">
        <v>303.34160164142492</v>
      </c>
      <c r="H33" s="42">
        <v>22.923583246538151</v>
      </c>
      <c r="I33" s="42">
        <v>27.924085520287306</v>
      </c>
      <c r="J33" s="42">
        <v>27.330699597611861</v>
      </c>
      <c r="K33" s="42">
        <v>27.4858552313305</v>
      </c>
      <c r="L33" s="42">
        <v>25.843476986471334</v>
      </c>
      <c r="M33" s="42">
        <v>20.639144057233597</v>
      </c>
      <c r="N33" s="42">
        <v>19.409603530998684</v>
      </c>
      <c r="O33" s="42">
        <v>24.841712625426151</v>
      </c>
      <c r="P33" s="42">
        <v>28.99914485404182</v>
      </c>
      <c r="Q33" s="42">
        <v>21.286333031684514</v>
      </c>
      <c r="R33" s="42">
        <v>26.687908719927606</v>
      </c>
      <c r="S33" s="42">
        <v>24.070554521602038</v>
      </c>
      <c r="T33" s="42">
        <v>297.44210192315359</v>
      </c>
      <c r="U33" s="42">
        <v>296.1809494539018</v>
      </c>
      <c r="V33" s="42">
        <v>25.883041360037794</v>
      </c>
      <c r="W33" s="42">
        <v>29.156163126561605</v>
      </c>
      <c r="X33" s="42">
        <v>25.685597976107136</v>
      </c>
      <c r="Y33" s="42">
        <v>26.215371753616687</v>
      </c>
      <c r="Z33" s="42">
        <v>23.796993187289772</v>
      </c>
      <c r="AA33" s="42">
        <v>21.627657213106357</v>
      </c>
      <c r="AB33" s="42">
        <v>23.061598539608408</v>
      </c>
      <c r="AC33" s="42">
        <v>25.609892658550606</v>
      </c>
      <c r="AD33" s="42">
        <v>25.117096658527839</v>
      </c>
      <c r="AE33" s="42">
        <v>27.020697093357466</v>
      </c>
      <c r="AF33" s="42">
        <v>24.614612324346474</v>
      </c>
      <c r="AG33" s="42">
        <v>23.608131143249047</v>
      </c>
      <c r="AH33" s="42">
        <v>301.39685327630463</v>
      </c>
      <c r="AI33" s="42">
        <v>299.20019664088426</v>
      </c>
      <c r="AJ33" s="42">
        <v>29.286543616712482</v>
      </c>
      <c r="AK33" s="42">
        <v>29.394969294426325</v>
      </c>
      <c r="AL33" s="42">
        <v>24.587848105588471</v>
      </c>
      <c r="AM33" s="42">
        <v>27.933345570030905</v>
      </c>
      <c r="AN33" s="42">
        <v>24.147254426554206</v>
      </c>
      <c r="AO33" s="42">
        <v>21.046779365448121</v>
      </c>
      <c r="AP33" s="42">
        <v>23.022943177233998</v>
      </c>
      <c r="AQ33" s="42">
        <v>26.84349690667668</v>
      </c>
      <c r="AR33" s="42">
        <v>25.509334039077753</v>
      </c>
      <c r="AS33" s="42">
        <v>25.940579450316161</v>
      </c>
      <c r="AT33" s="42">
        <v>23.472549957029273</v>
      </c>
      <c r="AU33" s="42">
        <v>25.198060910296469</v>
      </c>
      <c r="AV33" s="42">
        <v>306.38370441830153</v>
      </c>
      <c r="AW33" s="42">
        <v>299.66617719876382</v>
      </c>
      <c r="AX33" s="44">
        <v>28.396460470000001</v>
      </c>
      <c r="AY33" s="44">
        <v>26.722353269999999</v>
      </c>
      <c r="AZ33" s="44">
        <v>24.066257989999997</v>
      </c>
      <c r="BA33" s="44">
        <v>28.073594439999997</v>
      </c>
      <c r="BB33" s="44">
        <v>20.84313289</v>
      </c>
      <c r="BC33" s="44">
        <v>22.436390710000001</v>
      </c>
      <c r="BD33" s="44">
        <v>23.569042469999999</v>
      </c>
      <c r="BE33" s="44">
        <v>25.092818589999997</v>
      </c>
      <c r="BF33" s="44">
        <v>25.924110909999996</v>
      </c>
      <c r="BG33" s="44">
        <v>26.474422960000002</v>
      </c>
      <c r="BH33" s="44">
        <v>22.660530770000001</v>
      </c>
      <c r="BI33" s="44">
        <v>25.329480470000007</v>
      </c>
      <c r="BJ33" s="50">
        <f t="shared" si="1"/>
        <v>299.58859594</v>
      </c>
      <c r="BK33" s="44">
        <v>291.98683399999999</v>
      </c>
      <c r="BL33" s="44">
        <v>28.65589353</v>
      </c>
      <c r="BM33" s="44">
        <v>27.032310819999999</v>
      </c>
      <c r="BN33" s="44">
        <v>25.812185800000005</v>
      </c>
      <c r="BO33" s="44">
        <v>26.956199570000003</v>
      </c>
      <c r="BP33" s="44">
        <v>23.035684970000002</v>
      </c>
      <c r="BQ33" s="44">
        <v>20.988906599999996</v>
      </c>
      <c r="BR33" s="44">
        <v>27.730395590000004</v>
      </c>
      <c r="BS33" s="44">
        <v>26.09496635</v>
      </c>
      <c r="BT33" s="44">
        <v>26.699681480000002</v>
      </c>
      <c r="BU33" s="44">
        <v>26.205483979999997</v>
      </c>
      <c r="BV33" s="44">
        <v>24.703380479999996</v>
      </c>
      <c r="BW33" s="44">
        <v>25.014842769999994</v>
      </c>
      <c r="BX33" s="50">
        <f t="shared" si="4"/>
        <v>308.92993194000002</v>
      </c>
      <c r="BY33" s="50">
        <v>303.01658700000002</v>
      </c>
      <c r="BZ33" s="50">
        <v>32.461042119999988</v>
      </c>
      <c r="CA33" s="50">
        <v>29.291342610000001</v>
      </c>
      <c r="CB33" s="50">
        <v>27.194038840000005</v>
      </c>
      <c r="CC33" s="50">
        <v>29.177807939999997</v>
      </c>
      <c r="CD33" s="50">
        <v>24.91878011</v>
      </c>
      <c r="CE33" s="73">
        <v>22.311608509999999</v>
      </c>
      <c r="CF33" s="50">
        <v>28.76067376</v>
      </c>
      <c r="CG33" s="50">
        <v>28.787402230000001</v>
      </c>
      <c r="CH33" s="50">
        <v>27.117982280000025</v>
      </c>
      <c r="CI33" s="50">
        <v>30.129189080000007</v>
      </c>
      <c r="CJ33" s="50">
        <v>24.097397140000002</v>
      </c>
      <c r="CK33" s="50">
        <v>27.923461850000002</v>
      </c>
      <c r="CL33" s="50">
        <f t="shared" si="5"/>
        <v>332.17072647000009</v>
      </c>
      <c r="CM33" s="50">
        <v>325.913884</v>
      </c>
      <c r="CN33" s="50">
        <v>33.089499979999999</v>
      </c>
      <c r="CO33" s="50">
        <v>31.983549339999996</v>
      </c>
      <c r="CP33" s="50">
        <v>26.961573609999999</v>
      </c>
      <c r="CQ33" s="50">
        <v>28.069151389999991</v>
      </c>
      <c r="CR33" s="50">
        <v>26.564065810000002</v>
      </c>
      <c r="CS33" s="50">
        <v>23.487994280000002</v>
      </c>
      <c r="CT33" s="50">
        <v>27.136396250000004</v>
      </c>
      <c r="CU33" s="50">
        <v>30.696630889999998</v>
      </c>
      <c r="CV33" s="50">
        <v>22.759447489999996</v>
      </c>
      <c r="CW33" s="50">
        <v>31.926068730000001</v>
      </c>
      <c r="CX33" s="50">
        <v>27.482659990000005</v>
      </c>
      <c r="CY33" s="50">
        <v>28.045051570000005</v>
      </c>
      <c r="CZ33" s="50">
        <f t="shared" si="9"/>
        <v>338.20208933000004</v>
      </c>
      <c r="DA33" s="50">
        <v>332.60154899999998</v>
      </c>
      <c r="DB33" s="50">
        <v>37.49374061999999</v>
      </c>
      <c r="DC33" s="50">
        <v>28.766114379999994</v>
      </c>
      <c r="DD33" s="50">
        <v>30.123219429999999</v>
      </c>
      <c r="DE33" s="50">
        <v>30.53708881</v>
      </c>
      <c r="DF33" s="50">
        <v>27.928789369999997</v>
      </c>
      <c r="DG33" s="50">
        <v>26.237986739999997</v>
      </c>
      <c r="DH33" s="50">
        <v>31.282262139999993</v>
      </c>
      <c r="DI33" s="50">
        <v>36.1808713</v>
      </c>
      <c r="DJ33" s="50">
        <v>29.506366170000003</v>
      </c>
      <c r="DK33" s="50">
        <v>31.386747719999999</v>
      </c>
      <c r="DL33" s="50">
        <v>35.769774709999993</v>
      </c>
      <c r="DM33" s="50">
        <v>27.041136220000002</v>
      </c>
      <c r="DN33" s="50">
        <f t="shared" si="20"/>
        <v>372.25409760999997</v>
      </c>
      <c r="DO33" s="50">
        <v>366.771207</v>
      </c>
      <c r="DP33" s="44">
        <v>42.62303919</v>
      </c>
      <c r="DQ33" s="50">
        <v>41.127864389999999</v>
      </c>
      <c r="DR33" s="50">
        <v>26.810747910000003</v>
      </c>
      <c r="DS33" s="50">
        <v>34.243521369999989</v>
      </c>
      <c r="DT33" s="50">
        <v>31.150513839999995</v>
      </c>
      <c r="DU33" s="50">
        <v>24.948621589999998</v>
      </c>
      <c r="DV33" s="50">
        <v>34.095049459999991</v>
      </c>
      <c r="DW33" s="50">
        <v>37.237877859999998</v>
      </c>
      <c r="DX33" s="50">
        <v>28.50875241</v>
      </c>
      <c r="DY33" s="50">
        <v>30.585311360000006</v>
      </c>
      <c r="DZ33" s="50">
        <v>27.268659710000001</v>
      </c>
      <c r="EA33" s="50">
        <v>31.408574600000001</v>
      </c>
      <c r="EB33" s="50">
        <f t="shared" si="10"/>
        <v>390.00853368999998</v>
      </c>
      <c r="EC33" s="50">
        <v>382.46774599999998</v>
      </c>
      <c r="ED33" s="50">
        <v>40.276877579999997</v>
      </c>
      <c r="EE33" s="50">
        <v>32.917281270000011</v>
      </c>
      <c r="EF33" s="50">
        <v>27.740805050000006</v>
      </c>
      <c r="EG33" s="50">
        <v>30.746254150000002</v>
      </c>
      <c r="EH33" s="50">
        <v>19.103845339999999</v>
      </c>
      <c r="EI33" s="50">
        <v>22.512198100000003</v>
      </c>
      <c r="EJ33" s="50">
        <v>28.557358109999992</v>
      </c>
      <c r="EK33" s="50">
        <v>35.794235780000001</v>
      </c>
      <c r="EL33" s="44">
        <v>28.383660160000012</v>
      </c>
      <c r="EM33" s="44">
        <v>32.301320590000003</v>
      </c>
      <c r="EN33" s="44">
        <v>29.509156999999966</v>
      </c>
      <c r="EO33" s="44">
        <v>25.121753509999959</v>
      </c>
      <c r="EP33" s="50">
        <f t="shared" si="11"/>
        <v>352.96474663999993</v>
      </c>
      <c r="EQ33" s="198">
        <v>348.42075499999999</v>
      </c>
      <c r="ER33" s="44">
        <v>33.919305730000005</v>
      </c>
      <c r="ES33" s="44">
        <v>27.439432</v>
      </c>
      <c r="ET33" s="44">
        <v>32.398156999999998</v>
      </c>
      <c r="EU33" s="44">
        <v>35.802329</v>
      </c>
      <c r="EV33" s="44">
        <v>22.431888000000001</v>
      </c>
      <c r="EW33" s="44">
        <v>19.483678999999999</v>
      </c>
      <c r="EX33" s="44">
        <v>37.179994999999991</v>
      </c>
      <c r="EY33" s="44">
        <v>39.490766999999998</v>
      </c>
      <c r="EZ33" s="44">
        <v>30.231987</v>
      </c>
      <c r="FA33" s="44">
        <v>33.504314000000001</v>
      </c>
      <c r="FB33" s="44">
        <v>25.745642</v>
      </c>
      <c r="FC33" s="44">
        <v>38.694226</v>
      </c>
      <c r="FD33" s="50">
        <f t="shared" si="12"/>
        <v>376.32172172999998</v>
      </c>
      <c r="FE33" s="50">
        <v>372.48768699999999</v>
      </c>
      <c r="FF33" s="50">
        <v>42.298248000000001</v>
      </c>
      <c r="FG33" s="50">
        <v>32.050550999999999</v>
      </c>
      <c r="FH33" s="50">
        <v>36.278041000000009</v>
      </c>
      <c r="FI33" s="50">
        <v>45.819082999999999</v>
      </c>
      <c r="FJ33" s="50">
        <v>33.419566000000003</v>
      </c>
      <c r="FK33" s="50">
        <v>19.739621000000003</v>
      </c>
      <c r="FL33" s="50">
        <v>30.624589</v>
      </c>
      <c r="FM33" s="50">
        <v>44.575532999999993</v>
      </c>
      <c r="FN33" s="50">
        <v>38.233893000000002</v>
      </c>
      <c r="FO33" s="50">
        <v>39.471828999999993</v>
      </c>
      <c r="FP33" s="50">
        <v>26.547197000000001</v>
      </c>
      <c r="FQ33" s="50">
        <v>38.661189000000007</v>
      </c>
      <c r="FR33" s="50">
        <f t="shared" si="13"/>
        <v>427.7193400000001</v>
      </c>
      <c r="FS33" s="50">
        <v>424.92099100000001</v>
      </c>
      <c r="FT33" s="50">
        <v>49.138047000000007</v>
      </c>
      <c r="FU33" s="50">
        <v>37.54448</v>
      </c>
      <c r="FV33" s="50">
        <v>40.866678999999998</v>
      </c>
      <c r="FW33" s="50">
        <v>41.230321999999987</v>
      </c>
      <c r="FX33" s="50">
        <v>40.441157999999994</v>
      </c>
      <c r="FY33" s="50">
        <v>26.365904000000004</v>
      </c>
      <c r="FZ33" s="50">
        <v>48.088751999999985</v>
      </c>
      <c r="GA33" s="50">
        <v>55.467156000000003</v>
      </c>
      <c r="GB33" s="50">
        <v>39.824464999999996</v>
      </c>
      <c r="GC33" s="50">
        <v>38.754782999999996</v>
      </c>
      <c r="GD33" s="50">
        <v>35.948121</v>
      </c>
      <c r="GE33" s="50">
        <v>36.750431000000006</v>
      </c>
      <c r="GF33" s="50">
        <f t="shared" si="14"/>
        <v>490.42029799999989</v>
      </c>
      <c r="GG33" s="50">
        <v>483.80566099999999</v>
      </c>
      <c r="GH33" s="50">
        <v>57.283149000000002</v>
      </c>
      <c r="GI33" s="50">
        <v>47.780127999999998</v>
      </c>
      <c r="GJ33" s="50">
        <v>43.479034000000013</v>
      </c>
      <c r="GK33" s="50">
        <v>49.427970999999999</v>
      </c>
      <c r="GL33" s="50">
        <v>39.882817019999997</v>
      </c>
      <c r="GM33" s="50">
        <v>37.234499</v>
      </c>
      <c r="GN33" s="50">
        <v>38.019548</v>
      </c>
      <c r="GO33" s="50">
        <v>53.724830000000004</v>
      </c>
      <c r="GP33" s="50">
        <v>42.287492</v>
      </c>
      <c r="GQ33" s="50">
        <v>48.05376600000001</v>
      </c>
      <c r="GR33" s="50">
        <v>35.042076000000002</v>
      </c>
      <c r="GS33" s="50">
        <v>46.342267</v>
      </c>
      <c r="GT33" s="50">
        <f t="shared" si="15"/>
        <v>538.55757701999994</v>
      </c>
      <c r="GU33" s="50">
        <v>531.91681200000005</v>
      </c>
      <c r="GV33" s="50">
        <v>60.362138999999999</v>
      </c>
      <c r="GW33" s="50">
        <v>36.315863999999998</v>
      </c>
      <c r="GX33" s="50">
        <v>44.533452999999994</v>
      </c>
      <c r="GY33" s="50">
        <v>52.597655000000003</v>
      </c>
      <c r="GZ33" s="50">
        <v>58.700840999999997</v>
      </c>
      <c r="HA33" s="50">
        <v>34.125103000000003</v>
      </c>
      <c r="HB33" s="50">
        <v>45.058154999999999</v>
      </c>
      <c r="HC33" s="50">
        <v>69.227388000000005</v>
      </c>
      <c r="HD33" s="50">
        <v>44.678702000000015</v>
      </c>
      <c r="HE33" s="50">
        <v>39.937083000000001</v>
      </c>
      <c r="HF33" s="50">
        <v>38.111235999999998</v>
      </c>
      <c r="HG33" s="50">
        <v>42.82797699999999</v>
      </c>
      <c r="HH33" s="50">
        <f t="shared" si="6"/>
        <v>566.47559600000011</v>
      </c>
      <c r="HI33" s="50">
        <v>55.720925999999999</v>
      </c>
      <c r="HJ33" s="50">
        <v>58.694392000000008</v>
      </c>
      <c r="HK33" s="50">
        <v>47.529094000000008</v>
      </c>
      <c r="HL33" s="50">
        <v>53.603037</v>
      </c>
      <c r="HM33" s="50"/>
      <c r="HN33" s="50"/>
      <c r="HO33" s="50"/>
      <c r="HP33" s="50"/>
      <c r="HQ33" s="50"/>
      <c r="HR33" s="50"/>
      <c r="HS33" s="50"/>
      <c r="HT33" s="50"/>
      <c r="HU33" s="276">
        <f t="shared" si="16"/>
        <v>193.809111</v>
      </c>
      <c r="HV33" s="276">
        <f t="shared" si="17"/>
        <v>215.547449</v>
      </c>
      <c r="HW33" s="277">
        <f t="shared" si="18"/>
        <v>21.738337999999999</v>
      </c>
      <c r="HX33" s="277">
        <f t="shared" si="19"/>
        <v>11.216365364784124</v>
      </c>
    </row>
    <row r="34" spans="1:233" s="12" customFormat="1" ht="20.5">
      <c r="A34" s="42" t="s">
        <v>96</v>
      </c>
      <c r="B34" s="12" t="s">
        <v>97</v>
      </c>
      <c r="C34" s="42" t="s">
        <v>98</v>
      </c>
      <c r="D34" s="42">
        <v>18.323726102867941</v>
      </c>
      <c r="E34" s="42">
        <v>17.871507561140803</v>
      </c>
      <c r="F34" s="42">
        <v>8.539568642181889</v>
      </c>
      <c r="G34" s="42">
        <v>10.08705414311814</v>
      </c>
      <c r="H34" s="42">
        <v>0.35393082566405432</v>
      </c>
      <c r="I34" s="42">
        <v>0.50475666046294554</v>
      </c>
      <c r="J34" s="42">
        <v>0.67414812664697421</v>
      </c>
      <c r="K34" s="42">
        <v>0.4269611442165952</v>
      </c>
      <c r="L34" s="42">
        <v>0.42442985526547938</v>
      </c>
      <c r="M34" s="42">
        <v>0.44881645522791558</v>
      </c>
      <c r="N34" s="42">
        <v>0.22166919937848958</v>
      </c>
      <c r="O34" s="42">
        <v>0.29480623331682804</v>
      </c>
      <c r="P34" s="42">
        <v>2.1770664367305823</v>
      </c>
      <c r="Q34" s="42">
        <v>0.48591926056197748</v>
      </c>
      <c r="R34" s="42">
        <v>0.28547788572631916</v>
      </c>
      <c r="S34" s="42">
        <v>1.5296113852510798</v>
      </c>
      <c r="T34" s="42">
        <v>7.8275934684492414</v>
      </c>
      <c r="U34" s="42">
        <v>9.3916355057740137</v>
      </c>
      <c r="V34" s="42">
        <v>0.11759039504612954</v>
      </c>
      <c r="W34" s="42">
        <v>0.25391700957877306</v>
      </c>
      <c r="X34" s="42">
        <v>0.54335632694179314</v>
      </c>
      <c r="Y34" s="42">
        <v>0.2371925459604369</v>
      </c>
      <c r="Z34" s="42">
        <v>0.29725926431835908</v>
      </c>
      <c r="AA34" s="42">
        <v>0.897432285530532</v>
      </c>
      <c r="AB34" s="42">
        <v>0.25518706491290799</v>
      </c>
      <c r="AC34" s="42">
        <v>0.24744452222810343</v>
      </c>
      <c r="AD34" s="42">
        <v>0.56399081393959061</v>
      </c>
      <c r="AE34" s="42">
        <v>0.39741378819699374</v>
      </c>
      <c r="AF34" s="42">
        <v>0.3344147159094143</v>
      </c>
      <c r="AG34" s="42">
        <v>3.0504308455842599</v>
      </c>
      <c r="AH34" s="42">
        <v>7.1956293362018435</v>
      </c>
      <c r="AI34" s="42">
        <v>8.3503167312650479</v>
      </c>
      <c r="AJ34" s="42">
        <v>1.1471192537321928E-2</v>
      </c>
      <c r="AK34" s="42">
        <v>0.27401096180442913</v>
      </c>
      <c r="AL34" s="42">
        <v>0.51882317118286181</v>
      </c>
      <c r="AM34" s="42">
        <v>0.17852203459285945</v>
      </c>
      <c r="AN34" s="42">
        <v>0.27118086977308042</v>
      </c>
      <c r="AO34" s="42">
        <v>0.57896977656017889</v>
      </c>
      <c r="AP34" s="42">
        <v>0.10607714706694894</v>
      </c>
      <c r="AQ34" s="42">
        <v>0.19988076334226901</v>
      </c>
      <c r="AR34" s="42">
        <v>0.55514339702107551</v>
      </c>
      <c r="AS34" s="42">
        <v>0.24237340709500799</v>
      </c>
      <c r="AT34" s="42">
        <v>0.61117324318017541</v>
      </c>
      <c r="AU34" s="42">
        <v>1.3820225838213782</v>
      </c>
      <c r="AV34" s="42">
        <v>4.9296489490668804</v>
      </c>
      <c r="AW34" s="42">
        <v>6.1315587276111119</v>
      </c>
      <c r="AX34" s="44">
        <v>1.2997620000000001</v>
      </c>
      <c r="AY34" s="44">
        <v>0.47598499999999999</v>
      </c>
      <c r="AZ34" s="44">
        <v>0.404783</v>
      </c>
      <c r="BA34" s="44">
        <v>0.474742</v>
      </c>
      <c r="BB34" s="44">
        <v>0.20624600000000001</v>
      </c>
      <c r="BC34" s="44">
        <v>0.46549600000000002</v>
      </c>
      <c r="BD34" s="44">
        <v>0.191132</v>
      </c>
      <c r="BE34" s="44">
        <v>1.1738519999999999</v>
      </c>
      <c r="BF34" s="44">
        <v>0.58573940999999996</v>
      </c>
      <c r="BG34" s="44">
        <v>0.51518330999999995</v>
      </c>
      <c r="BH34" s="44">
        <v>0.46886520000000004</v>
      </c>
      <c r="BI34" s="44">
        <v>1.1998355300000001</v>
      </c>
      <c r="BJ34" s="50">
        <f t="shared" si="1"/>
        <v>7.4616214500000009</v>
      </c>
      <c r="BK34" s="44">
        <v>8.6389259999999997</v>
      </c>
      <c r="BL34" s="44">
        <v>0.15272335000000001</v>
      </c>
      <c r="BM34" s="44">
        <v>1.0545473599999999</v>
      </c>
      <c r="BN34" s="44">
        <v>0.58185734</v>
      </c>
      <c r="BO34" s="44">
        <v>0.38149605999999997</v>
      </c>
      <c r="BP34" s="44">
        <v>0.31895052000000002</v>
      </c>
      <c r="BQ34" s="44">
        <v>0.16964285999999998</v>
      </c>
      <c r="BR34" s="44">
        <v>0.30624385999999998</v>
      </c>
      <c r="BS34" s="44">
        <v>0.21418377000000002</v>
      </c>
      <c r="BT34" s="44">
        <v>0.21756892999999999</v>
      </c>
      <c r="BU34" s="44">
        <v>0.19262110999999998</v>
      </c>
      <c r="BV34" s="44">
        <v>0.15176942999999998</v>
      </c>
      <c r="BW34" s="44">
        <v>1.8840049000000001</v>
      </c>
      <c r="BX34" s="50">
        <f t="shared" si="4"/>
        <v>5.6256094900000004</v>
      </c>
      <c r="BY34" s="50">
        <v>4.8642200000000004</v>
      </c>
      <c r="BZ34" s="50">
        <v>0.17380994999999996</v>
      </c>
      <c r="CA34" s="50">
        <v>0.29323307999999998</v>
      </c>
      <c r="CB34" s="50">
        <v>0.23783750000000001</v>
      </c>
      <c r="CC34" s="50">
        <v>0.24035151000000002</v>
      </c>
      <c r="CD34" s="50">
        <v>0.21944337</v>
      </c>
      <c r="CE34" s="73">
        <v>0.19623936</v>
      </c>
      <c r="CF34" s="50">
        <v>0.20246414999999998</v>
      </c>
      <c r="CG34" s="50">
        <v>0.32588855000000005</v>
      </c>
      <c r="CH34" s="50">
        <v>0.16346692999999998</v>
      </c>
      <c r="CI34" s="50">
        <v>0.18801408000000003</v>
      </c>
      <c r="CJ34" s="50">
        <v>0.17987280999999999</v>
      </c>
      <c r="CK34" s="50">
        <v>2.0634277499999998</v>
      </c>
      <c r="CL34" s="50">
        <f t="shared" si="5"/>
        <v>4.4840490399999995</v>
      </c>
      <c r="CM34" s="50">
        <v>4.5249639999999998</v>
      </c>
      <c r="CN34" s="50">
        <v>0.35369410999999995</v>
      </c>
      <c r="CO34" s="50">
        <v>0.20180629999999999</v>
      </c>
      <c r="CP34" s="50">
        <v>0.15193013</v>
      </c>
      <c r="CQ34" s="50">
        <v>0.23871075</v>
      </c>
      <c r="CR34" s="50">
        <v>0.86807360999999994</v>
      </c>
      <c r="CS34" s="50">
        <v>0.75977684000000001</v>
      </c>
      <c r="CT34" s="50">
        <v>0.20040845000000002</v>
      </c>
      <c r="CU34" s="50">
        <v>0.20138718</v>
      </c>
      <c r="CV34" s="50">
        <v>0.61161294999999993</v>
      </c>
      <c r="CW34" s="50">
        <v>1.28033471</v>
      </c>
      <c r="CX34" s="50">
        <v>0.13639495000000001</v>
      </c>
      <c r="CY34" s="50">
        <v>2.4567825999999999</v>
      </c>
      <c r="CZ34" s="50">
        <f t="shared" si="9"/>
        <v>7.4609125800000005</v>
      </c>
      <c r="DA34" s="50">
        <v>7.4818490000000004</v>
      </c>
      <c r="DB34" s="50">
        <v>0.43843955000000001</v>
      </c>
      <c r="DC34" s="50">
        <v>0.15646379000000002</v>
      </c>
      <c r="DD34" s="50">
        <v>0.31456343000000003</v>
      </c>
      <c r="DE34" s="50">
        <v>9.3650129999999998E-2</v>
      </c>
      <c r="DF34" s="50">
        <v>0.13752210000000001</v>
      </c>
      <c r="DG34" s="50">
        <v>0.46579473999999998</v>
      </c>
      <c r="DH34" s="50">
        <v>0.71105852000000003</v>
      </c>
      <c r="DI34" s="50">
        <v>0.10249145000000001</v>
      </c>
      <c r="DJ34" s="50">
        <v>0.10255550999999999</v>
      </c>
      <c r="DK34" s="50">
        <v>-0.67996712999999998</v>
      </c>
      <c r="DL34" s="50">
        <v>9.9271739999999997E-2</v>
      </c>
      <c r="DM34" s="50">
        <v>1.9858820100000001</v>
      </c>
      <c r="DN34" s="50">
        <f t="shared" si="20"/>
        <v>3.9277258400000008</v>
      </c>
      <c r="DO34" s="50">
        <v>3.9894859999999999</v>
      </c>
      <c r="DP34" s="44">
        <v>0.36343858999999995</v>
      </c>
      <c r="DQ34" s="50">
        <v>0.13969035000000002</v>
      </c>
      <c r="DR34" s="50">
        <v>0.11219846999999999</v>
      </c>
      <c r="DS34" s="50">
        <v>0.32842789</v>
      </c>
      <c r="DT34" s="50">
        <v>0.19012673999999999</v>
      </c>
      <c r="DU34" s="50">
        <v>0.13811872</v>
      </c>
      <c r="DV34" s="50">
        <v>0.19955689000000001</v>
      </c>
      <c r="DW34" s="50">
        <v>0.22335301999999999</v>
      </c>
      <c r="DX34" s="50">
        <v>9.0091429999999986E-2</v>
      </c>
      <c r="DY34" s="50">
        <v>8.2536730000000016E-2</v>
      </c>
      <c r="DZ34" s="50">
        <v>0.10601897</v>
      </c>
      <c r="EA34" s="50">
        <v>3.2419419900000004</v>
      </c>
      <c r="EB34" s="50">
        <f t="shared" si="10"/>
        <v>5.21549979</v>
      </c>
      <c r="EC34" s="50">
        <v>5.1017010000000003</v>
      </c>
      <c r="ED34" s="50">
        <v>0.26781391000000004</v>
      </c>
      <c r="EE34" s="50">
        <v>8.6063109999999998E-2</v>
      </c>
      <c r="EF34" s="50">
        <v>0.12582077</v>
      </c>
      <c r="EG34" s="50">
        <v>6.1629139999999999E-2</v>
      </c>
      <c r="EH34" s="50">
        <v>3.2990930000000002E-2</v>
      </c>
      <c r="EI34" s="50">
        <v>7.315555E-2</v>
      </c>
      <c r="EJ34" s="50">
        <v>4.2575580000000002E-2</v>
      </c>
      <c r="EK34" s="50">
        <v>0.14180809</v>
      </c>
      <c r="EL34" s="44">
        <v>0.15292526000000001</v>
      </c>
      <c r="EM34" s="44">
        <v>7.0971439999999997E-2</v>
      </c>
      <c r="EN34" s="44">
        <v>7.5010999999999994E-2</v>
      </c>
      <c r="EO34" s="44">
        <v>1.67477378</v>
      </c>
      <c r="EP34" s="50">
        <f t="shared" si="11"/>
        <v>2.8055385599999996</v>
      </c>
      <c r="EQ34" s="50">
        <v>2.8127070000000001</v>
      </c>
      <c r="ER34" s="44">
        <v>0.11540841</v>
      </c>
      <c r="ES34" s="44">
        <v>0.11932645000000001</v>
      </c>
      <c r="ET34" s="44">
        <v>0.14913085000000001</v>
      </c>
      <c r="EU34" s="44">
        <v>2.6627000000000001E-2</v>
      </c>
      <c r="EV34" s="44">
        <v>7.3649080000000006E-2</v>
      </c>
      <c r="EW34" s="44">
        <v>0.15915599999999999</v>
      </c>
      <c r="EX34" s="44">
        <v>0.17382282000000002</v>
      </c>
      <c r="EY34" s="44">
        <v>3.7918500000000001E-2</v>
      </c>
      <c r="EZ34" s="44">
        <v>4.214039E-2</v>
      </c>
      <c r="FA34" s="44">
        <v>5.2870309999999997E-2</v>
      </c>
      <c r="FB34" s="44">
        <v>0.14194870000000001</v>
      </c>
      <c r="FC34" s="44">
        <v>1.9492465199999998</v>
      </c>
      <c r="FD34" s="50">
        <f t="shared" si="12"/>
        <v>3.0412450299999998</v>
      </c>
      <c r="FE34" s="50">
        <v>3.0463819999999999</v>
      </c>
      <c r="FF34" s="50">
        <v>0.10408477000000001</v>
      </c>
      <c r="FG34" s="50">
        <v>0.12628666</v>
      </c>
      <c r="FH34" s="50">
        <v>7.3411100000000007E-2</v>
      </c>
      <c r="FI34" s="50">
        <v>0.18854186000000001</v>
      </c>
      <c r="FJ34" s="50">
        <v>6.1579210000000002E-2</v>
      </c>
      <c r="FK34" s="50">
        <v>0.19055362000000001</v>
      </c>
      <c r="FL34" s="50">
        <v>6.5611089999999997E-2</v>
      </c>
      <c r="FM34" s="50">
        <v>3.3514939999999993E-2</v>
      </c>
      <c r="FN34" s="50">
        <v>0.10207427000000001</v>
      </c>
      <c r="FO34" s="50">
        <v>0.16663509999999998</v>
      </c>
      <c r="FP34" s="50">
        <v>0.38319598000000005</v>
      </c>
      <c r="FQ34" s="50">
        <v>0.11244623000000001</v>
      </c>
      <c r="FR34" s="50">
        <f t="shared" si="13"/>
        <v>1.60793483</v>
      </c>
      <c r="FS34" s="50">
        <v>1.6138269999999999</v>
      </c>
      <c r="FT34" s="50">
        <v>9.6790210000000002E-2</v>
      </c>
      <c r="FU34" s="50">
        <v>5.0139110000000001E-2</v>
      </c>
      <c r="FV34" s="50">
        <v>0.40904499999999999</v>
      </c>
      <c r="FW34" s="50">
        <v>0.11293530000000002</v>
      </c>
      <c r="FX34" s="50">
        <v>0.11595656999999999</v>
      </c>
      <c r="FY34" s="50">
        <v>0.14064172</v>
      </c>
      <c r="FZ34" s="50">
        <v>7.7630279999999996E-2</v>
      </c>
      <c r="GA34" s="50">
        <v>0.180588</v>
      </c>
      <c r="GB34" s="50">
        <v>0.18965149999999997</v>
      </c>
      <c r="GC34" s="50">
        <v>0.15948349000000001</v>
      </c>
      <c r="GD34" s="50">
        <v>0.21089589999999997</v>
      </c>
      <c r="GE34" s="50">
        <v>9.799788999999999E-2</v>
      </c>
      <c r="GF34" s="50">
        <f t="shared" si="14"/>
        <v>1.8417549699999998</v>
      </c>
      <c r="GG34" s="50">
        <v>1.8426450000000001</v>
      </c>
      <c r="GH34" s="50">
        <v>0.11406336</v>
      </c>
      <c r="GI34" s="50">
        <v>5.9196440000000003E-2</v>
      </c>
      <c r="GJ34" s="50">
        <v>0.22688564</v>
      </c>
      <c r="GK34" s="50">
        <v>0.13838130000000001</v>
      </c>
      <c r="GL34" s="50">
        <v>0.19456219000000002</v>
      </c>
      <c r="GM34" s="50">
        <v>0.20682766000000002</v>
      </c>
      <c r="GN34" s="50">
        <v>9.8246050000000001E-2</v>
      </c>
      <c r="GO34" s="50">
        <v>0.23849200000000001</v>
      </c>
      <c r="GP34" s="50">
        <v>6.1975160000000015E-2</v>
      </c>
      <c r="GQ34" s="50">
        <v>0.22055861999999998</v>
      </c>
      <c r="GR34" s="50">
        <v>0.13990994000000001</v>
      </c>
      <c r="GS34" s="50">
        <v>0.15376562999999999</v>
      </c>
      <c r="GT34" s="50">
        <f t="shared" si="15"/>
        <v>1.8528639900000003</v>
      </c>
      <c r="GU34" s="50">
        <v>1.841342</v>
      </c>
      <c r="GV34" s="50">
        <v>4.4239239999999999E-2</v>
      </c>
      <c r="GW34" s="50">
        <v>0.15364141000000001</v>
      </c>
      <c r="GX34" s="50">
        <v>0.31149500000000002</v>
      </c>
      <c r="GY34" s="50">
        <v>0.11724743999999999</v>
      </c>
      <c r="GZ34" s="50">
        <v>0.17953539999999998</v>
      </c>
      <c r="HA34" s="50">
        <v>0.19450816000000001</v>
      </c>
      <c r="HB34" s="50">
        <v>7.7092330000000001E-2</v>
      </c>
      <c r="HC34" s="50">
        <v>0.55488500000000007</v>
      </c>
      <c r="HD34" s="50">
        <v>8.9835150000000003E-2</v>
      </c>
      <c r="HE34" s="50">
        <v>0.39658179999999998</v>
      </c>
      <c r="HF34" s="50">
        <v>0.17564489999999999</v>
      </c>
      <c r="HG34" s="50">
        <v>0.28692026999999998</v>
      </c>
      <c r="HH34" s="50">
        <f t="shared" si="6"/>
        <v>2.5816260999999998</v>
      </c>
      <c r="HI34" s="50">
        <v>7.5404120000000005E-2</v>
      </c>
      <c r="HJ34" s="50">
        <v>6.7099300000000001E-2</v>
      </c>
      <c r="HK34" s="50">
        <v>0.12533695</v>
      </c>
      <c r="HL34" s="50">
        <v>6.7266389999999995E-2</v>
      </c>
      <c r="HM34" s="50"/>
      <c r="HN34" s="50"/>
      <c r="HO34" s="50"/>
      <c r="HP34" s="50"/>
      <c r="HQ34" s="50"/>
      <c r="HR34" s="50"/>
      <c r="HS34" s="50"/>
      <c r="HT34" s="50"/>
      <c r="HU34" s="276">
        <f t="shared" si="16"/>
        <v>0.62662300000000004</v>
      </c>
      <c r="HV34" s="276">
        <f t="shared" si="17"/>
        <v>0.33510699999999999</v>
      </c>
      <c r="HW34" s="277">
        <f t="shared" si="18"/>
        <v>-0.29151600000000005</v>
      </c>
      <c r="HX34" s="277">
        <f t="shared" si="19"/>
        <v>-46.521752313592067</v>
      </c>
    </row>
    <row r="35" spans="1:233" s="12" customFormat="1" ht="25.5">
      <c r="A35" s="42" t="s">
        <v>99</v>
      </c>
      <c r="B35" s="12" t="s">
        <v>100</v>
      </c>
      <c r="C35" s="42" t="s">
        <v>101</v>
      </c>
      <c r="D35" s="42">
        <v>27.081543360595578</v>
      </c>
      <c r="E35" s="42">
        <v>17.173190533918604</v>
      </c>
      <c r="F35" s="42">
        <v>16.352359975185113</v>
      </c>
      <c r="G35" s="42">
        <v>0.49516650445911931</v>
      </c>
      <c r="H35" s="42">
        <v>0.13670240920655055</v>
      </c>
      <c r="I35" s="42">
        <v>5.6849420322030733E-2</v>
      </c>
      <c r="J35" s="42">
        <v>-0.19355325240037763</v>
      </c>
      <c r="K35" s="42">
        <v>9.5346640030291516E-3</v>
      </c>
      <c r="L35" s="42">
        <v>-9.5332411312326754E-3</v>
      </c>
      <c r="M35" s="42">
        <v>2.0299209831522389E-14</v>
      </c>
      <c r="N35" s="42">
        <v>1.0852001411489127</v>
      </c>
      <c r="O35" s="42">
        <v>-1.0852001411488885</v>
      </c>
      <c r="P35" s="42">
        <v>0.42160830046492509</v>
      </c>
      <c r="Q35" s="42">
        <v>0.58827923574712604</v>
      </c>
      <c r="R35" s="42">
        <v>-0.77401238467621336</v>
      </c>
      <c r="S35" s="42">
        <v>-0.23587515153587751</v>
      </c>
      <c r="T35" s="42">
        <v>4.9404924595819466E-15</v>
      </c>
      <c r="U35" s="42">
        <v>9.9601026734126208E-5</v>
      </c>
      <c r="V35" s="42">
        <v>3.2402496713166071</v>
      </c>
      <c r="W35" s="42">
        <v>-2.6341004177551719</v>
      </c>
      <c r="X35" s="42">
        <v>1.3550678425279203</v>
      </c>
      <c r="Y35" s="42">
        <v>-1.1625906511630477</v>
      </c>
      <c r="Z35" s="42">
        <v>0.87394351768059542</v>
      </c>
      <c r="AA35" s="42">
        <v>-0.24071576143560608</v>
      </c>
      <c r="AB35" s="42">
        <v>6.5938725448362545E-2</v>
      </c>
      <c r="AC35" s="42">
        <v>0.2682910171256716</v>
      </c>
      <c r="AD35" s="42">
        <v>-0.2382513474595932</v>
      </c>
      <c r="AE35" s="42">
        <v>-0.10867894889614763</v>
      </c>
      <c r="AF35" s="42">
        <v>-0.37939311671538695</v>
      </c>
      <c r="AG35" s="42">
        <v>-1.0397607298762424</v>
      </c>
      <c r="AH35" s="42">
        <v>-1.9920203886414356E-7</v>
      </c>
      <c r="AI35" s="42">
        <v>0</v>
      </c>
      <c r="AJ35" s="42">
        <v>1.3087133823939479</v>
      </c>
      <c r="AK35" s="42">
        <v>-0.32907610087591505</v>
      </c>
      <c r="AL35" s="42">
        <v>-4.9104729056750868E-2</v>
      </c>
      <c r="AM35" s="42">
        <v>-7.8114239531944421E-2</v>
      </c>
      <c r="AN35" s="42">
        <v>-6.1316384084268531E-3</v>
      </c>
      <c r="AO35" s="42">
        <v>0.32365211353380341</v>
      </c>
      <c r="AP35" s="42">
        <v>-0.25981639262157363</v>
      </c>
      <c r="AQ35" s="42">
        <v>4.7058639393060681E-2</v>
      </c>
      <c r="AR35" s="42">
        <v>-1.1331039663974745</v>
      </c>
      <c r="AS35" s="42">
        <v>0.8407322667486119</v>
      </c>
      <c r="AT35" s="42">
        <v>-0.5696367692841835</v>
      </c>
      <c r="AU35" s="42">
        <v>-8.5912999926010675E-2</v>
      </c>
      <c r="AV35" s="42">
        <v>9.2595659671442787E-3</v>
      </c>
      <c r="AW35" s="42">
        <v>0</v>
      </c>
      <c r="AX35" s="44">
        <f>AX36+AX38+AX37</f>
        <v>4.0377969999999999E-2</v>
      </c>
      <c r="AY35" s="44">
        <f>AY36+AY38+AY37</f>
        <v>-4.0377990000000002E-2</v>
      </c>
      <c r="AZ35" s="44">
        <f t="shared" ref="AZ35:BG35" si="26">AZ36+AZ38+AZ37</f>
        <v>0</v>
      </c>
      <c r="BA35" s="44">
        <f t="shared" si="26"/>
        <v>3.1797249999999999E-2</v>
      </c>
      <c r="BB35" s="44">
        <f t="shared" si="26"/>
        <v>7.5527250000000004E-2</v>
      </c>
      <c r="BC35" s="44">
        <f t="shared" si="26"/>
        <v>-5.4151100000000034E-3</v>
      </c>
      <c r="BD35" s="44">
        <f t="shared" si="26"/>
        <v>8.4432330000000014E-2</v>
      </c>
      <c r="BE35" s="44">
        <f t="shared" si="26"/>
        <v>9.5794290000000004E-2</v>
      </c>
      <c r="BF35" s="44">
        <f t="shared" si="26"/>
        <v>0.2079099999999999</v>
      </c>
      <c r="BG35" s="44">
        <f t="shared" si="26"/>
        <v>9.3817000000000025E-2</v>
      </c>
      <c r="BH35" s="44">
        <f>BH36+BH38+BH37</f>
        <v>8.347199999999988E-2</v>
      </c>
      <c r="BI35" s="44">
        <f>BI36+BI38+BI37</f>
        <v>0.1687449999999999</v>
      </c>
      <c r="BJ35" s="50">
        <f t="shared" si="1"/>
        <v>0.83607998999999977</v>
      </c>
      <c r="BK35" s="44">
        <f>BK36+BK38+BK37</f>
        <v>1.93E-4</v>
      </c>
      <c r="BL35" s="44">
        <f>BL36+BL38+BL37</f>
        <v>0.31185099999999999</v>
      </c>
      <c r="BM35" s="44">
        <v>0.45501835999995094</v>
      </c>
      <c r="BN35" s="44">
        <v>1.8528170000046494E-2</v>
      </c>
      <c r="BO35" s="44">
        <v>0.20872499000009892</v>
      </c>
      <c r="BP35" s="44">
        <v>-9.6643869999915366E-2</v>
      </c>
      <c r="BQ35" s="44">
        <v>0.91470572000005845</v>
      </c>
      <c r="BR35" s="44">
        <v>-4.4662260000288487E-2</v>
      </c>
      <c r="BS35" s="44">
        <v>-0.22630754000008108</v>
      </c>
      <c r="BT35" s="44">
        <v>-4.1201720000147823E-2</v>
      </c>
      <c r="BU35" s="44">
        <v>-0.35775319999986888</v>
      </c>
      <c r="BV35" s="44">
        <v>-0.4348857500001192</v>
      </c>
      <c r="BW35" s="44">
        <v>-2.9694400000333798E-2</v>
      </c>
      <c r="BX35" s="50">
        <f t="shared" si="4"/>
        <v>0.67767949999940047</v>
      </c>
      <c r="BY35" s="50">
        <f>BY36+BY38+BY37</f>
        <v>4.1130000000000003E-3</v>
      </c>
      <c r="BZ35" s="50">
        <v>0.47590287999999709</v>
      </c>
      <c r="CA35" s="50">
        <v>0.28382528999999168</v>
      </c>
      <c r="CB35" s="50">
        <v>-0.38446745999997856</v>
      </c>
      <c r="CC35" s="50">
        <v>-0.37526071000000832</v>
      </c>
      <c r="CD35" s="50">
        <v>0.30082810999986531</v>
      </c>
      <c r="CE35" s="73">
        <v>-0.23526662000001966</v>
      </c>
      <c r="CF35" s="50">
        <v>0.41804627000005545</v>
      </c>
      <c r="CG35" s="50">
        <v>0.19175591000043601</v>
      </c>
      <c r="CH35" s="50">
        <v>-0.46394564999906346</v>
      </c>
      <c r="CI35" s="50">
        <v>-9.8997409999623892E-2</v>
      </c>
      <c r="CJ35" s="50">
        <v>-0.11242060999999941</v>
      </c>
      <c r="CK35" s="50">
        <v>-2.3283064365386962E-16</v>
      </c>
      <c r="CL35" s="50">
        <f t="shared" si="5"/>
        <v>1.651931685664465E-12</v>
      </c>
      <c r="CM35" s="50">
        <f>CM36+CM38+CM37</f>
        <v>1.4909999999999999E-3</v>
      </c>
      <c r="CN35" s="50">
        <v>1.7007443799999877</v>
      </c>
      <c r="CO35" s="50">
        <v>0.29295300000003727</v>
      </c>
      <c r="CP35" s="50">
        <v>-0.17340378000000864</v>
      </c>
      <c r="CQ35" s="50">
        <v>-0.24113573000013827</v>
      </c>
      <c r="CR35" s="50">
        <v>-0.10205209000009298</v>
      </c>
      <c r="CS35" s="50">
        <v>-7.113943000003696E-2</v>
      </c>
      <c r="CT35" s="50">
        <v>-1.2745670000053942E-2</v>
      </c>
      <c r="CU35" s="50">
        <v>0.38734155000031739</v>
      </c>
      <c r="CV35" s="50">
        <v>-0.3549711599999964</v>
      </c>
      <c r="CW35" s="50">
        <v>0.16977705000001192</v>
      </c>
      <c r="CX35" s="50">
        <v>0.32147049999999999</v>
      </c>
      <c r="CY35" s="50">
        <v>-1.9168386200000047</v>
      </c>
      <c r="CZ35" s="50">
        <f t="shared" si="9"/>
        <v>2.2648549702353193E-14</v>
      </c>
      <c r="DA35" s="50">
        <f>DA36+DA38+DA37</f>
        <v>4.6317999999999998E-2</v>
      </c>
      <c r="DB35" s="50">
        <v>2.3192987500000148</v>
      </c>
      <c r="DC35" s="50">
        <v>8.2343369999930263E-2</v>
      </c>
      <c r="DD35" s="50">
        <v>-0.81109953000002355</v>
      </c>
      <c r="DE35" s="50">
        <v>-0.2591843900000006</v>
      </c>
      <c r="DF35" s="50">
        <v>0.86991986999998983</v>
      </c>
      <c r="DG35" s="50">
        <v>-1.4486584499999284</v>
      </c>
      <c r="DH35" s="50">
        <v>0.23407022000026703</v>
      </c>
      <c r="DI35" s="50">
        <v>-0.26955937999978663</v>
      </c>
      <c r="DJ35" s="50">
        <v>1.5637843600004018</v>
      </c>
      <c r="DK35" s="50">
        <v>-0.54948805999976391</v>
      </c>
      <c r="DL35" s="50">
        <v>-0.24596338999974729</v>
      </c>
      <c r="DM35" s="50">
        <v>-1.4794136700000018</v>
      </c>
      <c r="DN35" s="50">
        <f t="shared" si="20"/>
        <v>6.0497000013510771E-3</v>
      </c>
      <c r="DO35" s="50">
        <f>DO36+DO38+DO37</f>
        <v>0.54678800000000005</v>
      </c>
      <c r="DP35" s="44">
        <v>1.5120890699997396</v>
      </c>
      <c r="DQ35" s="50">
        <v>0.25523482999657093</v>
      </c>
      <c r="DR35" s="50">
        <v>-4.8402460000105202E-2</v>
      </c>
      <c r="DS35" s="50">
        <v>-0.64094896000013502</v>
      </c>
      <c r="DT35" s="50">
        <v>0.17995644999943314</v>
      </c>
      <c r="DU35" s="50">
        <v>-3.2009280000180003E-2</v>
      </c>
      <c r="DV35" s="50">
        <v>-0.5818678199999332</v>
      </c>
      <c r="DW35" s="50">
        <v>0.26165668999989333</v>
      </c>
      <c r="DX35" s="50">
        <v>-0.2452582499988824</v>
      </c>
      <c r="DY35" s="50">
        <v>0.22514576999923586</v>
      </c>
      <c r="DZ35" s="50">
        <v>-0.87602664000141617</v>
      </c>
      <c r="EA35" s="50">
        <v>-5.3466200031042103E-3</v>
      </c>
      <c r="EB35" s="50">
        <f t="shared" si="10"/>
        <v>4.2227799911164739E-3</v>
      </c>
      <c r="EC35" s="50">
        <f>EC36+EC38+EC37</f>
        <v>0</v>
      </c>
      <c r="ED35" s="50">
        <v>2.2219464899955841</v>
      </c>
      <c r="EE35" s="50">
        <v>-0.15358325999998301</v>
      </c>
      <c r="EF35" s="50">
        <v>0.74088699999999996</v>
      </c>
      <c r="EG35" s="50">
        <v>-2.80925</v>
      </c>
      <c r="EH35" s="50">
        <v>2.3652000000000002</v>
      </c>
      <c r="EI35" s="50">
        <v>8.6362999999999995E-2</v>
      </c>
      <c r="EJ35" s="50">
        <v>-0.50565400000000005</v>
      </c>
      <c r="EK35" s="50">
        <v>0.36796400000000001</v>
      </c>
      <c r="EL35" s="44">
        <v>0.47255402000439167</v>
      </c>
      <c r="EM35" s="44">
        <v>-2.7864270000000002</v>
      </c>
      <c r="EN35" s="44">
        <v>2.5199980000000006</v>
      </c>
      <c r="EO35" s="44">
        <v>0.52770348999999839</v>
      </c>
      <c r="EP35" s="50">
        <f t="shared" si="11"/>
        <v>3.0477017399999911</v>
      </c>
      <c r="EQ35" s="50">
        <v>3.0183490000000002</v>
      </c>
      <c r="ER35" s="44">
        <v>0</v>
      </c>
      <c r="ES35" s="44">
        <v>9.3036000000029803E-2</v>
      </c>
      <c r="ET35" s="44">
        <v>-9.0474999999970079E-2</v>
      </c>
      <c r="EU35" s="44">
        <v>7.5249000000000121E-2</v>
      </c>
      <c r="EV35" s="44">
        <v>-2.0807000000000058E-2</v>
      </c>
      <c r="EW35" s="44">
        <v>-5.7002999999999998E-2</v>
      </c>
      <c r="EX35" s="44">
        <v>1.4954316499991156</v>
      </c>
      <c r="EY35" s="44">
        <v>-1.4954320000000003</v>
      </c>
      <c r="EZ35" s="44">
        <v>0</v>
      </c>
      <c r="FA35" s="44">
        <v>2.365100000143051E-2</v>
      </c>
      <c r="FB35" s="44">
        <v>-2.3650999999999943E-2</v>
      </c>
      <c r="FC35" s="44">
        <v>0.65193699999999999</v>
      </c>
      <c r="FD35" s="50">
        <f t="shared" si="12"/>
        <v>0.65193665000060552</v>
      </c>
      <c r="FE35" s="50">
        <v>0.39874999999999999</v>
      </c>
      <c r="FF35" s="50">
        <v>2.6068580000000001E-2</v>
      </c>
      <c r="FG35" s="50">
        <v>0.115083</v>
      </c>
      <c r="FH35" s="50">
        <v>0.29109400000004249</v>
      </c>
      <c r="FI35" s="50">
        <v>-0.3350279999999996</v>
      </c>
      <c r="FJ35" s="50">
        <v>1.0234000000013177E-2</v>
      </c>
      <c r="FK35" s="50">
        <v>3.7396999999997571E-2</v>
      </c>
      <c r="FL35" s="50">
        <v>0.18278099999999187</v>
      </c>
      <c r="FM35" s="50">
        <v>3.8070999999998578E-2</v>
      </c>
      <c r="FN35" s="50">
        <v>-0.1469879999999944</v>
      </c>
      <c r="FO35" s="50">
        <v>-0.11841199999999519</v>
      </c>
      <c r="FP35" s="50">
        <v>0.16378500000000201</v>
      </c>
      <c r="FQ35" s="50">
        <v>-0.263589000000024</v>
      </c>
      <c r="FR35" s="50">
        <f t="shared" si="13"/>
        <v>4.9658000003249825E-4</v>
      </c>
      <c r="FS35" s="50"/>
      <c r="FT35" s="50"/>
      <c r="FU35" s="50">
        <v>3.1004E-2</v>
      </c>
      <c r="FV35" s="50">
        <v>-3.1004E-2</v>
      </c>
      <c r="FW35" s="50">
        <v>2.2985999999999999E-2</v>
      </c>
      <c r="FX35" s="50">
        <v>-2.2985999999999999E-2</v>
      </c>
      <c r="FY35" s="50">
        <v>3.4200000000000002E-4</v>
      </c>
      <c r="FZ35" s="50">
        <v>5.7167000000000003E-2</v>
      </c>
      <c r="GA35" s="50">
        <v>-5.4926000000000003E-2</v>
      </c>
      <c r="GB35" s="50">
        <v>0.226271</v>
      </c>
      <c r="GC35" s="50">
        <v>-0.18787779999994547</v>
      </c>
      <c r="GD35" s="50">
        <v>0.32986500000000002</v>
      </c>
      <c r="GE35" s="50">
        <v>-0.14466499999999999</v>
      </c>
      <c r="GF35" s="50">
        <f t="shared" si="14"/>
        <v>0.22617620000005456</v>
      </c>
      <c r="GG35" s="50">
        <v>0.137244</v>
      </c>
      <c r="GH35" s="50"/>
      <c r="GI35" s="50"/>
      <c r="GJ35" s="50">
        <v>1.0939999999999999E-3</v>
      </c>
      <c r="GK35" s="50">
        <v>-1.0939999999999999E-3</v>
      </c>
      <c r="GL35" s="50"/>
      <c r="GM35" s="50">
        <v>5.1599999999999997E-4</v>
      </c>
      <c r="GN35" s="50">
        <v>-5.1599999999999997E-4</v>
      </c>
      <c r="GO35" s="50"/>
      <c r="GP35" s="50">
        <v>4.2236000000000003E-2</v>
      </c>
      <c r="GQ35" s="50">
        <v>-4.2236000000000003E-2</v>
      </c>
      <c r="GR35" s="50">
        <v>4.7483000001981156E-2</v>
      </c>
      <c r="GS35" s="50">
        <v>0.27830100000000002</v>
      </c>
      <c r="GT35" s="50">
        <f t="shared" si="15"/>
        <v>0.32578400000198116</v>
      </c>
      <c r="GU35" s="50">
        <f>GU36+GU37+GU38</f>
        <v>0.14203800000000003</v>
      </c>
      <c r="GV35" s="50">
        <v>0.30324899999999999</v>
      </c>
      <c r="GW35" s="50">
        <v>-0.30324899999999999</v>
      </c>
      <c r="GX35" s="50">
        <v>1.5061E-2</v>
      </c>
      <c r="GY35" s="50">
        <v>-6.0020000000000004E-3</v>
      </c>
      <c r="GZ35" s="50">
        <v>-8.6049999999999998E-3</v>
      </c>
      <c r="HA35" s="50">
        <v>0</v>
      </c>
      <c r="HB35" s="50">
        <v>-4.5399999999999998E-4</v>
      </c>
      <c r="HC35" s="50">
        <v>1.518E-3</v>
      </c>
      <c r="HD35" s="50"/>
      <c r="HE35" s="50">
        <v>3.1999999999999997E-4</v>
      </c>
      <c r="HF35" s="50">
        <v>1.5009999999999999E-3</v>
      </c>
      <c r="HG35" s="50">
        <v>-2.3830000000000001E-3</v>
      </c>
      <c r="HH35" s="50">
        <f t="shared" si="6"/>
        <v>9.5599999999999938E-4</v>
      </c>
      <c r="HI35" s="50">
        <v>8.3330000000000001E-3</v>
      </c>
      <c r="HJ35" s="50">
        <v>7.8791E-2</v>
      </c>
      <c r="HK35" s="50">
        <v>1.0187E-2</v>
      </c>
      <c r="HL35" s="50"/>
      <c r="HM35" s="50"/>
      <c r="HN35" s="50"/>
      <c r="HO35" s="50"/>
      <c r="HP35" s="50"/>
      <c r="HQ35" s="50"/>
      <c r="HR35" s="50"/>
      <c r="HS35" s="50"/>
      <c r="HT35" s="50"/>
      <c r="HU35" s="276">
        <f t="shared" si="16"/>
        <v>9.0589999999999993E-3</v>
      </c>
      <c r="HV35" s="276">
        <f t="shared" si="17"/>
        <v>9.7310999999999995E-2</v>
      </c>
      <c r="HW35" s="277">
        <f t="shared" si="18"/>
        <v>8.8251999999999997E-2</v>
      </c>
      <c r="HX35" s="277">
        <f t="shared" si="19"/>
        <v>974.19141185561307</v>
      </c>
      <c r="HY35" s="332"/>
    </row>
    <row r="36" spans="1:233" s="12" customFormat="1" ht="20.5" hidden="1">
      <c r="A36" s="314" t="s">
        <v>102</v>
      </c>
      <c r="B36" s="12" t="s">
        <v>103</v>
      </c>
      <c r="C36" s="51" t="s">
        <v>104</v>
      </c>
      <c r="D36" s="44" t="s">
        <v>46</v>
      </c>
      <c r="E36" s="44" t="s">
        <v>46</v>
      </c>
      <c r="F36" s="44" t="s">
        <v>46</v>
      </c>
      <c r="G36" s="44">
        <v>0.47607156476067009</v>
      </c>
      <c r="H36" s="42">
        <v>0.13670240920655055</v>
      </c>
      <c r="I36" s="42">
        <v>5.6849420322030733E-2</v>
      </c>
      <c r="J36" s="42">
        <v>-0.19355325240037763</v>
      </c>
      <c r="K36" s="42">
        <v>9.5346640030291516E-3</v>
      </c>
      <c r="L36" s="42">
        <v>-9.5332411312326754E-3</v>
      </c>
      <c r="M36" s="42">
        <v>2.0299209831522389E-14</v>
      </c>
      <c r="N36" s="42">
        <v>1.0852001411489127</v>
      </c>
      <c r="O36" s="42">
        <v>-1.0852001411488885</v>
      </c>
      <c r="P36" s="42">
        <v>0.42160830046492509</v>
      </c>
      <c r="Q36" s="42">
        <v>0.58827923574712604</v>
      </c>
      <c r="R36" s="42">
        <v>-0.77401238467621336</v>
      </c>
      <c r="S36" s="42">
        <v>-0.23587515153587751</v>
      </c>
      <c r="T36" s="44">
        <v>0</v>
      </c>
      <c r="U36" s="44"/>
      <c r="V36" s="44">
        <v>1.8019791013166069</v>
      </c>
      <c r="W36" s="44">
        <v>-1.1958305977551715</v>
      </c>
      <c r="X36" s="44">
        <v>1.3550685925279204</v>
      </c>
      <c r="Y36" s="44">
        <v>-1.1625906511630477</v>
      </c>
      <c r="Z36" s="44">
        <v>0.87394351768059542</v>
      </c>
      <c r="AA36" s="44">
        <v>-0.24071576143560608</v>
      </c>
      <c r="AB36" s="44">
        <v>6.5938725448362545E-2</v>
      </c>
      <c r="AC36" s="44">
        <v>0.2682910171256716</v>
      </c>
      <c r="AD36" s="44">
        <v>-0.2382513474595932</v>
      </c>
      <c r="AE36" s="44">
        <v>-0.10867894889614763</v>
      </c>
      <c r="AF36" s="44">
        <v>-0.37939311671538695</v>
      </c>
      <c r="AG36" s="44">
        <v>-1.0397607298762424</v>
      </c>
      <c r="AH36" s="44">
        <v>0</v>
      </c>
      <c r="AI36" s="44"/>
      <c r="AJ36" s="44">
        <v>1.1884920973699582</v>
      </c>
      <c r="AK36" s="44">
        <v>-0.32058541328756901</v>
      </c>
      <c r="AL36" s="44">
        <v>6.2625868378892835E-2</v>
      </c>
      <c r="AM36" s="44">
        <v>-7.8114239531944421E-2</v>
      </c>
      <c r="AN36" s="44">
        <v>-6.1316384084268531E-3</v>
      </c>
      <c r="AO36" s="44">
        <v>0.32365211353380341</v>
      </c>
      <c r="AP36" s="44">
        <v>-0.25981639262157363</v>
      </c>
      <c r="AQ36" s="44">
        <v>4.4350116435763309E-2</v>
      </c>
      <c r="AR36" s="44">
        <v>-1.1265115589723584</v>
      </c>
      <c r="AS36" s="44">
        <v>0.81908545662015475</v>
      </c>
      <c r="AT36" s="44">
        <v>-0.56544918480156992</v>
      </c>
      <c r="AU36" s="44">
        <v>-8.159784011952248E-2</v>
      </c>
      <c r="AV36" s="44" t="s">
        <v>46</v>
      </c>
      <c r="AW36" s="44">
        <v>0</v>
      </c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>
        <v>0.01</v>
      </c>
      <c r="BJ36" s="50">
        <f t="shared" si="1"/>
        <v>0.01</v>
      </c>
      <c r="BK36" s="44">
        <v>1.5200000000000001E-4</v>
      </c>
      <c r="BL36" s="44">
        <v>0.31185099999999999</v>
      </c>
      <c r="BM36" s="44">
        <v>0.42075335999995095</v>
      </c>
      <c r="BN36" s="44">
        <v>2.8566170000046492E-2</v>
      </c>
      <c r="BO36" s="44">
        <v>0.10472499000009894</v>
      </c>
      <c r="BP36" s="44">
        <v>-7.6104869999915364E-2</v>
      </c>
      <c r="BQ36" s="44">
        <v>0.87376472000005845</v>
      </c>
      <c r="BR36" s="44">
        <v>-0.12353226000028848</v>
      </c>
      <c r="BS36" s="44">
        <v>-0.11940354000008106</v>
      </c>
      <c r="BT36" s="44">
        <v>-0.30800772000014781</v>
      </c>
      <c r="BU36" s="44">
        <v>-0.37742619999986887</v>
      </c>
      <c r="BV36" s="44">
        <v>-0.32847875000011922</v>
      </c>
      <c r="BW36" s="44">
        <v>-0.40670740000033379</v>
      </c>
      <c r="BX36" s="50">
        <f t="shared" si="4"/>
        <v>-5.0000059975685573E-7</v>
      </c>
      <c r="BY36" s="50">
        <v>4.1130000000000003E-3</v>
      </c>
      <c r="BZ36" s="50">
        <v>0.47590287999999709</v>
      </c>
      <c r="CA36" s="50">
        <v>0.28382528999999168</v>
      </c>
      <c r="CB36" s="50">
        <v>-0.38446745999997856</v>
      </c>
      <c r="CC36" s="50">
        <v>-0.37526071000000832</v>
      </c>
      <c r="CD36" s="50">
        <v>0.30082810999986531</v>
      </c>
      <c r="CE36" s="73">
        <v>-0.23526662000001966</v>
      </c>
      <c r="CF36" s="50">
        <v>0.41804627000005545</v>
      </c>
      <c r="CG36" s="50">
        <v>0.19175591000043601</v>
      </c>
      <c r="CH36" s="50">
        <v>-0.46394564999906346</v>
      </c>
      <c r="CI36" s="50">
        <v>-9.8997409999623892E-2</v>
      </c>
      <c r="CJ36" s="50">
        <v>-0.11242060999999941</v>
      </c>
      <c r="CK36" s="50">
        <v>0</v>
      </c>
      <c r="CL36" s="50">
        <f t="shared" si="5"/>
        <v>1.6521645163081189E-12</v>
      </c>
      <c r="CM36" s="50">
        <v>1.4909999999999999E-3</v>
      </c>
      <c r="CN36" s="50">
        <v>1.7007443799999877</v>
      </c>
      <c r="CO36" s="50">
        <v>0.29295300000003727</v>
      </c>
      <c r="CP36" s="50">
        <v>-0.17340378000000864</v>
      </c>
      <c r="CQ36" s="50">
        <v>-0.24113573000013827</v>
      </c>
      <c r="CR36" s="50">
        <v>-0.10205209000009298</v>
      </c>
      <c r="CS36" s="50">
        <v>-7.113943000003696E-2</v>
      </c>
      <c r="CT36" s="50">
        <v>-1.2745670000053942E-2</v>
      </c>
      <c r="CU36" s="50">
        <v>0.38734155000031739</v>
      </c>
      <c r="CV36" s="50">
        <v>-0.3549711599999964</v>
      </c>
      <c r="CW36" s="50">
        <v>0.16977705000001192</v>
      </c>
      <c r="CX36" s="50">
        <v>0.32147049999999999</v>
      </c>
      <c r="CY36" s="50">
        <v>-1.9168386200000047</v>
      </c>
      <c r="CZ36" s="50">
        <f t="shared" si="9"/>
        <v>2.2648549702353193E-14</v>
      </c>
      <c r="DA36" s="50">
        <v>4.6317999999999998E-2</v>
      </c>
      <c r="DB36" s="50">
        <v>2.3192987500000148</v>
      </c>
      <c r="DC36" s="50">
        <v>8.2343369999930263E-2</v>
      </c>
      <c r="DD36" s="50">
        <v>-0.81109953000002355</v>
      </c>
      <c r="DE36" s="50">
        <v>-0.2591843900000006</v>
      </c>
      <c r="DF36" s="50">
        <v>0.86991986999998983</v>
      </c>
      <c r="DG36" s="50">
        <v>-1.4486584499999284</v>
      </c>
      <c r="DH36" s="50">
        <v>0.23407022000026703</v>
      </c>
      <c r="DI36" s="50">
        <v>-0.26955937999978663</v>
      </c>
      <c r="DJ36" s="50">
        <v>1.5637843600004018</v>
      </c>
      <c r="DK36" s="50">
        <v>-0.54948805999976391</v>
      </c>
      <c r="DL36" s="50">
        <v>-0.24596338999974729</v>
      </c>
      <c r="DM36" s="50">
        <v>-1.4915136700000018</v>
      </c>
      <c r="DN36" s="50">
        <f t="shared" si="20"/>
        <v>-6.0502999986489225E-3</v>
      </c>
      <c r="DO36" s="50">
        <v>0.54678800000000005</v>
      </c>
      <c r="DP36" s="44">
        <v>1.5120890699997396</v>
      </c>
      <c r="DQ36" s="50">
        <v>0.16002482999657094</v>
      </c>
      <c r="DR36" s="50">
        <v>-6.5414600001052021E-3</v>
      </c>
      <c r="DS36" s="50">
        <v>-0.58759996000013504</v>
      </c>
      <c r="DT36" s="50">
        <v>0.179956449999433</v>
      </c>
      <c r="DU36" s="50">
        <v>-3.2009280000180003E-2</v>
      </c>
      <c r="DV36" s="50">
        <v>-0.5818678199999332</v>
      </c>
      <c r="DW36" s="50">
        <v>0.26165668999989333</v>
      </c>
      <c r="DX36" s="50">
        <v>-0.2452582499988824</v>
      </c>
      <c r="DY36" s="50">
        <v>0.22514576999923586</v>
      </c>
      <c r="DZ36" s="50">
        <v>-0.88559164000141621</v>
      </c>
      <c r="EA36" s="50">
        <v>7.6613799968957902E-3</v>
      </c>
      <c r="EB36" s="50">
        <f t="shared" si="10"/>
        <v>7.6657799911164287E-3</v>
      </c>
      <c r="EC36" s="50">
        <v>0</v>
      </c>
      <c r="ED36" s="50">
        <v>2.2219464899955841</v>
      </c>
      <c r="EE36" s="50">
        <v>-0.15358325999998301</v>
      </c>
      <c r="EF36" s="50">
        <v>0.74088699999999996</v>
      </c>
      <c r="EG36" s="50">
        <v>-2.80925</v>
      </c>
      <c r="EH36" s="50">
        <v>2.3652000000000002</v>
      </c>
      <c r="EI36" s="50">
        <v>8.6362999999999995E-2</v>
      </c>
      <c r="EJ36" s="50">
        <v>-0.50565400000000005</v>
      </c>
      <c r="EK36" s="50">
        <v>0.36796400000000001</v>
      </c>
      <c r="EL36" s="44">
        <v>0.47255402000439167</v>
      </c>
      <c r="EM36" s="44">
        <v>-2.7864270000000002</v>
      </c>
      <c r="EN36" s="44">
        <v>2.5199980000000006</v>
      </c>
      <c r="EO36" s="44">
        <v>0.52770348999999839</v>
      </c>
      <c r="EP36" s="50">
        <f t="shared" si="11"/>
        <v>3.0477017399999911</v>
      </c>
      <c r="EQ36" s="50">
        <v>3.0183490000000002</v>
      </c>
      <c r="ER36" s="44">
        <v>0</v>
      </c>
      <c r="ES36" s="44">
        <v>9.3036000000029803E-2</v>
      </c>
      <c r="ET36" s="44">
        <v>3.220000000298023E-4</v>
      </c>
      <c r="EU36" s="44">
        <v>1.1641532182693481E-16</v>
      </c>
      <c r="EV36" s="44">
        <v>0</v>
      </c>
      <c r="EW36" s="44">
        <v>2.2705999999074266E-4</v>
      </c>
      <c r="EX36" s="44">
        <v>-3.5000088438391685E-7</v>
      </c>
      <c r="EY36" s="44">
        <v>0</v>
      </c>
      <c r="EZ36" s="44">
        <v>0</v>
      </c>
      <c r="FA36" s="44">
        <v>2.365100000143051E-2</v>
      </c>
      <c r="FB36" s="44">
        <v>-2.3650999999999998E-2</v>
      </c>
      <c r="FC36" s="44">
        <v>0.64760200000000001</v>
      </c>
      <c r="FD36" s="50">
        <f t="shared" si="12"/>
        <v>0.74118671000059666</v>
      </c>
      <c r="FE36" s="50">
        <v>0.39874999999999999</v>
      </c>
      <c r="FF36" s="50"/>
      <c r="FG36" s="50">
        <v>0.11044</v>
      </c>
      <c r="FH36" s="50">
        <v>0.32180600000003656</v>
      </c>
      <c r="FI36" s="50">
        <v>-0.41445100000000518</v>
      </c>
      <c r="FJ36" s="50">
        <v>-9.9989999999914314E-3</v>
      </c>
      <c r="FK36" s="50">
        <v>-6.2640000000000005E-3</v>
      </c>
      <c r="FL36" s="50">
        <v>0.15383599999999875</v>
      </c>
      <c r="FM36" s="50">
        <v>6.1929999999996155E-3</v>
      </c>
      <c r="FN36" s="50">
        <v>-0.16156099999999302</v>
      </c>
      <c r="FO36" s="50">
        <v>2.8500000000063475E-3</v>
      </c>
      <c r="FP36" s="50">
        <v>-2.8499999999974102E-3</v>
      </c>
      <c r="FQ36" s="50">
        <v>4.9699999999630595E-4</v>
      </c>
      <c r="FR36" s="50">
        <f t="shared" si="13"/>
        <v>4.9700000005054035E-4</v>
      </c>
      <c r="FS36" s="50"/>
      <c r="FT36" s="50"/>
      <c r="FU36" s="50"/>
      <c r="FV36" s="50"/>
      <c r="FW36" s="50"/>
      <c r="FX36" s="50"/>
      <c r="FY36" s="50"/>
      <c r="FZ36" s="50"/>
      <c r="GA36" s="50"/>
      <c r="GB36" s="50">
        <v>0.228854</v>
      </c>
      <c r="GC36" s="50">
        <v>-0.228854</v>
      </c>
      <c r="GD36" s="50">
        <v>1.6080000000000001E-3</v>
      </c>
      <c r="GE36" s="50">
        <v>0.168574</v>
      </c>
      <c r="GF36" s="50">
        <f t="shared" si="14"/>
        <v>0.170182</v>
      </c>
      <c r="GG36" s="50">
        <v>0.13245399999999999</v>
      </c>
      <c r="GH36" s="50"/>
      <c r="GI36" s="50"/>
      <c r="GJ36" s="50">
        <v>1.0939999999999999E-3</v>
      </c>
      <c r="GK36" s="50">
        <v>-1.0939999999999999E-3</v>
      </c>
      <c r="GL36" s="50"/>
      <c r="GM36" s="50">
        <v>5.1599999999999997E-4</v>
      </c>
      <c r="GN36" s="50">
        <v>-5.1599999999999997E-4</v>
      </c>
      <c r="GO36" s="50"/>
      <c r="GP36" s="50"/>
      <c r="GQ36" s="50"/>
      <c r="GR36" s="50"/>
      <c r="GS36" s="50"/>
      <c r="GT36" s="50">
        <f t="shared" si="15"/>
        <v>0</v>
      </c>
      <c r="GU36" s="50">
        <v>0.13278400000000001</v>
      </c>
      <c r="GV36" s="50">
        <v>0.30148599999999998</v>
      </c>
      <c r="GW36" s="50">
        <v>-1.763E-3</v>
      </c>
      <c r="GX36" s="50"/>
      <c r="GY36" s="50"/>
      <c r="GZ36" s="50"/>
      <c r="HA36" s="50"/>
      <c r="HB36" s="50"/>
      <c r="HC36" s="50"/>
      <c r="HD36" s="50"/>
      <c r="HE36" s="50"/>
      <c r="HF36" s="50"/>
      <c r="HG36" s="50"/>
      <c r="HH36" s="50">
        <f t="shared" si="6"/>
        <v>0.29972299999999996</v>
      </c>
      <c r="HI36" s="50"/>
      <c r="HJ36" s="50">
        <v>8.7123999999999993E-2</v>
      </c>
      <c r="HK36" s="50">
        <v>1.0187E-2</v>
      </c>
      <c r="HL36" s="50"/>
      <c r="HM36" s="50"/>
      <c r="HN36" s="50"/>
      <c r="HO36" s="50"/>
      <c r="HP36" s="50"/>
      <c r="HQ36" s="50"/>
      <c r="HR36" s="50"/>
      <c r="HS36" s="50"/>
      <c r="HT36" s="50"/>
      <c r="HU36" s="276">
        <f t="shared" si="16"/>
        <v>0.29972300000000002</v>
      </c>
      <c r="HV36" s="276">
        <f t="shared" si="17"/>
        <v>9.7310999999999995E-2</v>
      </c>
      <c r="HW36" s="277">
        <f t="shared" si="18"/>
        <v>-0.20241200000000004</v>
      </c>
      <c r="HX36" s="277">
        <f t="shared" si="19"/>
        <v>-67.533022157125089</v>
      </c>
    </row>
    <row r="37" spans="1:233" s="12" customFormat="1" ht="20.5" hidden="1">
      <c r="A37" s="314" t="s">
        <v>105</v>
      </c>
      <c r="B37" s="12" t="s">
        <v>106</v>
      </c>
      <c r="C37" s="51" t="s">
        <v>107</v>
      </c>
      <c r="D37" s="44" t="s">
        <v>46</v>
      </c>
      <c r="E37" s="44" t="s">
        <v>46</v>
      </c>
      <c r="F37" s="44" t="s">
        <v>46</v>
      </c>
      <c r="G37" s="44">
        <v>1.9094939698698233E-2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>
        <v>0</v>
      </c>
      <c r="U37" s="42">
        <v>9.9601026734126208E-5</v>
      </c>
      <c r="V37" s="44"/>
      <c r="W37" s="44">
        <v>1.9069999999890569E-5</v>
      </c>
      <c r="X37" s="44">
        <v>-1.9069999999892388E-5</v>
      </c>
      <c r="Y37" s="44"/>
      <c r="Z37" s="44"/>
      <c r="AA37" s="44"/>
      <c r="AB37" s="44"/>
      <c r="AC37" s="44"/>
      <c r="AD37" s="44"/>
      <c r="AE37" s="44"/>
      <c r="AF37" s="44"/>
      <c r="AG37" s="44"/>
      <c r="AH37" s="44">
        <v>0</v>
      </c>
      <c r="AI37" s="44"/>
      <c r="AJ37" s="44">
        <v>0.12022128502398965</v>
      </c>
      <c r="AK37" s="44">
        <v>-8.4906875883460162E-3</v>
      </c>
      <c r="AL37" s="44">
        <v>-0.1117305974356437</v>
      </c>
      <c r="AM37" s="44"/>
      <c r="AN37" s="44"/>
      <c r="AO37" s="44"/>
      <c r="AP37" s="44"/>
      <c r="AQ37" s="44">
        <v>2.7085229572973678E-3</v>
      </c>
      <c r="AR37" s="44">
        <v>-6.5924074251159275E-3</v>
      </c>
      <c r="AS37" s="44">
        <v>2.1646810128457143E-2</v>
      </c>
      <c r="AT37" s="44">
        <v>-4.1875844826135943E-3</v>
      </c>
      <c r="AU37" s="44">
        <v>-4.3151598064881955E-3</v>
      </c>
      <c r="AV37" s="44" t="s">
        <v>46</v>
      </c>
      <c r="AW37" s="44">
        <v>0</v>
      </c>
      <c r="AX37" s="44">
        <v>4.0377969999999999E-2</v>
      </c>
      <c r="AY37" s="44">
        <v>-4.0377990000000002E-2</v>
      </c>
      <c r="AZ37" s="44"/>
      <c r="BA37" s="44">
        <v>3.1797249999999999E-2</v>
      </c>
      <c r="BB37" s="44">
        <v>7.5527250000000004E-2</v>
      </c>
      <c r="BC37" s="44">
        <v>-5.4151100000000034E-3</v>
      </c>
      <c r="BD37" s="44">
        <v>8.4432330000000014E-2</v>
      </c>
      <c r="BE37" s="44">
        <v>9.5794290000000004E-2</v>
      </c>
      <c r="BF37" s="44">
        <v>0.2079099999999999</v>
      </c>
      <c r="BG37" s="44">
        <v>9.3817000000000025E-2</v>
      </c>
      <c r="BH37" s="44">
        <v>8.347199999999988E-2</v>
      </c>
      <c r="BI37" s="44">
        <v>0.15874499999999989</v>
      </c>
      <c r="BJ37" s="50">
        <f t="shared" si="1"/>
        <v>0.82607998999999976</v>
      </c>
      <c r="BK37" s="44"/>
      <c r="BL37" s="44"/>
      <c r="BM37" s="44">
        <v>3.4264999999999969E-2</v>
      </c>
      <c r="BN37" s="44">
        <v>-1.0038E-2</v>
      </c>
      <c r="BO37" s="44">
        <v>0.104</v>
      </c>
      <c r="BP37" s="44">
        <v>-2.0539000000000002E-2</v>
      </c>
      <c r="BQ37" s="44">
        <v>4.0940999999999998E-2</v>
      </c>
      <c r="BR37" s="44">
        <v>7.8869999999999996E-2</v>
      </c>
      <c r="BS37" s="44">
        <v>-0.106904</v>
      </c>
      <c r="BT37" s="44">
        <v>0.26680599999999999</v>
      </c>
      <c r="BU37" s="44">
        <v>1.9673E-2</v>
      </c>
      <c r="BV37" s="44">
        <v>-0.106407</v>
      </c>
      <c r="BW37" s="44">
        <v>0.37701299999999999</v>
      </c>
      <c r="BX37" s="50">
        <f t="shared" si="4"/>
        <v>0.67768000000000006</v>
      </c>
      <c r="BY37" s="50">
        <v>0</v>
      </c>
      <c r="BZ37" s="50">
        <v>0</v>
      </c>
      <c r="CA37" s="50">
        <v>0</v>
      </c>
      <c r="CB37" s="50">
        <v>0</v>
      </c>
      <c r="CC37" s="50">
        <v>0</v>
      </c>
      <c r="CD37" s="50">
        <v>0</v>
      </c>
      <c r="CE37" s="73">
        <v>0</v>
      </c>
      <c r="CF37" s="50">
        <v>0</v>
      </c>
      <c r="CG37" s="50">
        <v>0</v>
      </c>
      <c r="CH37" s="50">
        <v>0</v>
      </c>
      <c r="CI37" s="50">
        <v>0</v>
      </c>
      <c r="CJ37" s="50">
        <v>0</v>
      </c>
      <c r="CK37" s="50">
        <v>0</v>
      </c>
      <c r="CL37" s="50">
        <f t="shared" si="5"/>
        <v>0</v>
      </c>
      <c r="CM37" s="50"/>
      <c r="CN37" s="50">
        <v>7.2759576141834256E-18</v>
      </c>
      <c r="CO37" s="50">
        <v>0</v>
      </c>
      <c r="CP37" s="50">
        <v>0</v>
      </c>
      <c r="CQ37" s="50">
        <v>0</v>
      </c>
      <c r="CR37" s="50">
        <v>0</v>
      </c>
      <c r="CS37" s="50">
        <v>0</v>
      </c>
      <c r="CT37" s="50">
        <v>0</v>
      </c>
      <c r="CU37" s="50">
        <v>0</v>
      </c>
      <c r="CV37" s="50">
        <v>0</v>
      </c>
      <c r="CW37" s="50">
        <v>0</v>
      </c>
      <c r="CX37" s="50">
        <v>0</v>
      </c>
      <c r="CY37" s="50">
        <v>0</v>
      </c>
      <c r="CZ37" s="50">
        <f t="shared" si="9"/>
        <v>7.2759576141834256E-18</v>
      </c>
      <c r="DA37" s="50"/>
      <c r="DB37" s="50">
        <v>1.4551915228366851E-17</v>
      </c>
      <c r="DC37" s="50">
        <v>0</v>
      </c>
      <c r="DD37" s="50">
        <v>-2.9103830456733702E-17</v>
      </c>
      <c r="DE37" s="50">
        <v>0</v>
      </c>
      <c r="DF37" s="50">
        <v>0</v>
      </c>
      <c r="DG37" s="50">
        <v>0</v>
      </c>
      <c r="DH37" s="50">
        <v>0</v>
      </c>
      <c r="DI37" s="50">
        <v>0</v>
      </c>
      <c r="DJ37" s="50">
        <v>0</v>
      </c>
      <c r="DK37" s="50">
        <v>0</v>
      </c>
      <c r="DL37" s="50">
        <v>0</v>
      </c>
      <c r="DM37" s="50">
        <v>1.21E-2</v>
      </c>
      <c r="DN37" s="50">
        <f t="shared" si="20"/>
        <v>1.2099999999999986E-2</v>
      </c>
      <c r="DO37" s="50"/>
      <c r="DP37" s="44">
        <v>0</v>
      </c>
      <c r="DQ37" s="50">
        <v>9.5210000000000003E-2</v>
      </c>
      <c r="DR37" s="50">
        <v>-4.1861000000000002E-2</v>
      </c>
      <c r="DS37" s="50">
        <v>-5.3349000000000001E-2</v>
      </c>
      <c r="DT37" s="50">
        <v>0</v>
      </c>
      <c r="DU37" s="50">
        <v>0</v>
      </c>
      <c r="DV37" s="50">
        <v>0</v>
      </c>
      <c r="DW37" s="50">
        <v>0</v>
      </c>
      <c r="DX37" s="50">
        <v>0</v>
      </c>
      <c r="DY37" s="50">
        <v>0</v>
      </c>
      <c r="DZ37" s="50">
        <v>9.5650000000000006E-3</v>
      </c>
      <c r="EA37" s="50">
        <v>-9.5650000000000006E-3</v>
      </c>
      <c r="EB37" s="50">
        <f t="shared" si="10"/>
        <v>0</v>
      </c>
      <c r="EC37" s="50">
        <v>0</v>
      </c>
      <c r="ED37" s="50">
        <v>0</v>
      </c>
      <c r="EE37" s="50">
        <v>0</v>
      </c>
      <c r="EF37" s="50">
        <v>0</v>
      </c>
      <c r="EG37" s="50">
        <v>0</v>
      </c>
      <c r="EH37" s="50">
        <v>0</v>
      </c>
      <c r="EI37" s="50">
        <v>0</v>
      </c>
      <c r="EJ37" s="50">
        <v>0</v>
      </c>
      <c r="EK37" s="50">
        <v>0</v>
      </c>
      <c r="EL37" s="44">
        <v>0</v>
      </c>
      <c r="EM37" s="44">
        <v>0</v>
      </c>
      <c r="EN37" s="44">
        <v>0</v>
      </c>
      <c r="EO37" s="44">
        <v>-2.1373125491663812E-17</v>
      </c>
      <c r="EP37" s="50">
        <f t="shared" si="11"/>
        <v>-2.1373125491663812E-17</v>
      </c>
      <c r="EQ37" s="50">
        <v>0</v>
      </c>
      <c r="ER37" s="44">
        <v>1.4551915228366851E-17</v>
      </c>
      <c r="ES37" s="44"/>
      <c r="ET37" s="44">
        <v>-9.0797000000000003E-2</v>
      </c>
      <c r="EU37" s="44">
        <v>7.5248999999999996E-2</v>
      </c>
      <c r="EV37" s="44">
        <v>-2.0806999999999999E-2</v>
      </c>
      <c r="EW37" s="44">
        <v>-5.7230059999990736E-2</v>
      </c>
      <c r="EX37" s="44">
        <v>1.4954320000000001</v>
      </c>
      <c r="EY37" s="44">
        <v>-1.4954320000000003</v>
      </c>
      <c r="EZ37" s="44">
        <v>0</v>
      </c>
      <c r="FA37" s="44">
        <v>0</v>
      </c>
      <c r="FB37" s="44">
        <v>0</v>
      </c>
      <c r="FC37" s="44">
        <v>4.3350000000000003E-3</v>
      </c>
      <c r="FD37" s="50">
        <f t="shared" si="12"/>
        <v>-8.9250059999990999E-2</v>
      </c>
      <c r="FE37" s="50">
        <v>0</v>
      </c>
      <c r="FF37" s="50">
        <v>2.6068580000000001E-2</v>
      </c>
      <c r="FG37" s="50">
        <v>4.6430000000000004E-3</v>
      </c>
      <c r="FH37" s="50">
        <v>-3.0712E-2</v>
      </c>
      <c r="FI37" s="50">
        <v>7.9422999999999994E-2</v>
      </c>
      <c r="FJ37" s="50">
        <v>2.0233000000000001E-2</v>
      </c>
      <c r="FK37" s="50">
        <v>4.3660999999999998E-2</v>
      </c>
      <c r="FL37" s="50">
        <v>2.8944999999999999E-2</v>
      </c>
      <c r="FM37" s="50">
        <v>3.1877999999999997E-2</v>
      </c>
      <c r="FN37" s="50">
        <v>1.4572999999999999E-2</v>
      </c>
      <c r="FO37" s="50">
        <v>-0.12126199999999999</v>
      </c>
      <c r="FP37" s="50">
        <v>0.16663500000000001</v>
      </c>
      <c r="FQ37" s="50">
        <v>-0.26408599999999999</v>
      </c>
      <c r="FR37" s="50">
        <f t="shared" si="13"/>
        <v>-4.2000000000097515E-7</v>
      </c>
      <c r="FS37" s="50">
        <v>0</v>
      </c>
      <c r="FT37" s="50"/>
      <c r="FU37" s="50">
        <v>3.1004E-2</v>
      </c>
      <c r="FV37" s="50">
        <v>-3.1004E-2</v>
      </c>
      <c r="FW37" s="50">
        <v>2.2985999999999999E-2</v>
      </c>
      <c r="FX37" s="50">
        <v>-2.2985999999999999E-2</v>
      </c>
      <c r="FY37" s="50">
        <v>3.4200000000000002E-4</v>
      </c>
      <c r="FZ37" s="50">
        <v>5.7167000000000003E-2</v>
      </c>
      <c r="GA37" s="50">
        <v>-5.4926000000000003E-2</v>
      </c>
      <c r="GB37" s="50">
        <v>-2.5829999999999998E-3</v>
      </c>
      <c r="GC37" s="50">
        <v>4.0977E-2</v>
      </c>
      <c r="GD37" s="50">
        <v>0.32825700000000002</v>
      </c>
      <c r="GE37" s="50">
        <v>-0.31323899999999999</v>
      </c>
      <c r="GF37" s="50">
        <f t="shared" si="14"/>
        <v>5.5995000000000017E-2</v>
      </c>
      <c r="GG37" s="50"/>
      <c r="GH37" s="50"/>
      <c r="GI37" s="50"/>
      <c r="GJ37" s="50"/>
      <c r="GK37" s="50"/>
      <c r="GL37" s="50"/>
      <c r="GM37" s="50"/>
      <c r="GN37" s="50"/>
      <c r="GO37" s="50"/>
      <c r="GP37" s="50">
        <v>4.2236000000000003E-2</v>
      </c>
      <c r="GQ37" s="50">
        <v>-4.2236000000000003E-2</v>
      </c>
      <c r="GR37" s="50">
        <v>4.7483000001981156E-2</v>
      </c>
      <c r="GS37" s="50">
        <v>0.27830100000000002</v>
      </c>
      <c r="GT37" s="50">
        <f t="shared" si="15"/>
        <v>0.32578400000198116</v>
      </c>
      <c r="GU37" s="50">
        <v>0</v>
      </c>
      <c r="GV37" s="50">
        <v>1.763E-3</v>
      </c>
      <c r="GW37" s="50">
        <v>-0.30148599999999998</v>
      </c>
      <c r="GX37" s="50">
        <v>1.5061E-2</v>
      </c>
      <c r="GY37" s="50">
        <v>-6.0020000000000004E-3</v>
      </c>
      <c r="GZ37" s="50">
        <v>-8.6049999999999998E-3</v>
      </c>
      <c r="HA37" s="50">
        <v>0</v>
      </c>
      <c r="HB37" s="50">
        <v>-4.5399999999999998E-4</v>
      </c>
      <c r="HC37" s="50">
        <v>1.518E-3</v>
      </c>
      <c r="HD37" s="50"/>
      <c r="HE37" s="50">
        <v>3.1999999999999997E-4</v>
      </c>
      <c r="HF37" s="50">
        <v>1.5009999999999999E-3</v>
      </c>
      <c r="HG37" s="50">
        <v>-2.3830000000000001E-3</v>
      </c>
      <c r="HH37" s="50">
        <f t="shared" si="6"/>
        <v>-0.298767</v>
      </c>
      <c r="HI37" s="50">
        <v>8.3330000000000001E-3</v>
      </c>
      <c r="HJ37" s="50">
        <v>-8.3330000000000001E-3</v>
      </c>
      <c r="HK37" s="50"/>
      <c r="HL37" s="50"/>
      <c r="HM37" s="50"/>
      <c r="HN37" s="50"/>
      <c r="HO37" s="50"/>
      <c r="HP37" s="50"/>
      <c r="HQ37" s="50"/>
      <c r="HR37" s="50"/>
      <c r="HS37" s="50"/>
      <c r="HT37" s="50"/>
      <c r="HU37" s="276">
        <f t="shared" si="16"/>
        <v>-0.29066399999999998</v>
      </c>
      <c r="HV37" s="276">
        <f t="shared" si="17"/>
        <v>0</v>
      </c>
      <c r="HW37" s="277">
        <f t="shared" si="18"/>
        <v>0.29066399999999998</v>
      </c>
      <c r="HX37" s="277">
        <f t="shared" si="19"/>
        <v>-100</v>
      </c>
    </row>
    <row r="38" spans="1:233" s="12" customFormat="1" ht="20.25" hidden="1" customHeight="1">
      <c r="A38" s="314" t="s">
        <v>108</v>
      </c>
      <c r="B38" s="12" t="s">
        <v>109</v>
      </c>
      <c r="C38" s="51" t="s">
        <v>110</v>
      </c>
      <c r="D38" s="44" t="s">
        <v>46</v>
      </c>
      <c r="E38" s="44" t="s">
        <v>46</v>
      </c>
      <c r="F38" s="44" t="s">
        <v>46</v>
      </c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>
        <v>0</v>
      </c>
      <c r="U38" s="44"/>
      <c r="V38" s="44">
        <v>1.4382705700000002</v>
      </c>
      <c r="W38" s="44">
        <v>-1.4382888900000002</v>
      </c>
      <c r="X38" s="44">
        <v>1.8319999999785068E-5</v>
      </c>
      <c r="Y38" s="44"/>
      <c r="Z38" s="44"/>
      <c r="AA38" s="44"/>
      <c r="AB38" s="44"/>
      <c r="AC38" s="44"/>
      <c r="AD38" s="44"/>
      <c r="AE38" s="44"/>
      <c r="AF38" s="44"/>
      <c r="AG38" s="44"/>
      <c r="AH38" s="44">
        <v>0</v>
      </c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 t="s">
        <v>46</v>
      </c>
      <c r="AW38" s="44">
        <v>0</v>
      </c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50"/>
      <c r="BK38" s="44">
        <v>4.1E-5</v>
      </c>
      <c r="BL38" s="44"/>
      <c r="BM38" s="44">
        <v>0</v>
      </c>
      <c r="BN38" s="44">
        <v>0</v>
      </c>
      <c r="BO38" s="44">
        <v>0</v>
      </c>
      <c r="BP38" s="44">
        <v>0</v>
      </c>
      <c r="BQ38" s="44">
        <v>0</v>
      </c>
      <c r="BR38" s="44">
        <v>0</v>
      </c>
      <c r="BS38" s="44">
        <v>0</v>
      </c>
      <c r="BT38" s="44">
        <v>0</v>
      </c>
      <c r="BU38" s="44">
        <v>0</v>
      </c>
      <c r="BV38" s="44">
        <v>0</v>
      </c>
      <c r="BW38" s="44">
        <v>0</v>
      </c>
      <c r="BX38" s="50">
        <f t="shared" si="4"/>
        <v>0</v>
      </c>
      <c r="BY38" s="50"/>
      <c r="BZ38" s="50">
        <v>0</v>
      </c>
      <c r="CA38" s="50">
        <v>0</v>
      </c>
      <c r="CB38" s="50">
        <v>0</v>
      </c>
      <c r="CC38" s="50">
        <v>0</v>
      </c>
      <c r="CD38" s="50">
        <v>0</v>
      </c>
      <c r="CE38" s="73">
        <v>0</v>
      </c>
      <c r="CF38" s="50">
        <v>0</v>
      </c>
      <c r="CG38" s="50">
        <v>0</v>
      </c>
      <c r="CH38" s="50">
        <v>0</v>
      </c>
      <c r="CI38" s="50">
        <v>0</v>
      </c>
      <c r="CJ38" s="50">
        <v>0</v>
      </c>
      <c r="CK38" s="50">
        <v>-1.1641532182693481E-16</v>
      </c>
      <c r="CL38" s="50">
        <f t="shared" si="5"/>
        <v>-1.1641532182693481E-16</v>
      </c>
      <c r="CM38" s="50"/>
      <c r="CN38" s="50">
        <v>0</v>
      </c>
      <c r="CO38" s="50">
        <v>0</v>
      </c>
      <c r="CP38" s="50">
        <v>0</v>
      </c>
      <c r="CQ38" s="50">
        <v>0</v>
      </c>
      <c r="CR38" s="50">
        <v>0</v>
      </c>
      <c r="CS38" s="50">
        <v>0</v>
      </c>
      <c r="CT38" s="50">
        <v>0</v>
      </c>
      <c r="CU38" s="50">
        <v>0</v>
      </c>
      <c r="CV38" s="50">
        <v>0</v>
      </c>
      <c r="CW38" s="50">
        <v>0</v>
      </c>
      <c r="CX38" s="50">
        <v>0</v>
      </c>
      <c r="CY38" s="50">
        <v>0</v>
      </c>
      <c r="CZ38" s="50">
        <f t="shared" si="9"/>
        <v>0</v>
      </c>
      <c r="DA38" s="50"/>
      <c r="DB38" s="50">
        <v>0</v>
      </c>
      <c r="DC38" s="50">
        <v>0</v>
      </c>
      <c r="DD38" s="50">
        <v>-5.8207660913467405E-17</v>
      </c>
      <c r="DE38" s="50">
        <v>0</v>
      </c>
      <c r="DF38" s="50">
        <v>0</v>
      </c>
      <c r="DG38" s="50">
        <v>0</v>
      </c>
      <c r="DH38" s="50">
        <v>0</v>
      </c>
      <c r="DI38" s="50">
        <v>0</v>
      </c>
      <c r="DJ38" s="50">
        <v>0</v>
      </c>
      <c r="DK38" s="50">
        <v>0</v>
      </c>
      <c r="DL38" s="50">
        <v>0</v>
      </c>
      <c r="DM38" s="50">
        <v>0</v>
      </c>
      <c r="DN38" s="50">
        <f t="shared" si="20"/>
        <v>-5.8207660913467405E-17</v>
      </c>
      <c r="DO38" s="50"/>
      <c r="DP38" s="44">
        <v>0</v>
      </c>
      <c r="DQ38" s="50">
        <v>0</v>
      </c>
      <c r="DR38" s="50">
        <v>0</v>
      </c>
      <c r="DS38" s="50">
        <v>0</v>
      </c>
      <c r="DT38" s="50">
        <v>0</v>
      </c>
      <c r="DU38" s="50">
        <v>0</v>
      </c>
      <c r="DV38" s="50">
        <v>0</v>
      </c>
      <c r="DW38" s="50">
        <v>0</v>
      </c>
      <c r="DX38" s="50">
        <v>0</v>
      </c>
      <c r="DY38" s="50">
        <v>0</v>
      </c>
      <c r="DZ38" s="50">
        <v>0</v>
      </c>
      <c r="EA38" s="50">
        <v>-3.4429999999999999E-3</v>
      </c>
      <c r="EB38" s="50">
        <f t="shared" si="10"/>
        <v>-3.4429999999999999E-3</v>
      </c>
      <c r="EC38" s="50">
        <v>0</v>
      </c>
      <c r="ED38" s="50">
        <v>0</v>
      </c>
      <c r="EF38" s="50">
        <v>-5.8207660913467405E-17</v>
      </c>
      <c r="EG38" s="50">
        <v>0</v>
      </c>
      <c r="EH38" s="50">
        <v>0</v>
      </c>
      <c r="EI38" s="50">
        <v>5.8207660913467405E-17</v>
      </c>
      <c r="EJ38" s="50">
        <v>0</v>
      </c>
      <c r="EK38" s="50">
        <v>0</v>
      </c>
      <c r="EL38" s="44">
        <v>0</v>
      </c>
      <c r="EM38" s="44">
        <v>1.9762790000000037E-2</v>
      </c>
      <c r="EN38" s="44">
        <v>0</v>
      </c>
      <c r="EO38" s="44">
        <v>0</v>
      </c>
      <c r="EP38" s="50">
        <f t="shared" si="11"/>
        <v>1.9762790000000037E-2</v>
      </c>
      <c r="EQ38" s="50">
        <v>0</v>
      </c>
      <c r="ER38" s="44">
        <v>0</v>
      </c>
      <c r="ES38" s="44"/>
      <c r="ET38" s="42">
        <v>3.220000000298023E-4</v>
      </c>
      <c r="EU38" s="42">
        <v>0</v>
      </c>
      <c r="EV38" s="183"/>
      <c r="EW38" s="183"/>
      <c r="EX38" s="183"/>
      <c r="EY38" s="183"/>
      <c r="EZ38" s="191"/>
      <c r="FA38" s="183"/>
      <c r="FB38" s="44"/>
      <c r="FC38" s="183"/>
      <c r="FD38" s="50">
        <f t="shared" si="12"/>
        <v>3.220000000298023E-4</v>
      </c>
      <c r="FE38" s="138"/>
      <c r="FF38" s="196"/>
      <c r="FG38" s="196"/>
      <c r="FH38" s="196"/>
      <c r="FI38" s="196"/>
      <c r="FJ38" s="196"/>
      <c r="FK38" s="196">
        <v>72.940314000000001</v>
      </c>
      <c r="FL38" s="207"/>
      <c r="FM38" s="196"/>
      <c r="FN38" s="196"/>
      <c r="FO38" s="196"/>
      <c r="FP38" s="196"/>
      <c r="FQ38" s="196"/>
      <c r="FR38" s="50">
        <f t="shared" si="13"/>
        <v>72.940314000000001</v>
      </c>
      <c r="FS38" s="138"/>
      <c r="FT38" s="196"/>
      <c r="FU38" s="196"/>
      <c r="FV38" s="196"/>
      <c r="FW38" s="196"/>
      <c r="FX38" s="196"/>
      <c r="FY38" s="196"/>
      <c r="FZ38" s="196"/>
      <c r="GA38" s="196"/>
      <c r="GB38" s="196"/>
      <c r="GC38" s="196"/>
      <c r="GD38" s="196"/>
      <c r="GE38" s="196"/>
      <c r="GF38" s="50">
        <f t="shared" si="14"/>
        <v>0</v>
      </c>
      <c r="GG38" s="138"/>
      <c r="GH38" s="196"/>
      <c r="GI38" s="196"/>
      <c r="GJ38" s="196"/>
      <c r="GK38" s="196"/>
      <c r="GL38" s="196"/>
      <c r="GM38" s="196"/>
      <c r="GN38" s="196"/>
      <c r="GO38" s="196"/>
      <c r="GP38" s="196"/>
      <c r="GQ38" s="196"/>
      <c r="GR38" s="196"/>
      <c r="GS38" s="196"/>
      <c r="GT38" s="50">
        <f t="shared" si="15"/>
        <v>0</v>
      </c>
      <c r="GU38" s="138">
        <v>9.2540000000000001E-3</v>
      </c>
      <c r="GV38" s="196"/>
      <c r="GW38" s="196"/>
      <c r="GX38" s="196"/>
      <c r="GY38" s="196"/>
      <c r="GZ38" s="196"/>
      <c r="HA38" s="196"/>
      <c r="HB38" s="196"/>
      <c r="HC38" s="196"/>
      <c r="HD38" s="196"/>
      <c r="HE38" s="196"/>
      <c r="HF38" s="196">
        <v>1.5009999999999999E-3</v>
      </c>
      <c r="HG38" s="196"/>
      <c r="HH38" s="138">
        <f t="shared" si="6"/>
        <v>1.5009999999999999E-3</v>
      </c>
      <c r="HI38" s="196"/>
      <c r="HJ38" s="196"/>
      <c r="HK38" s="196"/>
      <c r="HL38" s="196"/>
      <c r="HM38" s="196"/>
      <c r="HN38" s="196"/>
      <c r="HO38" s="196"/>
      <c r="HP38" s="196"/>
      <c r="HQ38" s="196"/>
      <c r="HR38" s="196"/>
      <c r="HS38" s="196"/>
      <c r="HT38" s="196"/>
      <c r="HU38" s="276">
        <f t="shared" si="16"/>
        <v>0</v>
      </c>
      <c r="HV38" s="276">
        <f t="shared" si="17"/>
        <v>0</v>
      </c>
      <c r="HW38" s="277">
        <f t="shared" si="18"/>
        <v>0</v>
      </c>
      <c r="HX38" s="277" t="e">
        <f t="shared" si="19"/>
        <v>#DIV/0!</v>
      </c>
    </row>
    <row r="39" spans="1:233" s="12" customFormat="1" ht="25.5">
      <c r="A39" s="42" t="s">
        <v>111</v>
      </c>
      <c r="B39" s="12" t="s">
        <v>112</v>
      </c>
      <c r="C39" s="42" t="s">
        <v>113</v>
      </c>
      <c r="D39" s="42">
        <v>656.68237374858427</v>
      </c>
      <c r="E39" s="42">
        <v>612.90252901235624</v>
      </c>
      <c r="F39" s="42">
        <v>751.38683331341326</v>
      </c>
      <c r="G39" s="42">
        <v>853.77109265172078</v>
      </c>
      <c r="H39" s="42">
        <v>38.59860501647686</v>
      </c>
      <c r="I39" s="42">
        <v>77.481575232924115</v>
      </c>
      <c r="J39" s="42">
        <v>38.267465751475513</v>
      </c>
      <c r="K39" s="42">
        <v>33.9148240476719</v>
      </c>
      <c r="L39" s="42">
        <v>87.865437589996631</v>
      </c>
      <c r="M39" s="42">
        <v>39.369189702961286</v>
      </c>
      <c r="N39" s="42">
        <v>11.179367220448375</v>
      </c>
      <c r="O39" s="42">
        <v>343.87050301364246</v>
      </c>
      <c r="P39" s="42">
        <v>69.739931759067957</v>
      </c>
      <c r="Q39" s="42">
        <v>67.869071604601018</v>
      </c>
      <c r="R39" s="42">
        <v>67.122066749762382</v>
      </c>
      <c r="S39" s="42">
        <v>68.485203556041228</v>
      </c>
      <c r="T39" s="42">
        <v>943.76324124506971</v>
      </c>
      <c r="U39" s="42">
        <v>944.17081576086662</v>
      </c>
      <c r="V39" s="42">
        <v>51.23331825089214</v>
      </c>
      <c r="W39" s="42">
        <v>50.878197904394398</v>
      </c>
      <c r="X39" s="42">
        <v>60.999655665021827</v>
      </c>
      <c r="Y39" s="42">
        <v>62.74544111871873</v>
      </c>
      <c r="Z39" s="42">
        <v>76.539469041155144</v>
      </c>
      <c r="AA39" s="42">
        <v>83.254459280254537</v>
      </c>
      <c r="AB39" s="42">
        <v>138.80011212229869</v>
      </c>
      <c r="AC39" s="42">
        <v>271.99610275411072</v>
      </c>
      <c r="AD39" s="42">
        <v>102.48409087028531</v>
      </c>
      <c r="AE39" s="42">
        <v>69.076866380954016</v>
      </c>
      <c r="AF39" s="42">
        <v>77.452991161120309</v>
      </c>
      <c r="AG39" s="42">
        <v>158.34875014940155</v>
      </c>
      <c r="AH39" s="42">
        <v>1203.8094546986076</v>
      </c>
      <c r="AI39" s="42">
        <v>1203.7503315291319</v>
      </c>
      <c r="AJ39" s="42">
        <v>44.136924377209006</v>
      </c>
      <c r="AK39" s="42">
        <v>61.662961508471781</v>
      </c>
      <c r="AL39" s="42">
        <v>182.03551772613704</v>
      </c>
      <c r="AM39" s="42">
        <v>114.36615614518325</v>
      </c>
      <c r="AN39" s="42">
        <v>102.76294243706728</v>
      </c>
      <c r="AO39" s="42">
        <v>104.92295860581328</v>
      </c>
      <c r="AP39" s="42">
        <v>76.305316987381971</v>
      </c>
      <c r="AQ39" s="42">
        <v>107.16316071052526</v>
      </c>
      <c r="AR39" s="42">
        <v>103.49757258069107</v>
      </c>
      <c r="AS39" s="42">
        <v>129.09515455233608</v>
      </c>
      <c r="AT39" s="42">
        <v>25.428460851105005</v>
      </c>
      <c r="AU39" s="42">
        <v>61.545207483167431</v>
      </c>
      <c r="AV39" s="42">
        <v>1112.9223339650885</v>
      </c>
      <c r="AW39" s="42">
        <v>1110.0031786956251</v>
      </c>
      <c r="AX39" s="44">
        <v>53.103180999999999</v>
      </c>
      <c r="AY39" s="44">
        <v>160.948215</v>
      </c>
      <c r="AZ39" s="44">
        <v>65.834783999999999</v>
      </c>
      <c r="BA39" s="44">
        <v>59.968930999999998</v>
      </c>
      <c r="BB39" s="44">
        <v>12.692233999999999</v>
      </c>
      <c r="BC39" s="44">
        <v>312.93579499999998</v>
      </c>
      <c r="BD39" s="44">
        <v>66.838662999999997</v>
      </c>
      <c r="BE39" s="44">
        <v>52.369073999999998</v>
      </c>
      <c r="BF39" s="44">
        <v>68.556110000000004</v>
      </c>
      <c r="BG39" s="44">
        <v>92.964048000000005</v>
      </c>
      <c r="BH39" s="44">
        <v>18.314238</v>
      </c>
      <c r="BI39" s="44">
        <v>105.900471</v>
      </c>
      <c r="BJ39" s="50">
        <f>SUM(AX39:BI39)</f>
        <v>1070.4257440000001</v>
      </c>
      <c r="BK39" s="44">
        <v>1070.7404979999999</v>
      </c>
      <c r="BL39" s="44">
        <v>79.886976000000004</v>
      </c>
      <c r="BM39" s="44">
        <v>107.395633</v>
      </c>
      <c r="BN39" s="44">
        <v>177.90274500000001</v>
      </c>
      <c r="BO39" s="44">
        <v>176.97464400000001</v>
      </c>
      <c r="BP39" s="44">
        <v>67.801086999999995</v>
      </c>
      <c r="BQ39" s="44">
        <v>115.66258500000001</v>
      </c>
      <c r="BR39" s="44">
        <v>8.2937809999999992</v>
      </c>
      <c r="BS39" s="44">
        <v>133.10809</v>
      </c>
      <c r="BT39" s="44">
        <v>6.6402710000000003</v>
      </c>
      <c r="BU39" s="44">
        <v>84.785456999999994</v>
      </c>
      <c r="BV39" s="44">
        <v>5.9634989999999997</v>
      </c>
      <c r="BW39" s="44">
        <v>41.181596999999996</v>
      </c>
      <c r="BX39" s="50">
        <f t="shared" si="4"/>
        <v>1005.5963650000001</v>
      </c>
      <c r="BY39" s="50">
        <v>1005.719081</v>
      </c>
      <c r="BZ39" s="50">
        <v>78.913049999999998</v>
      </c>
      <c r="CA39" s="50">
        <v>206.73558700000001</v>
      </c>
      <c r="CB39" s="50">
        <v>38.466994</v>
      </c>
      <c r="CC39" s="50">
        <v>52.09131</v>
      </c>
      <c r="CD39" s="50">
        <v>55.637028000000001</v>
      </c>
      <c r="CE39" s="73">
        <v>71.178276999999994</v>
      </c>
      <c r="CF39" s="50">
        <v>8.0446410000000004</v>
      </c>
      <c r="CG39" s="50">
        <v>40.724682000000001</v>
      </c>
      <c r="CH39" s="50">
        <v>7.7765339999999998</v>
      </c>
      <c r="CI39" s="50">
        <v>49.365712000000002</v>
      </c>
      <c r="CJ39" s="50">
        <v>38.381537999999999</v>
      </c>
      <c r="CK39" s="50">
        <v>103.341821</v>
      </c>
      <c r="CL39" s="50">
        <f t="shared" si="5"/>
        <v>750.65717399999994</v>
      </c>
      <c r="CM39" s="50">
        <v>750.68064400000003</v>
      </c>
      <c r="CN39" s="50">
        <v>79.341487000000001</v>
      </c>
      <c r="CO39" s="50">
        <v>161.807243</v>
      </c>
      <c r="CP39" s="50">
        <v>43.170622000000002</v>
      </c>
      <c r="CQ39" s="50">
        <v>91.077337999999997</v>
      </c>
      <c r="CR39" s="50">
        <v>8.9482959999999991</v>
      </c>
      <c r="CS39" s="50">
        <v>86.716922999999994</v>
      </c>
      <c r="CT39" s="50">
        <v>44.288629999999998</v>
      </c>
      <c r="CU39" s="50">
        <v>31.173327</v>
      </c>
      <c r="CV39" s="50">
        <v>13.630281999999999</v>
      </c>
      <c r="CW39" s="50">
        <v>66.070499999999996</v>
      </c>
      <c r="CX39" s="50">
        <v>8.5925379999999993</v>
      </c>
      <c r="CY39" s="50">
        <v>94.301309000000003</v>
      </c>
      <c r="CZ39" s="50">
        <f t="shared" si="9"/>
        <v>729.11849499999994</v>
      </c>
      <c r="DA39" s="50">
        <v>729.59047399999997</v>
      </c>
      <c r="DB39" s="50">
        <v>113.41935599999999</v>
      </c>
      <c r="DC39" s="50">
        <v>219.850977</v>
      </c>
      <c r="DD39" s="50">
        <v>38.136504000000002</v>
      </c>
      <c r="DE39" s="50">
        <v>105.80928043999999</v>
      </c>
      <c r="DF39" s="50">
        <v>67.942243000000005</v>
      </c>
      <c r="DG39" s="50">
        <v>35.412208</v>
      </c>
      <c r="DH39" s="50">
        <v>253.51124799999999</v>
      </c>
      <c r="DI39" s="50">
        <v>81.128624000000002</v>
      </c>
      <c r="DJ39" s="50">
        <v>12.097935</v>
      </c>
      <c r="DK39" s="50">
        <v>106.49772</v>
      </c>
      <c r="DL39" s="50">
        <v>21.535215000000001</v>
      </c>
      <c r="DM39" s="50">
        <v>75.891558000000003</v>
      </c>
      <c r="DN39" s="50">
        <f t="shared" si="20"/>
        <v>1131.2328684400002</v>
      </c>
      <c r="DO39" s="50">
        <v>1131.289841</v>
      </c>
      <c r="DP39" s="44">
        <v>184.515636</v>
      </c>
      <c r="DQ39" s="50">
        <v>259.00958400000002</v>
      </c>
      <c r="DR39" s="50">
        <v>23.944964640000002</v>
      </c>
      <c r="DS39" s="50">
        <v>182.90927199999999</v>
      </c>
      <c r="DT39" s="50">
        <v>67.714368440000101</v>
      </c>
      <c r="DU39" s="50">
        <v>281.51313099999999</v>
      </c>
      <c r="DV39" s="50">
        <v>31.221778</v>
      </c>
      <c r="DW39" s="50">
        <v>0.42362100000000003</v>
      </c>
      <c r="DX39" s="50">
        <v>-52.850456999999999</v>
      </c>
      <c r="DY39" s="50">
        <v>150.77393799999999</v>
      </c>
      <c r="DZ39" s="50">
        <v>9.3808399999999992</v>
      </c>
      <c r="EA39" s="50">
        <v>181.985018</v>
      </c>
      <c r="EB39" s="50">
        <f t="shared" si="10"/>
        <v>1320.5416940800001</v>
      </c>
      <c r="EC39" s="50">
        <v>1320.131474</v>
      </c>
      <c r="ED39" s="50">
        <v>99.456306999999995</v>
      </c>
      <c r="EE39" s="50">
        <v>209.37202099999999</v>
      </c>
      <c r="EF39" s="50">
        <v>95.832915</v>
      </c>
      <c r="EG39" s="50">
        <v>225.61069000000001</v>
      </c>
      <c r="EH39" s="50">
        <v>92.928415999999999</v>
      </c>
      <c r="EI39" s="50">
        <v>12.258357</v>
      </c>
      <c r="EJ39" s="50">
        <v>276.884321</v>
      </c>
      <c r="EK39" s="50">
        <v>32.411273999999999</v>
      </c>
      <c r="EL39" s="44">
        <v>3.9814090000000002</v>
      </c>
      <c r="EM39" s="44">
        <v>10.270583</v>
      </c>
      <c r="EN39" s="44">
        <v>20.220414999999999</v>
      </c>
      <c r="EO39" s="44">
        <v>204.503917</v>
      </c>
      <c r="EP39" s="50">
        <f t="shared" si="11"/>
        <v>1283.7306249999999</v>
      </c>
      <c r="EQ39" s="50">
        <v>1310.2889540000001</v>
      </c>
      <c r="ER39" s="44">
        <v>177.33761699999999</v>
      </c>
      <c r="ES39" s="44">
        <v>242.40801999999999</v>
      </c>
      <c r="ET39" s="42">
        <v>23.837261999999999</v>
      </c>
      <c r="EU39" s="44">
        <v>178.26693800000001</v>
      </c>
      <c r="EV39" s="42">
        <v>37.287000999999997</v>
      </c>
      <c r="EW39" s="42">
        <v>50.373171999999997</v>
      </c>
      <c r="EX39" s="42">
        <v>157.950513</v>
      </c>
      <c r="EY39" s="42">
        <v>42.855713000000009</v>
      </c>
      <c r="EZ39" s="42">
        <v>244.78056799999999</v>
      </c>
      <c r="FA39" s="42">
        <v>15.511946999999999</v>
      </c>
      <c r="FB39" s="42">
        <v>152.279169</v>
      </c>
      <c r="FC39" s="42">
        <v>67.377041000000006</v>
      </c>
      <c r="FD39" s="50">
        <f t="shared" si="12"/>
        <v>1390.2649609999999</v>
      </c>
      <c r="FE39" s="50">
        <v>1370.9839770000001</v>
      </c>
      <c r="FF39" s="45">
        <v>188.66663</v>
      </c>
      <c r="FG39" s="45">
        <v>217.068333</v>
      </c>
      <c r="FH39" s="45">
        <v>25.037127000000002</v>
      </c>
      <c r="FI39" s="45">
        <v>169.92377400000001</v>
      </c>
      <c r="FJ39" s="45">
        <v>40.998899999999999</v>
      </c>
      <c r="FK39" s="45">
        <v>72.940314000000001</v>
      </c>
      <c r="FL39" s="45">
        <v>26.066389999999998</v>
      </c>
      <c r="FM39" s="45">
        <v>147.75076300000001</v>
      </c>
      <c r="FN39" s="45">
        <v>13.920362000000001</v>
      </c>
      <c r="FO39" s="45">
        <v>217.827471</v>
      </c>
      <c r="FP39" s="45">
        <v>136.94132900000002</v>
      </c>
      <c r="FQ39" s="45">
        <v>182.51717400000004</v>
      </c>
      <c r="FR39" s="50">
        <f t="shared" si="13"/>
        <v>1439.6585669999999</v>
      </c>
      <c r="FS39" s="50">
        <v>1465.5499070000001</v>
      </c>
      <c r="FT39" s="45">
        <v>134.20227</v>
      </c>
      <c r="FU39" s="45">
        <v>258.50193519999999</v>
      </c>
      <c r="FV39" s="45">
        <v>8.4606203600000018</v>
      </c>
      <c r="FW39" s="45">
        <v>210.51309247999998</v>
      </c>
      <c r="FX39" s="45">
        <v>98.076595699999999</v>
      </c>
      <c r="FY39" s="45">
        <v>17.00177747</v>
      </c>
      <c r="FZ39" s="45">
        <v>216.35162198</v>
      </c>
      <c r="GA39" s="45">
        <v>73.018229210000001</v>
      </c>
      <c r="GB39" s="45">
        <v>48.172452559999996</v>
      </c>
      <c r="GC39" s="45">
        <v>16.310768970000002</v>
      </c>
      <c r="GD39" s="45">
        <v>213.37087548000002</v>
      </c>
      <c r="GE39" s="45">
        <v>90.602705999999998</v>
      </c>
      <c r="GF39" s="50">
        <f t="shared" si="14"/>
        <v>1384.5829454099999</v>
      </c>
      <c r="GG39" s="50">
        <v>1478.206713</v>
      </c>
      <c r="GH39" s="45">
        <v>327.83474341000004</v>
      </c>
      <c r="GI39" s="45">
        <v>219.99724155999999</v>
      </c>
      <c r="GJ39" s="45">
        <v>143.29596971000004</v>
      </c>
      <c r="GK39" s="45">
        <v>187.04961162000001</v>
      </c>
      <c r="GL39" s="45">
        <v>382.35275769000003</v>
      </c>
      <c r="GM39" s="45">
        <v>133.34214793000001</v>
      </c>
      <c r="GN39" s="45">
        <v>194.44224058</v>
      </c>
      <c r="GO39" s="45">
        <v>100.18950914999999</v>
      </c>
      <c r="GP39" s="45">
        <v>19.126846150000002</v>
      </c>
      <c r="GQ39" s="45">
        <v>10.6989839</v>
      </c>
      <c r="GR39" s="45">
        <v>21.52661861</v>
      </c>
      <c r="GS39" s="45">
        <v>61.594915</v>
      </c>
      <c r="GT39" s="50">
        <f t="shared" si="15"/>
        <v>1801.4515853100002</v>
      </c>
      <c r="GU39" s="50">
        <v>1835.845898</v>
      </c>
      <c r="GV39" s="45">
        <v>119.75811948</v>
      </c>
      <c r="GW39" s="45">
        <v>267.28588809999991</v>
      </c>
      <c r="GX39" s="45">
        <v>85.036917000000003</v>
      </c>
      <c r="GY39" s="45">
        <v>134.365996</v>
      </c>
      <c r="GZ39" s="45">
        <v>420.04368755000002</v>
      </c>
      <c r="HA39" s="45">
        <v>52.966617530000008</v>
      </c>
      <c r="HB39" s="45">
        <v>8.14141403</v>
      </c>
      <c r="HC39" s="45">
        <v>190.08276658000003</v>
      </c>
      <c r="HD39" s="45">
        <v>12.250144710000001</v>
      </c>
      <c r="HE39" s="45">
        <v>7.6980362900000001</v>
      </c>
      <c r="HF39" s="45">
        <v>27.186198960000002</v>
      </c>
      <c r="HG39" s="45">
        <v>401.56224099999997</v>
      </c>
      <c r="HH39" s="50">
        <f t="shared" si="6"/>
        <v>1726.37802723</v>
      </c>
      <c r="HI39" s="45">
        <v>131.84172999999998</v>
      </c>
      <c r="HJ39" s="45">
        <v>741.62015099999996</v>
      </c>
      <c r="HK39" s="45">
        <v>90.599964300000011</v>
      </c>
      <c r="HL39" s="45">
        <v>40.54013913</v>
      </c>
      <c r="HM39" s="45"/>
      <c r="HN39" s="45"/>
      <c r="HO39" s="45"/>
      <c r="HP39" s="45"/>
      <c r="HQ39" s="45"/>
      <c r="HR39" s="45"/>
      <c r="HS39" s="45"/>
      <c r="HT39" s="45"/>
      <c r="HU39" s="276">
        <f t="shared" si="16"/>
        <v>606.44692099999997</v>
      </c>
      <c r="HV39" s="276">
        <f t="shared" si="17"/>
        <v>1004.601984</v>
      </c>
      <c r="HW39" s="277">
        <f>HV39-HU39</f>
        <v>398.15506300000004</v>
      </c>
      <c r="HX39" s="277">
        <f t="shared" si="19"/>
        <v>65.653736413314249</v>
      </c>
      <c r="HY39" s="332"/>
    </row>
    <row r="40" spans="1:233" s="12" customFormat="1" ht="18.75" customHeight="1">
      <c r="A40" s="314"/>
      <c r="C40" s="5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50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50">
        <f t="shared" si="4"/>
        <v>0</v>
      </c>
      <c r="BY40" s="50"/>
      <c r="BZ40" s="50"/>
      <c r="CA40" s="50"/>
      <c r="CB40" s="50"/>
      <c r="CC40" s="50"/>
      <c r="CD40" s="50"/>
      <c r="CE40" s="73"/>
      <c r="CF40" s="50"/>
      <c r="CG40" s="50"/>
      <c r="CH40" s="50"/>
      <c r="CI40" s="50"/>
      <c r="CJ40" s="50"/>
      <c r="CK40" s="50"/>
      <c r="CL40" s="50">
        <f t="shared" si="5"/>
        <v>0</v>
      </c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>
        <f t="shared" si="9"/>
        <v>0</v>
      </c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>
        <f t="shared" si="20"/>
        <v>0</v>
      </c>
      <c r="DO40" s="50"/>
      <c r="DP40" s="44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3"/>
      <c r="EC40" s="50"/>
      <c r="ED40" s="50"/>
      <c r="EE40" s="50"/>
      <c r="EF40" s="50"/>
      <c r="EI40" s="50"/>
      <c r="EJ40" s="50"/>
      <c r="EK40" s="50"/>
      <c r="EL40" s="53"/>
      <c r="EM40" s="53"/>
      <c r="EN40" s="53"/>
      <c r="EO40" s="53"/>
      <c r="EP40" s="50"/>
      <c r="EQ40" s="197"/>
      <c r="ER40" s="179"/>
      <c r="ES40" s="53"/>
      <c r="ET40" s="42"/>
      <c r="EU40" s="53"/>
      <c r="EV40" s="53"/>
      <c r="EW40" s="53"/>
      <c r="EX40" s="53"/>
      <c r="EY40" s="53"/>
      <c r="EZ40" s="53"/>
      <c r="FA40" s="53"/>
      <c r="FB40" s="53"/>
      <c r="FC40" s="53"/>
      <c r="FD40" s="50"/>
      <c r="FE40" s="50"/>
      <c r="FF40" s="54"/>
      <c r="FG40" s="54"/>
      <c r="FH40" s="54"/>
      <c r="FI40" s="54"/>
      <c r="FJ40" s="54"/>
      <c r="FL40" s="54"/>
      <c r="FM40" s="54"/>
      <c r="FN40" s="54"/>
      <c r="FO40" s="54"/>
      <c r="FP40" s="54"/>
      <c r="FQ40" s="54"/>
      <c r="FR40" s="50"/>
      <c r="FS40" s="50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0"/>
      <c r="GG40" s="50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0"/>
      <c r="GU40" s="50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0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276"/>
      <c r="HV40" s="276"/>
      <c r="HW40" s="277"/>
      <c r="HX40" s="277"/>
    </row>
    <row r="41" spans="1:233" s="12" customFormat="1" ht="20">
      <c r="A41" s="37" t="s">
        <v>114</v>
      </c>
      <c r="C41" s="37" t="s">
        <v>115</v>
      </c>
      <c r="D41" s="37">
        <v>7477.717915663542</v>
      </c>
      <c r="E41" s="37">
        <v>8916.4468813495678</v>
      </c>
      <c r="F41" s="37">
        <v>8005.493803393264</v>
      </c>
      <c r="G41" s="37">
        <v>7686.1196749022502</v>
      </c>
      <c r="H41" s="37">
        <v>521.16586578903934</v>
      </c>
      <c r="I41" s="37">
        <v>622.24560241546726</v>
      </c>
      <c r="J41" s="37">
        <v>633.8666946260978</v>
      </c>
      <c r="K41" s="37">
        <v>602.02201719113714</v>
      </c>
      <c r="L41" s="37">
        <v>626.36411703689782</v>
      </c>
      <c r="M41" s="37">
        <v>642.35244598778615</v>
      </c>
      <c r="N41" s="37">
        <v>602.15326654373064</v>
      </c>
      <c r="O41" s="37">
        <v>588.61619549689533</v>
      </c>
      <c r="P41" s="37">
        <v>657.77178667167652</v>
      </c>
      <c r="Q41" s="37">
        <v>626.32337687321069</v>
      </c>
      <c r="R41" s="37">
        <v>728.06233138969037</v>
      </c>
      <c r="S41" s="37">
        <v>1020.7187268712188</v>
      </c>
      <c r="T41" s="37">
        <v>7871.6624268928481</v>
      </c>
      <c r="U41" s="37">
        <v>7883.047785726887</v>
      </c>
      <c r="V41" s="37">
        <v>519.74415768834569</v>
      </c>
      <c r="W41" s="37">
        <v>643.18975732921274</v>
      </c>
      <c r="X41" s="37">
        <v>676.56874425871229</v>
      </c>
      <c r="Y41" s="37">
        <v>622.37316931082876</v>
      </c>
      <c r="Z41" s="37">
        <v>587.82204935611105</v>
      </c>
      <c r="AA41" s="37">
        <v>654.20330419291861</v>
      </c>
      <c r="AB41" s="37">
        <v>633.79542681885698</v>
      </c>
      <c r="AC41" s="37">
        <v>647.05392063790191</v>
      </c>
      <c r="AD41" s="37">
        <v>629.31548391870285</v>
      </c>
      <c r="AE41" s="37">
        <v>755.51362110915693</v>
      </c>
      <c r="AF41" s="37">
        <v>774.5581086618746</v>
      </c>
      <c r="AG41" s="37">
        <v>999.8612515011298</v>
      </c>
      <c r="AH41" s="37">
        <v>8143.9989947837521</v>
      </c>
      <c r="AI41" s="37">
        <v>8136.5661493104762</v>
      </c>
      <c r="AJ41" s="37">
        <v>581.23251859693448</v>
      </c>
      <c r="AK41" s="37">
        <v>686.93813104364801</v>
      </c>
      <c r="AL41" s="37">
        <v>682.25904025873501</v>
      </c>
      <c r="AM41" s="37">
        <v>687.32180388842403</v>
      </c>
      <c r="AN41" s="37">
        <v>618.43254519040875</v>
      </c>
      <c r="AO41" s="37">
        <v>707.2956568972287</v>
      </c>
      <c r="AP41" s="37">
        <v>697.6877351295667</v>
      </c>
      <c r="AQ41" s="37">
        <v>670.87461391796285</v>
      </c>
      <c r="AR41" s="37">
        <v>658.41480270459488</v>
      </c>
      <c r="AS41" s="37">
        <v>703.55492996624946</v>
      </c>
      <c r="AT41" s="37">
        <v>763.47146003722241</v>
      </c>
      <c r="AU41" s="37">
        <v>1051.4612423947501</v>
      </c>
      <c r="AV41" s="37">
        <v>8508.9444800257243</v>
      </c>
      <c r="AW41" s="37">
        <v>8491.9597697224272</v>
      </c>
      <c r="AX41" s="53">
        <f>AX42+AX63+AX72</f>
        <v>577.8369439999999</v>
      </c>
      <c r="AY41" s="53">
        <f>AY42+AY63+AY72</f>
        <v>723.81207704999997</v>
      </c>
      <c r="AZ41" s="53">
        <f t="shared" ref="AZ41:BG41" si="27">AZ42+AZ63+AZ72</f>
        <v>677.33943549999992</v>
      </c>
      <c r="BA41" s="53">
        <f t="shared" si="27"/>
        <v>767.13734337000005</v>
      </c>
      <c r="BB41" s="53">
        <f t="shared" si="27"/>
        <v>607.06842336000022</v>
      </c>
      <c r="BC41" s="53">
        <f t="shared" si="27"/>
        <v>734.43836070999998</v>
      </c>
      <c r="BD41" s="53">
        <f t="shared" si="27"/>
        <v>728.26998960000003</v>
      </c>
      <c r="BE41" s="53">
        <f t="shared" si="27"/>
        <v>658.27997284000003</v>
      </c>
      <c r="BF41" s="53">
        <f t="shared" si="27"/>
        <v>661.87313438000001</v>
      </c>
      <c r="BG41" s="53">
        <f t="shared" si="27"/>
        <v>773.07310418999987</v>
      </c>
      <c r="BH41" s="53">
        <f>BH42+BH63+BH72</f>
        <v>805.74787910999976</v>
      </c>
      <c r="BI41" s="53">
        <f>BI42+BI63+BI72</f>
        <v>1220.02866425</v>
      </c>
      <c r="BJ41" s="54">
        <f t="shared" ref="BJ41:BJ52" si="28">SUM(AX41:BI41)</f>
        <v>8934.9053283599987</v>
      </c>
      <c r="BK41" s="53">
        <f>BK42+BK63+BK72</f>
        <v>8929.9880240000002</v>
      </c>
      <c r="BL41" s="53">
        <f>BL42+BL63+BL72</f>
        <v>650.81889826000008</v>
      </c>
      <c r="BM41" s="53">
        <v>752.13877189999982</v>
      </c>
      <c r="BN41" s="53">
        <v>759.56995786999994</v>
      </c>
      <c r="BO41" s="53">
        <v>756.88357296999993</v>
      </c>
      <c r="BP41" s="53">
        <v>635.65329827000005</v>
      </c>
      <c r="BQ41" s="53">
        <v>813.57960300999969</v>
      </c>
      <c r="BR41" s="53">
        <v>763.48734738999997</v>
      </c>
      <c r="BS41" s="53">
        <v>691.67156074999991</v>
      </c>
      <c r="BT41" s="53">
        <v>694.78416806999985</v>
      </c>
      <c r="BU41" s="53">
        <v>708.77071761000002</v>
      </c>
      <c r="BV41" s="53">
        <v>764.22881597000003</v>
      </c>
      <c r="BW41" s="53">
        <v>1203.2354501799998</v>
      </c>
      <c r="BX41" s="54">
        <f t="shared" si="4"/>
        <v>9194.8221622499987</v>
      </c>
      <c r="BY41" s="54">
        <f>BY42+BY63+BY72</f>
        <v>9188.1493898399985</v>
      </c>
      <c r="BZ41" s="54">
        <v>621.17353481000009</v>
      </c>
      <c r="CA41" s="54">
        <v>770.71424177000006</v>
      </c>
      <c r="CB41" s="54">
        <v>774.25420015999998</v>
      </c>
      <c r="CC41" s="54">
        <v>780.83340768999994</v>
      </c>
      <c r="CD41" s="54">
        <v>685.02084947999992</v>
      </c>
      <c r="CE41" s="151">
        <v>736.98915666999983</v>
      </c>
      <c r="CF41" s="54">
        <v>721.10357159</v>
      </c>
      <c r="CG41" s="54">
        <v>696.28267081000013</v>
      </c>
      <c r="CH41" s="54">
        <v>667.85538231999988</v>
      </c>
      <c r="CI41" s="54">
        <v>810.60133253999982</v>
      </c>
      <c r="CJ41" s="54">
        <v>821.35604101000013</v>
      </c>
      <c r="CK41" s="54">
        <v>1085.4174720399999</v>
      </c>
      <c r="CL41" s="54">
        <f t="shared" si="5"/>
        <v>9171.6018608899994</v>
      </c>
      <c r="CM41" s="54">
        <f>CM42+CM63+CM72</f>
        <v>9165.4505960000006</v>
      </c>
      <c r="CN41" s="54">
        <v>674.86634849000029</v>
      </c>
      <c r="CO41" s="54">
        <v>777.08392204999996</v>
      </c>
      <c r="CP41" s="54">
        <v>744.50546986999984</v>
      </c>
      <c r="CQ41" s="54">
        <v>766.41861738000011</v>
      </c>
      <c r="CR41" s="54">
        <v>750.49328143000002</v>
      </c>
      <c r="CS41" s="54">
        <v>877.94463213999995</v>
      </c>
      <c r="CT41" s="54">
        <v>730.98721390000003</v>
      </c>
      <c r="CU41" s="54">
        <v>737.93987305999997</v>
      </c>
      <c r="CV41" s="54">
        <v>731.10911313999998</v>
      </c>
      <c r="CW41" s="54">
        <v>913.33515833999991</v>
      </c>
      <c r="CX41" s="54">
        <v>902.24266695999995</v>
      </c>
      <c r="CY41" s="54">
        <v>1239.2346659100003</v>
      </c>
      <c r="CZ41" s="54">
        <f t="shared" si="9"/>
        <v>9846.160962670001</v>
      </c>
      <c r="DA41" s="54">
        <f>DA42+DA63+DA72</f>
        <v>9843.3859059999995</v>
      </c>
      <c r="DB41" s="54">
        <v>706.95270924999886</v>
      </c>
      <c r="DC41" s="54">
        <v>787.48959335000075</v>
      </c>
      <c r="DD41" s="54">
        <v>812.05128861000026</v>
      </c>
      <c r="DE41" s="54">
        <v>916.49778971000069</v>
      </c>
      <c r="DF41" s="54">
        <v>788.45454404000031</v>
      </c>
      <c r="DG41" s="54">
        <v>921.67371575000266</v>
      </c>
      <c r="DH41" s="54">
        <v>886.92946672000073</v>
      </c>
      <c r="DI41" s="54">
        <v>855.63843050000025</v>
      </c>
      <c r="DJ41" s="54">
        <v>816.44842926000035</v>
      </c>
      <c r="DK41" s="54">
        <v>1068.1180854199984</v>
      </c>
      <c r="DL41" s="54">
        <v>1047.4721878800005</v>
      </c>
      <c r="DM41" s="54">
        <v>1490.3020443400014</v>
      </c>
      <c r="DN41" s="54">
        <f t="shared" si="20"/>
        <v>11098.028284830005</v>
      </c>
      <c r="DO41" s="54">
        <f>DO42+DO63+DO72</f>
        <v>11093.410788000001</v>
      </c>
      <c r="DP41" s="53">
        <v>802.04934975000049</v>
      </c>
      <c r="DQ41" s="53">
        <v>897.61519807000013</v>
      </c>
      <c r="DR41" s="53">
        <v>816.94169738000016</v>
      </c>
      <c r="DS41" s="53">
        <v>928.60015851000037</v>
      </c>
      <c r="DT41" s="53">
        <v>867.47272959000077</v>
      </c>
      <c r="DU41" s="53">
        <v>915.06951884000205</v>
      </c>
      <c r="DV41" s="53">
        <v>972.33203034000064</v>
      </c>
      <c r="DW41" s="53">
        <v>854.93440311000086</v>
      </c>
      <c r="DX41" s="53">
        <v>864.57659473999979</v>
      </c>
      <c r="DY41" s="53">
        <v>1078.8985392599986</v>
      </c>
      <c r="DZ41" s="53">
        <v>994.98820573</v>
      </c>
      <c r="EA41" s="53">
        <v>1538.4929021800015</v>
      </c>
      <c r="EB41" s="53">
        <f>SUM(DP41:EA41)</f>
        <v>11531.971327500005</v>
      </c>
      <c r="EC41" s="54">
        <f>EC42+EC63+EC72</f>
        <v>11524.991226000002</v>
      </c>
      <c r="ED41" s="53">
        <v>878.36009499000033</v>
      </c>
      <c r="EE41" s="53">
        <v>900.27613963000022</v>
      </c>
      <c r="EF41" s="55">
        <v>935.26691865999851</v>
      </c>
      <c r="EG41" s="55">
        <v>1090.96588408</v>
      </c>
      <c r="EH41" s="55">
        <v>845.62511329000006</v>
      </c>
      <c r="EI41" s="53">
        <v>1007.6377169400004</v>
      </c>
      <c r="EJ41" s="53">
        <v>999.72323913999935</v>
      </c>
      <c r="EK41" s="53">
        <v>951.92122205000044</v>
      </c>
      <c r="EL41" s="53">
        <v>978.77581908999923</v>
      </c>
      <c r="EM41" s="53">
        <v>1146.0148982400012</v>
      </c>
      <c r="EN41" s="53">
        <v>1028.3987590200009</v>
      </c>
      <c r="EO41" s="53">
        <v>1706.4339749999999</v>
      </c>
      <c r="EP41" s="55">
        <f t="shared" si="11"/>
        <v>12469.399780129999</v>
      </c>
      <c r="EQ41" s="54">
        <f>EQ42+EQ63+EQ72</f>
        <v>12462.228217</v>
      </c>
      <c r="ER41" s="53">
        <v>855.57182100000023</v>
      </c>
      <c r="ES41" s="53">
        <v>1120.0708956699996</v>
      </c>
      <c r="ET41" s="53">
        <v>1355.7580715300001</v>
      </c>
      <c r="EU41" s="53">
        <v>1273.6631461200006</v>
      </c>
      <c r="EV41" s="53">
        <v>1060.3993587299994</v>
      </c>
      <c r="EW41" s="53">
        <v>1299.9059933999995</v>
      </c>
      <c r="EX41" s="53">
        <v>1081.9811921099993</v>
      </c>
      <c r="EY41" s="53">
        <v>1017.502198</v>
      </c>
      <c r="EZ41" s="53">
        <v>1064.3915019999999</v>
      </c>
      <c r="FA41" s="53">
        <v>1173.8961440000003</v>
      </c>
      <c r="FB41" s="53">
        <v>1182.0556260000001</v>
      </c>
      <c r="FC41" s="53">
        <v>1915.3768510300042</v>
      </c>
      <c r="FD41" s="55">
        <f t="shared" si="12"/>
        <v>14400.572799590002</v>
      </c>
      <c r="FE41" s="54">
        <f>FE42+FE63+FE72</f>
        <v>14394.036164000003</v>
      </c>
      <c r="FF41" s="54">
        <v>1011.7809582899997</v>
      </c>
      <c r="FG41" s="54">
        <v>1174.5838574400004</v>
      </c>
      <c r="FH41" s="54">
        <v>1242.0685291400011</v>
      </c>
      <c r="FI41" s="54">
        <v>1187.3414634500009</v>
      </c>
      <c r="FJ41" s="54">
        <v>1224.138113720001</v>
      </c>
      <c r="FK41" s="54">
        <v>1172.0497950700017</v>
      </c>
      <c r="FL41" s="54">
        <v>1088.6485823100004</v>
      </c>
      <c r="FM41" s="54">
        <v>1104.6900173600013</v>
      </c>
      <c r="FN41" s="54">
        <v>1413.3866109999999</v>
      </c>
      <c r="FO41" s="54">
        <v>1543.5830731599985</v>
      </c>
      <c r="FP41" s="54">
        <v>1331.3547266899989</v>
      </c>
      <c r="FQ41" s="54">
        <v>2230.9106024199978</v>
      </c>
      <c r="FR41" s="55">
        <f t="shared" si="13"/>
        <v>15724.536330049999</v>
      </c>
      <c r="FS41" s="54">
        <f>FS42+FS63+FS72</f>
        <v>15718.277019000001</v>
      </c>
      <c r="FT41" s="54">
        <v>1084.4563163899991</v>
      </c>
      <c r="FU41" s="54">
        <v>1410.8042569099975</v>
      </c>
      <c r="FV41" s="54">
        <v>1353.3136139699986</v>
      </c>
      <c r="FW41" s="54">
        <v>1300.6278782599989</v>
      </c>
      <c r="FX41" s="54">
        <v>1285.5112976699988</v>
      </c>
      <c r="FY41" s="54">
        <v>1387.0626694299997</v>
      </c>
      <c r="FZ41" s="54">
        <v>1233.7584663499986</v>
      </c>
      <c r="GA41" s="54">
        <v>1277.3119971400045</v>
      </c>
      <c r="GB41" s="54">
        <v>1228.2039877200025</v>
      </c>
      <c r="GC41" s="54">
        <v>1416.4443941699994</v>
      </c>
      <c r="GD41" s="54">
        <v>1471.1046447100014</v>
      </c>
      <c r="GE41" s="54">
        <v>2516.0608448600005</v>
      </c>
      <c r="GF41" s="55">
        <f t="shared" si="14"/>
        <v>16964.66036758</v>
      </c>
      <c r="GG41" s="54">
        <f>GG42+GG63+GG72</f>
        <v>16957.956662000001</v>
      </c>
      <c r="GH41" s="54">
        <v>1303.6276511399992</v>
      </c>
      <c r="GI41" s="54">
        <v>1427.9176090000001</v>
      </c>
      <c r="GJ41" s="54">
        <v>1322.7929649700011</v>
      </c>
      <c r="GK41" s="54">
        <v>1553.3035424099992</v>
      </c>
      <c r="GL41" s="54">
        <v>1362.5441011199989</v>
      </c>
      <c r="GM41" s="54">
        <v>1438.872631</v>
      </c>
      <c r="GN41" s="54">
        <v>1492.722763</v>
      </c>
      <c r="GO41" s="54">
        <v>1314.6215870000001</v>
      </c>
      <c r="GP41" s="54">
        <v>1304.550469</v>
      </c>
      <c r="GQ41" s="54">
        <v>1578.167195</v>
      </c>
      <c r="GR41" s="54">
        <v>1506.9039613499995</v>
      </c>
      <c r="GS41" s="54">
        <v>2272.8080082800052</v>
      </c>
      <c r="GT41" s="55">
        <f t="shared" si="15"/>
        <v>17878.832483270002</v>
      </c>
      <c r="GU41" s="54">
        <f>GU42+GU63+GU72</f>
        <v>17871.408764</v>
      </c>
      <c r="GV41" s="54">
        <v>1413.1989705199992</v>
      </c>
      <c r="GW41" s="54">
        <v>1547.3411530099977</v>
      </c>
      <c r="GX41" s="54">
        <v>1614.3080902800029</v>
      </c>
      <c r="GY41" s="54">
        <v>1653.2080953400018</v>
      </c>
      <c r="GZ41" s="54">
        <v>1414.7652711799969</v>
      </c>
      <c r="HA41" s="54">
        <v>1540.9298818799987</v>
      </c>
      <c r="HB41" s="54">
        <v>1590.3029063700019</v>
      </c>
      <c r="HC41" s="54">
        <v>1447.5427010899996</v>
      </c>
      <c r="HD41" s="54">
        <v>1539.3520566999994</v>
      </c>
      <c r="HE41" s="54">
        <v>1659.9075132700023</v>
      </c>
      <c r="HF41" s="54">
        <v>1557.1971918699999</v>
      </c>
      <c r="HG41" s="54">
        <v>2540.3695937699977</v>
      </c>
      <c r="HH41" s="54">
        <f t="shared" si="6"/>
        <v>19518.423425279994</v>
      </c>
      <c r="HI41" s="54">
        <v>1523.4379620500026</v>
      </c>
      <c r="HJ41" s="54">
        <v>1594.8543191600015</v>
      </c>
      <c r="HK41" s="54">
        <v>1660.7266749699975</v>
      </c>
      <c r="HL41" s="54">
        <v>1573.5424801099989</v>
      </c>
      <c r="HM41" s="54"/>
      <c r="HN41" s="54"/>
      <c r="HO41" s="54"/>
      <c r="HP41" s="54"/>
      <c r="HQ41" s="54"/>
      <c r="HR41" s="54"/>
      <c r="HS41" s="54"/>
      <c r="HT41" s="54"/>
      <c r="HU41" s="278">
        <f t="shared" si="16"/>
        <v>6228.0563089999996</v>
      </c>
      <c r="HV41" s="278">
        <f t="shared" si="17"/>
        <v>6352.561436</v>
      </c>
      <c r="HW41" s="279">
        <f>HV41-HU41</f>
        <v>124.50512700000036</v>
      </c>
      <c r="HX41" s="279">
        <f t="shared" si="19"/>
        <v>1.9991008562347332</v>
      </c>
    </row>
    <row r="42" spans="1:233" s="12" customFormat="1" ht="20.5">
      <c r="A42" s="42" t="s">
        <v>116</v>
      </c>
      <c r="B42" s="13" t="s">
        <v>28</v>
      </c>
      <c r="C42" s="42" t="s">
        <v>117</v>
      </c>
      <c r="D42" s="42">
        <v>6395.7643909254939</v>
      </c>
      <c r="E42" s="42">
        <v>7858.7678655784566</v>
      </c>
      <c r="F42" s="42">
        <v>7386.1915171228393</v>
      </c>
      <c r="G42" s="42">
        <v>7132.0052489741092</v>
      </c>
      <c r="H42" s="42">
        <v>460.12159478318279</v>
      </c>
      <c r="I42" s="42">
        <v>600.36618597788288</v>
      </c>
      <c r="J42" s="42">
        <v>605.29626484766743</v>
      </c>
      <c r="K42" s="42">
        <v>569.78782629296359</v>
      </c>
      <c r="L42" s="42">
        <v>572.23712791902153</v>
      </c>
      <c r="M42" s="42">
        <v>577.3416980694476</v>
      </c>
      <c r="N42" s="42">
        <v>537.30635051877914</v>
      </c>
      <c r="O42" s="42">
        <v>506.86427177420728</v>
      </c>
      <c r="P42" s="42">
        <v>554.25312428500843</v>
      </c>
      <c r="Q42" s="42">
        <v>539.16735801162201</v>
      </c>
      <c r="R42" s="42">
        <v>650.75912297027332</v>
      </c>
      <c r="S42" s="42">
        <v>854.43812028673722</v>
      </c>
      <c r="T42" s="42">
        <v>7027.9390457367917</v>
      </c>
      <c r="U42" s="42">
        <v>7023.9505210556563</v>
      </c>
      <c r="V42" s="42">
        <v>488.95336395353479</v>
      </c>
      <c r="W42" s="42">
        <v>619.58127661481728</v>
      </c>
      <c r="X42" s="42">
        <v>647.70813030375473</v>
      </c>
      <c r="Y42" s="42">
        <v>587.11336130699306</v>
      </c>
      <c r="Z42" s="42">
        <v>540.18794518813206</v>
      </c>
      <c r="AA42" s="42">
        <v>585.11058275137873</v>
      </c>
      <c r="AB42" s="42">
        <v>554.45907130579792</v>
      </c>
      <c r="AC42" s="42">
        <v>558.7451451613822</v>
      </c>
      <c r="AD42" s="42">
        <v>524.92088690445701</v>
      </c>
      <c r="AE42" s="42">
        <v>654.17694971855599</v>
      </c>
      <c r="AF42" s="42">
        <v>678.4029188792324</v>
      </c>
      <c r="AG42" s="42">
        <v>866.64775100881616</v>
      </c>
      <c r="AH42" s="42">
        <v>7306.0073830968531</v>
      </c>
      <c r="AI42" s="42">
        <v>7301.9712707952713</v>
      </c>
      <c r="AJ42" s="42">
        <v>539.64289617019824</v>
      </c>
      <c r="AK42" s="42">
        <v>653.30026135309413</v>
      </c>
      <c r="AL42" s="42">
        <v>645.50030076664336</v>
      </c>
      <c r="AM42" s="42">
        <v>651.65266153863661</v>
      </c>
      <c r="AN42" s="42">
        <v>573.60638136663999</v>
      </c>
      <c r="AO42" s="42">
        <v>631.52734748237049</v>
      </c>
      <c r="AP42" s="42">
        <v>609.27322695943678</v>
      </c>
      <c r="AQ42" s="42">
        <v>573.22219660104372</v>
      </c>
      <c r="AR42" s="42">
        <v>561.98178439508035</v>
      </c>
      <c r="AS42" s="42">
        <v>600.73064040614452</v>
      </c>
      <c r="AT42" s="42">
        <v>681.21873239196145</v>
      </c>
      <c r="AU42" s="42">
        <v>918.44274932982739</v>
      </c>
      <c r="AV42" s="42">
        <v>7640.0991787610765</v>
      </c>
      <c r="AW42" s="42">
        <v>7628.3421295268672</v>
      </c>
      <c r="AX42" s="42">
        <f>AX43+AX48+AX49+AX54+AX58+AX61+AX62</f>
        <v>534.37192199999993</v>
      </c>
      <c r="AY42" s="42">
        <f>AY43+AY48+AY49+AY54+AY58+AY61+AY62</f>
        <v>694.20465968999997</v>
      </c>
      <c r="AZ42" s="42">
        <f t="shared" ref="AZ42:BG42" si="29">AZ43+AZ48+AZ49+AZ54+AZ58+AZ61+AZ62</f>
        <v>642.59445849999997</v>
      </c>
      <c r="BA42" s="42">
        <f t="shared" si="29"/>
        <v>718.20447311000009</v>
      </c>
      <c r="BB42" s="42">
        <f t="shared" si="29"/>
        <v>559.62563936000015</v>
      </c>
      <c r="BC42" s="42">
        <f t="shared" si="29"/>
        <v>665.36014370999999</v>
      </c>
      <c r="BD42" s="42">
        <f t="shared" si="29"/>
        <v>644.86603760000003</v>
      </c>
      <c r="BE42" s="42">
        <f t="shared" si="29"/>
        <v>566.76130415</v>
      </c>
      <c r="BF42" s="42">
        <f t="shared" si="29"/>
        <v>578.36295711999992</v>
      </c>
      <c r="BG42" s="42">
        <f t="shared" si="29"/>
        <v>673.77723547999983</v>
      </c>
      <c r="BH42" s="42">
        <f>BH43+BH48+BH49+BH54+BH58+BH61+BH62</f>
        <v>717.87366288999976</v>
      </c>
      <c r="BI42" s="42">
        <f>BI43+BI48+BI49+BI54+BI58+BI61+BI62</f>
        <v>1061.5740438</v>
      </c>
      <c r="BJ42" s="45">
        <f t="shared" si="28"/>
        <v>8057.5765374100001</v>
      </c>
      <c r="BK42" s="42">
        <f>BK43+BK48+BK49+BK54+BK58+BK61+BK62</f>
        <v>8052.9137780000001</v>
      </c>
      <c r="BL42" s="42">
        <f>BL43+BL48+BL49+BL54+BL58+BL61+BL62</f>
        <v>602.84141793000003</v>
      </c>
      <c r="BM42" s="42">
        <v>713.03753374999985</v>
      </c>
      <c r="BN42" s="42">
        <v>718.76698685999997</v>
      </c>
      <c r="BO42" s="42">
        <v>714.64817781999989</v>
      </c>
      <c r="BP42" s="42">
        <v>569.45045492000008</v>
      </c>
      <c r="BQ42" s="42">
        <v>740.48310875999971</v>
      </c>
      <c r="BR42" s="42">
        <v>674.70237386000008</v>
      </c>
      <c r="BS42" s="42">
        <v>597.84322063999991</v>
      </c>
      <c r="BT42" s="42">
        <v>621.6326005799998</v>
      </c>
      <c r="BU42" s="42">
        <v>626.89559069999996</v>
      </c>
      <c r="BV42" s="42">
        <v>669.04250854000009</v>
      </c>
      <c r="BW42" s="42">
        <v>1025.5690343799997</v>
      </c>
      <c r="BX42" s="45">
        <f t="shared" si="4"/>
        <v>8274.9130087400008</v>
      </c>
      <c r="BY42" s="45">
        <f>BY43+BY48+BY49+BY54+BY58+BY61+BY62</f>
        <v>8268.2572128399988</v>
      </c>
      <c r="BZ42" s="45">
        <v>592.74572575000013</v>
      </c>
      <c r="CA42" s="45">
        <v>747.50255946000004</v>
      </c>
      <c r="CB42" s="45">
        <v>752.33929165999996</v>
      </c>
      <c r="CC42" s="45">
        <v>756.66410754000003</v>
      </c>
      <c r="CD42" s="45">
        <v>647.07545119999997</v>
      </c>
      <c r="CE42" s="139">
        <v>691.56512063999992</v>
      </c>
      <c r="CF42" s="45">
        <v>661.61796208999999</v>
      </c>
      <c r="CG42" s="45">
        <v>618.7609884200001</v>
      </c>
      <c r="CH42" s="45">
        <v>598.79224778999981</v>
      </c>
      <c r="CI42" s="45">
        <v>719.44599120999987</v>
      </c>
      <c r="CJ42" s="45">
        <v>745.89364163000005</v>
      </c>
      <c r="CK42" s="45">
        <v>975.66178431999981</v>
      </c>
      <c r="CL42" s="45">
        <f t="shared" si="5"/>
        <v>8508.0648717100012</v>
      </c>
      <c r="CM42" s="45">
        <f>CM43+CM48+CM49+CM54+CM58+CM61+CM62</f>
        <v>8502.7642820000001</v>
      </c>
      <c r="CN42" s="45">
        <v>643.23835310000027</v>
      </c>
      <c r="CO42" s="45">
        <v>741.92298239999991</v>
      </c>
      <c r="CP42" s="45">
        <v>707.39020014999983</v>
      </c>
      <c r="CQ42" s="45">
        <v>727.94093412000007</v>
      </c>
      <c r="CR42" s="45">
        <v>693.31994083000006</v>
      </c>
      <c r="CS42" s="45">
        <v>808.28432111999996</v>
      </c>
      <c r="CT42" s="45">
        <v>652.20883538999999</v>
      </c>
      <c r="CU42" s="45">
        <v>630.10755603999996</v>
      </c>
      <c r="CV42" s="45">
        <v>627.00758415999996</v>
      </c>
      <c r="CW42" s="45">
        <v>816.12762115999988</v>
      </c>
      <c r="CX42" s="45">
        <v>791.42632767999999</v>
      </c>
      <c r="CY42" s="45">
        <v>1050.1506606500002</v>
      </c>
      <c r="CZ42" s="45">
        <f t="shared" si="9"/>
        <v>8889.1253168000003</v>
      </c>
      <c r="DA42" s="45">
        <f>DA43+DA48+DA49+DA54+DA58+DA61+DA62</f>
        <v>8886.2655579999991</v>
      </c>
      <c r="DB42" s="45">
        <v>666.40218274999927</v>
      </c>
      <c r="DC42" s="45">
        <v>745.96142859000042</v>
      </c>
      <c r="DD42" s="45">
        <v>764.52343001000042</v>
      </c>
      <c r="DE42" s="45">
        <v>870.64427866000096</v>
      </c>
      <c r="DF42" s="45">
        <v>728.36128556000028</v>
      </c>
      <c r="DG42" s="45">
        <v>823.98489116000178</v>
      </c>
      <c r="DH42" s="45">
        <v>782.27615015000049</v>
      </c>
      <c r="DI42" s="45">
        <v>732.2455777700003</v>
      </c>
      <c r="DJ42" s="45">
        <v>689.76826513000049</v>
      </c>
      <c r="DK42" s="45">
        <v>950.0823419499992</v>
      </c>
      <c r="DL42" s="45">
        <v>901.82059159999937</v>
      </c>
      <c r="DM42" s="45">
        <v>1253.867633249999</v>
      </c>
      <c r="DN42" s="45">
        <f t="shared" si="20"/>
        <v>9909.938056580002</v>
      </c>
      <c r="DO42" s="45">
        <f>DO43+DO48+DO49+DO54+DO58+DO61+DO62</f>
        <v>9905.3258700000006</v>
      </c>
      <c r="DP42" s="42">
        <v>726.83042733000025</v>
      </c>
      <c r="DQ42" s="42">
        <v>851.16502777000039</v>
      </c>
      <c r="DR42" s="42">
        <v>764.40024077000044</v>
      </c>
      <c r="DS42" s="42">
        <v>871.8704978799999</v>
      </c>
      <c r="DT42" s="42">
        <v>784.26603637000073</v>
      </c>
      <c r="DU42" s="42">
        <v>822.69546478000154</v>
      </c>
      <c r="DV42" s="42">
        <v>854.61677715000019</v>
      </c>
      <c r="DW42" s="53">
        <v>727.67148594000071</v>
      </c>
      <c r="DX42" s="53">
        <v>745.44603031999998</v>
      </c>
      <c r="DY42" s="42">
        <v>971.68307678999918</v>
      </c>
      <c r="DZ42" s="42">
        <v>881.82106636000015</v>
      </c>
      <c r="EA42" s="42">
        <v>1319.2741789300014</v>
      </c>
      <c r="EB42" s="42">
        <f>SUM(DP42:EA42)</f>
        <v>10321.740310390005</v>
      </c>
      <c r="EC42" s="45">
        <f>EC43+EC48+EC49+EC54+EC58+EC61+EC62</f>
        <v>10315.400599000001</v>
      </c>
      <c r="ED42" s="42">
        <v>791.77086153000062</v>
      </c>
      <c r="EE42" s="42">
        <v>855.72416963000046</v>
      </c>
      <c r="EF42" s="50">
        <v>883.35429552999869</v>
      </c>
      <c r="EG42" s="50">
        <v>1028.1115261199998</v>
      </c>
      <c r="EH42" s="50">
        <v>782.33463078000057</v>
      </c>
      <c r="EI42" s="42">
        <v>930.36451011000054</v>
      </c>
      <c r="EJ42" s="42">
        <v>889.06214834999969</v>
      </c>
      <c r="EK42" s="42">
        <v>855.51796187000014</v>
      </c>
      <c r="EL42" s="42">
        <v>854.44065681999939</v>
      </c>
      <c r="EM42" s="42">
        <v>999.90707424000107</v>
      </c>
      <c r="EN42" s="42">
        <v>909.04920126000081</v>
      </c>
      <c r="EO42" s="42">
        <v>1437.8430270000013</v>
      </c>
      <c r="EP42" s="50">
        <f t="shared" si="11"/>
        <v>11217.480063240004</v>
      </c>
      <c r="EQ42" s="45">
        <f>EQ43+EQ48+EQ49+EQ54+EQ58+EQ61+EQ62</f>
        <v>11210.331524000001</v>
      </c>
      <c r="ER42" s="42">
        <v>801.4755809400001</v>
      </c>
      <c r="ES42" s="42">
        <v>1063.5675603599996</v>
      </c>
      <c r="ET42" s="42">
        <v>1306.49236397</v>
      </c>
      <c r="EU42" s="42">
        <v>1216.6379867699998</v>
      </c>
      <c r="EV42" s="42">
        <v>994.37203236999972</v>
      </c>
      <c r="EW42" s="42">
        <v>1211.9206180000001</v>
      </c>
      <c r="EX42" s="42">
        <v>958.77275822999979</v>
      </c>
      <c r="EY42" s="42">
        <v>900.0761000799987</v>
      </c>
      <c r="EZ42" s="42">
        <v>942.46776999999997</v>
      </c>
      <c r="FA42" s="42">
        <v>1060.5819879999999</v>
      </c>
      <c r="FB42" s="42">
        <v>1042.0036311500014</v>
      </c>
      <c r="FC42" s="42">
        <v>1634.6240811800021</v>
      </c>
      <c r="FD42" s="50">
        <f t="shared" si="12"/>
        <v>13132.99247105</v>
      </c>
      <c r="FE42" s="45">
        <f>FE43+FE48+FE49+FE54+FE58+FE61+FE62</f>
        <v>13125.882261000002</v>
      </c>
      <c r="FF42" s="45">
        <v>968.12212305000025</v>
      </c>
      <c r="FG42" s="45">
        <v>1132.5178571700005</v>
      </c>
      <c r="FH42" s="45">
        <v>1179.3784893600014</v>
      </c>
      <c r="FI42" s="45">
        <v>1128.88750181</v>
      </c>
      <c r="FJ42" s="45">
        <v>1164.6672166100011</v>
      </c>
      <c r="FK42" s="45">
        <v>1079.1427020100009</v>
      </c>
      <c r="FL42" s="45">
        <v>990.34460830999933</v>
      </c>
      <c r="FM42" s="45">
        <v>983.84142835999967</v>
      </c>
      <c r="FN42" s="45">
        <v>1292.3053810399974</v>
      </c>
      <c r="FO42" s="45">
        <v>1413.9650521599988</v>
      </c>
      <c r="FP42" s="45">
        <v>1196.6280284100003</v>
      </c>
      <c r="FQ42" s="45">
        <v>1914.3565580499996</v>
      </c>
      <c r="FR42" s="50">
        <f t="shared" si="13"/>
        <v>14444.156946340001</v>
      </c>
      <c r="FS42" s="45">
        <f>FS43+FS48+FS49+FS54+FS58+FS61+FS62</f>
        <v>14438.004566000001</v>
      </c>
      <c r="FT42" s="45">
        <v>1003.8688237199984</v>
      </c>
      <c r="FU42" s="45">
        <v>1361.2151491099974</v>
      </c>
      <c r="FV42" s="45">
        <v>1290.8575249800001</v>
      </c>
      <c r="FW42" s="45">
        <v>1215.1719144299982</v>
      </c>
      <c r="FX42" s="45">
        <v>1203.7993866999996</v>
      </c>
      <c r="FY42" s="45">
        <v>1262.3430466999996</v>
      </c>
      <c r="FZ42" s="45">
        <v>1126.9020704799984</v>
      </c>
      <c r="GA42" s="45">
        <v>1142.8483513400031</v>
      </c>
      <c r="GB42" s="45">
        <v>1112.1598519500014</v>
      </c>
      <c r="GC42" s="45">
        <v>1286.3555032900006</v>
      </c>
      <c r="GD42" s="45">
        <v>1354.9755666600008</v>
      </c>
      <c r="GE42" s="45">
        <v>2147.8933604900017</v>
      </c>
      <c r="GF42" s="50">
        <f t="shared" si="14"/>
        <v>15508.390549849999</v>
      </c>
      <c r="GG42" s="45">
        <f>GG43+GG48+GG49+GG54+GG58+GG61+GG62</f>
        <v>15500.486487</v>
      </c>
      <c r="GH42" s="45">
        <v>1238.2551250700024</v>
      </c>
      <c r="GI42" s="45">
        <v>1240.8017789999999</v>
      </c>
      <c r="GJ42" s="45">
        <v>1276.7964336000007</v>
      </c>
      <c r="GK42" s="45">
        <v>1464.1194709499985</v>
      </c>
      <c r="GL42" s="45">
        <v>1280.7178224699987</v>
      </c>
      <c r="GM42" s="45">
        <v>1348.4332790000001</v>
      </c>
      <c r="GN42" s="45">
        <v>1368.105945</v>
      </c>
      <c r="GO42" s="45">
        <v>1189.178592</v>
      </c>
      <c r="GP42" s="45">
        <v>1173.5046010000001</v>
      </c>
      <c r="GQ42" s="45">
        <v>1411.775392</v>
      </c>
      <c r="GR42" s="45">
        <v>1361.5322677099991</v>
      </c>
      <c r="GS42" s="45">
        <v>1975.672109020006</v>
      </c>
      <c r="GT42" s="50">
        <f t="shared" si="15"/>
        <v>16328.892816820005</v>
      </c>
      <c r="GU42" s="45">
        <f>GU43+GU48+GU49+GU54+GU58+GU61+GU62</f>
        <v>16321.436369999999</v>
      </c>
      <c r="GV42" s="45">
        <v>1317.490150359999</v>
      </c>
      <c r="GW42" s="45">
        <v>1465.7832276199974</v>
      </c>
      <c r="GX42" s="45">
        <v>1461.4325862800017</v>
      </c>
      <c r="GY42" s="45">
        <v>1527.7440123400015</v>
      </c>
      <c r="GZ42" s="45">
        <v>1301.6104502099979</v>
      </c>
      <c r="HA42" s="45">
        <v>1373.62383978</v>
      </c>
      <c r="HB42" s="45">
        <v>1439.1435766700033</v>
      </c>
      <c r="HC42" s="45">
        <v>1303.2712770899991</v>
      </c>
      <c r="HD42" s="45">
        <v>1362.9542468200013</v>
      </c>
      <c r="HE42" s="45">
        <v>1487.7160362700033</v>
      </c>
      <c r="HF42" s="45">
        <v>1401.2818274499994</v>
      </c>
      <c r="HG42" s="45">
        <v>2178.7623061299973</v>
      </c>
      <c r="HH42" s="45">
        <f t="shared" si="6"/>
        <v>17620.81353702</v>
      </c>
      <c r="HI42" s="45">
        <v>1344.8963945600028</v>
      </c>
      <c r="HJ42" s="45">
        <v>1434.3937325100017</v>
      </c>
      <c r="HK42" s="45">
        <v>1473.4519770699983</v>
      </c>
      <c r="HL42" s="45">
        <v>1494.3659861099993</v>
      </c>
      <c r="HM42" s="45"/>
      <c r="HN42" s="45"/>
      <c r="HO42" s="45"/>
      <c r="HP42" s="45"/>
      <c r="HQ42" s="45"/>
      <c r="HR42" s="45"/>
      <c r="HS42" s="45"/>
      <c r="HT42" s="45"/>
      <c r="HU42" s="276">
        <f t="shared" si="16"/>
        <v>5772.4499770000002</v>
      </c>
      <c r="HV42" s="276">
        <f t="shared" si="17"/>
        <v>5747.1080899999997</v>
      </c>
      <c r="HW42" s="280">
        <f t="shared" si="18"/>
        <v>-25.341887000000497</v>
      </c>
      <c r="HX42" s="280">
        <f t="shared" si="19"/>
        <v>-0.43901440637812073</v>
      </c>
    </row>
    <row r="43" spans="1:233" s="12" customFormat="1" ht="20.5">
      <c r="A43" s="314" t="s">
        <v>118</v>
      </c>
      <c r="B43" s="13" t="s">
        <v>119</v>
      </c>
      <c r="C43" s="46" t="s">
        <v>120</v>
      </c>
      <c r="D43" s="42">
        <v>3118.5448787997789</v>
      </c>
      <c r="E43" s="42">
        <v>3717.745068326305</v>
      </c>
      <c r="F43" s="42">
        <v>2859.0064897183279</v>
      </c>
      <c r="G43" s="42">
        <v>2526.1796276059899</v>
      </c>
      <c r="H43" s="42">
        <v>146.41601114962353</v>
      </c>
      <c r="I43" s="42">
        <v>212.39552529581508</v>
      </c>
      <c r="J43" s="42">
        <v>220.16466851355429</v>
      </c>
      <c r="K43" s="42">
        <v>210.38239907570249</v>
      </c>
      <c r="L43" s="42">
        <v>211.66798248160231</v>
      </c>
      <c r="M43" s="42">
        <v>255.63316120853042</v>
      </c>
      <c r="N43" s="42">
        <v>212.00541402723948</v>
      </c>
      <c r="O43" s="42">
        <v>176.18770382638687</v>
      </c>
      <c r="P43" s="42">
        <v>199.82097000017075</v>
      </c>
      <c r="Q43" s="42">
        <v>212.68669927888854</v>
      </c>
      <c r="R43" s="42">
        <v>233.89337564954099</v>
      </c>
      <c r="S43" s="42">
        <v>357.2769260704265</v>
      </c>
      <c r="T43" s="42">
        <v>2648.5308365774808</v>
      </c>
      <c r="U43" s="42">
        <v>2646.578370356458</v>
      </c>
      <c r="V43" s="42">
        <v>142.4203647105025</v>
      </c>
      <c r="W43" s="42">
        <v>217.96805911747802</v>
      </c>
      <c r="X43" s="42">
        <v>225.11523801799649</v>
      </c>
      <c r="Y43" s="42">
        <v>219.03288039054988</v>
      </c>
      <c r="Z43" s="42">
        <v>218.70482487293754</v>
      </c>
      <c r="AA43" s="42">
        <v>262.93666655283693</v>
      </c>
      <c r="AB43" s="42">
        <v>215.83489159139674</v>
      </c>
      <c r="AC43" s="42">
        <v>187.32082486724605</v>
      </c>
      <c r="AD43" s="42">
        <v>187.14900029026586</v>
      </c>
      <c r="AE43" s="42">
        <v>226.50451613821207</v>
      </c>
      <c r="AF43" s="42">
        <v>247.53929118217883</v>
      </c>
      <c r="AG43" s="42">
        <v>330.90474869238085</v>
      </c>
      <c r="AH43" s="42">
        <v>2681.4313064239818</v>
      </c>
      <c r="AI43" s="42">
        <v>2680.1066271677455</v>
      </c>
      <c r="AJ43" s="42">
        <v>165.93320612859344</v>
      </c>
      <c r="AK43" s="42">
        <v>224.26205724497871</v>
      </c>
      <c r="AL43" s="42">
        <v>230.60544968440703</v>
      </c>
      <c r="AM43" s="42">
        <v>232.76661265445273</v>
      </c>
      <c r="AN43" s="42">
        <v>239.98065880387702</v>
      </c>
      <c r="AO43" s="42">
        <v>285.91481095725123</v>
      </c>
      <c r="AP43" s="42">
        <v>236.4571872100899</v>
      </c>
      <c r="AQ43" s="42">
        <v>205.76461812966349</v>
      </c>
      <c r="AR43" s="42">
        <v>209.84599973819161</v>
      </c>
      <c r="AS43" s="42">
        <v>235.1511175235201</v>
      </c>
      <c r="AT43" s="42">
        <v>254.50408791071195</v>
      </c>
      <c r="AU43" s="42">
        <v>355.81157904622063</v>
      </c>
      <c r="AV43" s="42">
        <v>2876.9973850319575</v>
      </c>
      <c r="AW43" s="42">
        <v>2874.7381090602785</v>
      </c>
      <c r="AX43" s="42">
        <f>AX44+AX47</f>
        <v>168.101313</v>
      </c>
      <c r="AY43" s="42">
        <f>AY44+AY47</f>
        <v>235.79424338000001</v>
      </c>
      <c r="AZ43" s="42">
        <f t="shared" ref="AZ43:BG43" si="30">AZ44+AZ47</f>
        <v>231.97305912000002</v>
      </c>
      <c r="BA43" s="42">
        <f t="shared" si="30"/>
        <v>253.85199739000001</v>
      </c>
      <c r="BB43" s="42">
        <f t="shared" si="30"/>
        <v>235.00222028000002</v>
      </c>
      <c r="BC43" s="42">
        <f t="shared" si="30"/>
        <v>299.58671563999997</v>
      </c>
      <c r="BD43" s="42">
        <f t="shared" si="30"/>
        <v>252.36183066000001</v>
      </c>
      <c r="BE43" s="42">
        <f t="shared" si="30"/>
        <v>206.02884062999999</v>
      </c>
      <c r="BF43" s="42">
        <f t="shared" si="30"/>
        <v>218.85970791</v>
      </c>
      <c r="BG43" s="42">
        <f t="shared" si="30"/>
        <v>256.30658971999986</v>
      </c>
      <c r="BH43" s="42">
        <f>BH44+BH47</f>
        <v>259.32745205999981</v>
      </c>
      <c r="BI43" s="42">
        <f>BI44+BI47</f>
        <v>375.66700051000021</v>
      </c>
      <c r="BJ43" s="45">
        <f t="shared" si="28"/>
        <v>2992.8609703000002</v>
      </c>
      <c r="BK43" s="42">
        <f>BK44+BK47</f>
        <v>2986.9532180000001</v>
      </c>
      <c r="BL43" s="42">
        <f>BL44+BL47</f>
        <v>192.71634735999999</v>
      </c>
      <c r="BM43" s="42">
        <v>252.48717442000003</v>
      </c>
      <c r="BN43" s="42">
        <v>257.47051294000005</v>
      </c>
      <c r="BO43" s="42">
        <v>263.37345663999992</v>
      </c>
      <c r="BP43" s="42">
        <v>247.8361728400001</v>
      </c>
      <c r="BQ43" s="42">
        <v>326.07808987999977</v>
      </c>
      <c r="BR43" s="42">
        <v>272.77778900999999</v>
      </c>
      <c r="BS43" s="42">
        <v>216.79159294999991</v>
      </c>
      <c r="BT43" s="42">
        <v>230.26029650999993</v>
      </c>
      <c r="BU43" s="42">
        <v>253.29379764000004</v>
      </c>
      <c r="BV43" s="42">
        <v>259.2496826499999</v>
      </c>
      <c r="BW43" s="42">
        <v>399.58865726999977</v>
      </c>
      <c r="BX43" s="45">
        <f t="shared" si="4"/>
        <v>3171.9235701099992</v>
      </c>
      <c r="BY43" s="45">
        <f>BY44+BY47</f>
        <v>3165.2040779999998</v>
      </c>
      <c r="BZ43" s="45">
        <v>186.75328178000018</v>
      </c>
      <c r="CA43" s="45">
        <v>255.87199705000012</v>
      </c>
      <c r="CB43" s="45">
        <v>267.91572210000004</v>
      </c>
      <c r="CC43" s="45">
        <v>263.46304364000002</v>
      </c>
      <c r="CD43" s="45">
        <v>262.51064093000002</v>
      </c>
      <c r="CE43" s="139">
        <v>321.87717528999997</v>
      </c>
      <c r="CF43" s="45">
        <v>273.8147135100001</v>
      </c>
      <c r="CG43" s="45">
        <v>225.66428154999994</v>
      </c>
      <c r="CH43" s="45">
        <v>235.53937805999996</v>
      </c>
      <c r="CI43" s="45">
        <v>277.31035154999989</v>
      </c>
      <c r="CJ43" s="45">
        <v>293.49288334000011</v>
      </c>
      <c r="CK43" s="45">
        <v>437.65941706999985</v>
      </c>
      <c r="CL43" s="45">
        <f t="shared" si="5"/>
        <v>3301.8728858699997</v>
      </c>
      <c r="CM43" s="45">
        <f>CM44+CM47</f>
        <v>3296.9112260000002</v>
      </c>
      <c r="CN43" s="45">
        <v>206.82761037000029</v>
      </c>
      <c r="CO43" s="45">
        <v>276.11720189999994</v>
      </c>
      <c r="CP43" s="45">
        <v>284.65837943999986</v>
      </c>
      <c r="CQ43" s="45">
        <v>297.72911153000007</v>
      </c>
      <c r="CR43" s="45">
        <v>291.83820074000005</v>
      </c>
      <c r="CS43" s="45">
        <v>361.1888930099999</v>
      </c>
      <c r="CT43" s="45">
        <v>288.34147553999992</v>
      </c>
      <c r="CU43" s="45">
        <v>247.42195082000001</v>
      </c>
      <c r="CV43" s="45">
        <v>258.61700613999994</v>
      </c>
      <c r="CW43" s="45">
        <v>289.50037502000004</v>
      </c>
      <c r="CX43" s="45">
        <v>318.46740002000001</v>
      </c>
      <c r="CY43" s="45">
        <v>481.90284591000011</v>
      </c>
      <c r="CZ43" s="45">
        <f t="shared" si="9"/>
        <v>3602.61045044</v>
      </c>
      <c r="DA43" s="45">
        <f>DA44+DA47</f>
        <v>3597.977707</v>
      </c>
      <c r="DB43" s="45">
        <v>219.12039797999915</v>
      </c>
      <c r="DC43" s="45">
        <v>289.09343052000008</v>
      </c>
      <c r="DD43" s="45">
        <v>309.67266647999992</v>
      </c>
      <c r="DE43" s="45">
        <v>308.24217918000045</v>
      </c>
      <c r="DF43" s="45">
        <v>320.82439329000005</v>
      </c>
      <c r="DG43" s="45">
        <v>401.72547276000091</v>
      </c>
      <c r="DH43" s="45">
        <v>324.90227302000056</v>
      </c>
      <c r="DI43" s="45">
        <v>278.45652350000012</v>
      </c>
      <c r="DJ43" s="45">
        <v>284.56914532000042</v>
      </c>
      <c r="DK43" s="45">
        <v>326.5278383199992</v>
      </c>
      <c r="DL43" s="45">
        <v>398.14209794999914</v>
      </c>
      <c r="DM43" s="45">
        <v>523.96756392999976</v>
      </c>
      <c r="DN43" s="45">
        <f t="shared" si="20"/>
        <v>3985.2439822499996</v>
      </c>
      <c r="DO43" s="45">
        <f>DO44+DO47</f>
        <v>3981.488773</v>
      </c>
      <c r="DP43" s="42">
        <v>253.64821232999984</v>
      </c>
      <c r="DQ43" s="42">
        <v>322.44344043999951</v>
      </c>
      <c r="DR43" s="42">
        <v>316.79089060000007</v>
      </c>
      <c r="DS43" s="42">
        <v>323.10515691999984</v>
      </c>
      <c r="DT43" s="42">
        <v>338.39663285000029</v>
      </c>
      <c r="DU43" s="42">
        <v>389.66482246000112</v>
      </c>
      <c r="DV43" s="42">
        <v>339.87566108999977</v>
      </c>
      <c r="DW43" s="53">
        <v>291.70835484000037</v>
      </c>
      <c r="DX43" s="53">
        <v>288.44713984999976</v>
      </c>
      <c r="DY43" s="42">
        <v>348.01724021999945</v>
      </c>
      <c r="DZ43" s="42">
        <v>376.80271585000014</v>
      </c>
      <c r="EA43" s="42">
        <v>532.66319678000036</v>
      </c>
      <c r="EB43" s="42">
        <f t="shared" ref="EB43:EB73" si="31">SUM(DP43:EA43)</f>
        <v>4121.563464230001</v>
      </c>
      <c r="EC43" s="45">
        <f>EC44+EC47</f>
        <v>4116.1908789999998</v>
      </c>
      <c r="ED43" s="42">
        <v>247.04512004000082</v>
      </c>
      <c r="EE43" s="42">
        <v>316.67422300000084</v>
      </c>
      <c r="EF43" s="50">
        <v>331.97843844999886</v>
      </c>
      <c r="EG43" s="50">
        <v>336.11919569999952</v>
      </c>
      <c r="EH43" s="50">
        <v>307.82344079000057</v>
      </c>
      <c r="EI43" s="42">
        <v>390.06285223000026</v>
      </c>
      <c r="EJ43" s="42">
        <v>375.37884459999998</v>
      </c>
      <c r="EK43" s="42">
        <v>291.10018473000025</v>
      </c>
      <c r="EL43" s="42">
        <v>312.67962255999925</v>
      </c>
      <c r="EM43" s="42">
        <v>350.14806300000004</v>
      </c>
      <c r="EN43" s="42">
        <v>367.42788807099993</v>
      </c>
      <c r="EO43" s="42">
        <v>561.84881901000176</v>
      </c>
      <c r="EP43" s="50">
        <f t="shared" si="11"/>
        <v>4188.2866921810019</v>
      </c>
      <c r="EQ43" s="45">
        <f>EQ44+EQ47</f>
        <v>4182.3819830000002</v>
      </c>
      <c r="ER43" s="42">
        <v>227.0756726599995</v>
      </c>
      <c r="ES43" s="42">
        <v>334.31624601999977</v>
      </c>
      <c r="ET43" s="42">
        <v>355.83323738999991</v>
      </c>
      <c r="EU43" s="42">
        <v>364.2610761200005</v>
      </c>
      <c r="EV43" s="42">
        <v>349.03815861999988</v>
      </c>
      <c r="EW43" s="42">
        <v>473.45061673000066</v>
      </c>
      <c r="EX43" s="42">
        <v>350.40425700000043</v>
      </c>
      <c r="EY43" s="42">
        <v>312.64093353999925</v>
      </c>
      <c r="EZ43" s="42">
        <v>339.90719000000001</v>
      </c>
      <c r="FA43" s="42">
        <v>358.78001999999998</v>
      </c>
      <c r="FB43" s="42">
        <v>404.63933391000165</v>
      </c>
      <c r="FC43" s="42">
        <v>628.74905924999996</v>
      </c>
      <c r="FD43" s="50">
        <f t="shared" si="12"/>
        <v>4499.0958012400024</v>
      </c>
      <c r="FE43" s="45">
        <f>FE44+FE47</f>
        <v>4494.132278</v>
      </c>
      <c r="FF43" s="45">
        <v>280.60330320999969</v>
      </c>
      <c r="FG43" s="45">
        <v>355.86792392000007</v>
      </c>
      <c r="FH43" s="45">
        <v>375.6781342000001</v>
      </c>
      <c r="FI43" s="45">
        <v>387.6971761999996</v>
      </c>
      <c r="FJ43" s="45">
        <v>411.52016903999936</v>
      </c>
      <c r="FK43" s="45">
        <v>473.55859402999937</v>
      </c>
      <c r="FL43" s="45">
        <v>410.88490657000045</v>
      </c>
      <c r="FM43" s="45">
        <v>347.47830818000028</v>
      </c>
      <c r="FN43" s="45">
        <v>570.97059268999976</v>
      </c>
      <c r="FO43" s="45">
        <v>636.68365367999854</v>
      </c>
      <c r="FP43" s="45">
        <v>441.44281328999972</v>
      </c>
      <c r="FQ43" s="45">
        <v>741.02252599999952</v>
      </c>
      <c r="FR43" s="50">
        <f t="shared" si="13"/>
        <v>5433.4081010099962</v>
      </c>
      <c r="FS43" s="45">
        <f>FS44+FS47</f>
        <v>5429.1665680000006</v>
      </c>
      <c r="FT43" s="45">
        <v>315.2399755700003</v>
      </c>
      <c r="FU43" s="45">
        <v>421.59901554999965</v>
      </c>
      <c r="FV43" s="45">
        <v>454.54123300000083</v>
      </c>
      <c r="FW43" s="45">
        <v>432.46253074000015</v>
      </c>
      <c r="FX43" s="45">
        <v>438.65483469000031</v>
      </c>
      <c r="FY43" s="45">
        <v>547.00185396999893</v>
      </c>
      <c r="FZ43" s="45">
        <v>453.68063520000015</v>
      </c>
      <c r="GA43" s="45">
        <v>416.19244060000011</v>
      </c>
      <c r="GB43" s="45">
        <v>435.97891759999993</v>
      </c>
      <c r="GC43" s="45">
        <v>477.38684570000004</v>
      </c>
      <c r="GD43" s="45">
        <v>504.22485894000005</v>
      </c>
      <c r="GE43" s="45">
        <v>1022.4160426899999</v>
      </c>
      <c r="GF43" s="50">
        <f t="shared" si="14"/>
        <v>5919.3791842500004</v>
      </c>
      <c r="GG43" s="45">
        <f>GG44+GG47</f>
        <v>5914.3134700000001</v>
      </c>
      <c r="GH43" s="45">
        <v>383.639021659999</v>
      </c>
      <c r="GI43" s="45">
        <v>484.309372</v>
      </c>
      <c r="GJ43" s="45">
        <v>464.52522322000016</v>
      </c>
      <c r="GK43" s="45">
        <v>480.04563628</v>
      </c>
      <c r="GL43" s="45">
        <v>500.84027392999985</v>
      </c>
      <c r="GM43" s="45">
        <v>587.87536599999999</v>
      </c>
      <c r="GN43" s="45">
        <v>507.46581500000002</v>
      </c>
      <c r="GO43" s="45">
        <v>435.60269699999998</v>
      </c>
      <c r="GP43" s="45">
        <v>446.913996</v>
      </c>
      <c r="GQ43" s="45">
        <v>513.78440899999998</v>
      </c>
      <c r="GR43" s="45">
        <v>560.85264955999924</v>
      </c>
      <c r="GS43" s="45">
        <v>853.90191374999995</v>
      </c>
      <c r="GT43" s="50">
        <f t="shared" si="15"/>
        <v>6219.7563733999978</v>
      </c>
      <c r="GU43" s="45">
        <f>GU44+GU47</f>
        <v>6215.5278029999999</v>
      </c>
      <c r="GV43" s="45">
        <v>370.50869250000005</v>
      </c>
      <c r="GW43" s="45">
        <v>611.32277055999998</v>
      </c>
      <c r="GX43" s="45">
        <v>506.68923100000018</v>
      </c>
      <c r="GY43" s="45">
        <v>540.66993700000035</v>
      </c>
      <c r="GZ43" s="45">
        <v>502.5212083800003</v>
      </c>
      <c r="HA43" s="45">
        <v>628.08156914999881</v>
      </c>
      <c r="HB43" s="45">
        <v>557.33201113999939</v>
      </c>
      <c r="HC43" s="45">
        <v>469.25296303000061</v>
      </c>
      <c r="HD43" s="45">
        <v>496.59473854999942</v>
      </c>
      <c r="HE43" s="45">
        <v>541.03606295999987</v>
      </c>
      <c r="HF43" s="45">
        <v>561.05391708999912</v>
      </c>
      <c r="HG43" s="45">
        <v>896.51683626999966</v>
      </c>
      <c r="HH43" s="45">
        <f t="shared" si="6"/>
        <v>6681.5799376299983</v>
      </c>
      <c r="HI43" s="45">
        <v>376.98910222999979</v>
      </c>
      <c r="HJ43" s="45">
        <v>517.36555966999958</v>
      </c>
      <c r="HK43" s="45">
        <v>549.07923550000021</v>
      </c>
      <c r="HL43" s="45">
        <v>553.94485634000034</v>
      </c>
      <c r="HM43" s="45"/>
      <c r="HN43" s="45"/>
      <c r="HO43" s="45"/>
      <c r="HP43" s="45"/>
      <c r="HQ43" s="45"/>
      <c r="HR43" s="45"/>
      <c r="HS43" s="45"/>
      <c r="HT43" s="45"/>
      <c r="HU43" s="276">
        <f t="shared" si="16"/>
        <v>2029.1906309999999</v>
      </c>
      <c r="HV43" s="276">
        <f t="shared" si="17"/>
        <v>1997.3787540000001</v>
      </c>
      <c r="HW43" s="280">
        <f t="shared" si="18"/>
        <v>-31.811876999999868</v>
      </c>
      <c r="HX43" s="280">
        <f t="shared" si="19"/>
        <v>-1.5677125901336808</v>
      </c>
    </row>
    <row r="44" spans="1:233" s="12" customFormat="1" ht="20.5">
      <c r="A44" s="314" t="s">
        <v>121</v>
      </c>
      <c r="B44" s="13">
        <v>1000</v>
      </c>
      <c r="C44" s="47" t="s">
        <v>122</v>
      </c>
      <c r="D44" s="42">
        <v>1981.3541897883331</v>
      </c>
      <c r="E44" s="42">
        <v>2389.288067512422</v>
      </c>
      <c r="F44" s="42">
        <v>1904.0900521340229</v>
      </c>
      <c r="G44" s="42">
        <v>1546.8005589040472</v>
      </c>
      <c r="H44" s="42">
        <v>77.337968338256474</v>
      </c>
      <c r="I44" s="42">
        <v>127.74190448546111</v>
      </c>
      <c r="J44" s="42">
        <v>132.61741955082783</v>
      </c>
      <c r="K44" s="42">
        <v>132.71579319411958</v>
      </c>
      <c r="L44" s="42">
        <v>135.3748728237176</v>
      </c>
      <c r="M44" s="42">
        <v>178.75146588522549</v>
      </c>
      <c r="N44" s="42">
        <v>139.72709318672062</v>
      </c>
      <c r="O44" s="42">
        <v>103.76698197505992</v>
      </c>
      <c r="P44" s="42">
        <v>118.71456480042802</v>
      </c>
      <c r="Q44" s="42">
        <v>128.21120500167899</v>
      </c>
      <c r="R44" s="42">
        <v>136.04761368745767</v>
      </c>
      <c r="S44" s="42">
        <v>198.04281849562611</v>
      </c>
      <c r="T44" s="42">
        <v>1609.0497014245793</v>
      </c>
      <c r="U44" s="42">
        <v>1609.071058218223</v>
      </c>
      <c r="V44" s="42">
        <v>77.161382120761971</v>
      </c>
      <c r="W44" s="42">
        <v>131.39503074825984</v>
      </c>
      <c r="X44" s="42">
        <v>135.71790644333271</v>
      </c>
      <c r="Y44" s="42">
        <v>135.14395935424386</v>
      </c>
      <c r="Z44" s="42">
        <v>137.9925982208411</v>
      </c>
      <c r="AA44" s="42">
        <v>184.28647816460918</v>
      </c>
      <c r="AB44" s="42">
        <v>139.06186383401348</v>
      </c>
      <c r="AC44" s="42">
        <v>111.0311665841401</v>
      </c>
      <c r="AD44" s="42">
        <v>110.85254637139231</v>
      </c>
      <c r="AE44" s="42">
        <v>138.46256550901819</v>
      </c>
      <c r="AF44" s="42">
        <v>147.77018912812107</v>
      </c>
      <c r="AG44" s="42">
        <v>192.02547082828218</v>
      </c>
      <c r="AH44" s="42">
        <v>1640.9011573070156</v>
      </c>
      <c r="AI44" s="42">
        <v>1640.8807462678074</v>
      </c>
      <c r="AJ44" s="42">
        <v>83.338802852573394</v>
      </c>
      <c r="AK44" s="42">
        <v>138.33448568875534</v>
      </c>
      <c r="AL44" s="42">
        <v>141.62415410270859</v>
      </c>
      <c r="AM44" s="42">
        <v>141.82625208450722</v>
      </c>
      <c r="AN44" s="42">
        <v>150.18764836284367</v>
      </c>
      <c r="AO44" s="42">
        <v>193.05068838538199</v>
      </c>
      <c r="AP44" s="42">
        <v>152.76017353344602</v>
      </c>
      <c r="AQ44" s="42">
        <v>120.11940878253397</v>
      </c>
      <c r="AR44" s="42">
        <v>120.45252872778185</v>
      </c>
      <c r="AS44" s="42">
        <v>145.00724953187517</v>
      </c>
      <c r="AT44" s="42">
        <v>152.04649518215606</v>
      </c>
      <c r="AU44" s="42">
        <v>218.76277312024408</v>
      </c>
      <c r="AV44" s="42">
        <v>1757.5106603548074</v>
      </c>
      <c r="AW44" s="42">
        <v>1757.6939004331223</v>
      </c>
      <c r="AX44" s="42">
        <f>AX45+AX46</f>
        <v>90.354750999999993</v>
      </c>
      <c r="AY44" s="42">
        <f>AY45+AY46</f>
        <v>148.36780977000001</v>
      </c>
      <c r="AZ44" s="42">
        <f t="shared" ref="AZ44:BG44" si="32">AZ45+AZ46</f>
        <v>146.07941175000002</v>
      </c>
      <c r="BA44" s="42">
        <f t="shared" si="32"/>
        <v>165.01893580999999</v>
      </c>
      <c r="BB44" s="42">
        <f t="shared" si="32"/>
        <v>148.06617459</v>
      </c>
      <c r="BC44" s="42">
        <f t="shared" si="32"/>
        <v>204.69005601999999</v>
      </c>
      <c r="BD44" s="42">
        <f t="shared" si="32"/>
        <v>162.93488116999998</v>
      </c>
      <c r="BE44" s="42">
        <f t="shared" si="32"/>
        <v>124.48180457000001</v>
      </c>
      <c r="BF44" s="42">
        <f t="shared" si="32"/>
        <v>132.68667681000005</v>
      </c>
      <c r="BG44" s="42">
        <f t="shared" si="32"/>
        <v>158.42020874999992</v>
      </c>
      <c r="BH44" s="42">
        <f>BH45+BH46</f>
        <v>160.36160991999998</v>
      </c>
      <c r="BI44" s="42">
        <f>BI45+BI46</f>
        <v>217.39740795</v>
      </c>
      <c r="BJ44" s="45">
        <f t="shared" si="28"/>
        <v>1858.8597281099997</v>
      </c>
      <c r="BK44" s="42">
        <f>BK45+BK46</f>
        <v>1858.8678090000001</v>
      </c>
      <c r="BL44" s="42">
        <f>BL45+BL46</f>
        <v>108.74791278000001</v>
      </c>
      <c r="BM44" s="42">
        <v>157.89693541000008</v>
      </c>
      <c r="BN44" s="42">
        <v>161.01889505999995</v>
      </c>
      <c r="BO44" s="42">
        <v>171.79931005999998</v>
      </c>
      <c r="BP44" s="42">
        <v>158.22797377000006</v>
      </c>
      <c r="BQ44" s="42">
        <v>220.78062826999994</v>
      </c>
      <c r="BR44" s="42">
        <v>180.09171251000001</v>
      </c>
      <c r="BS44" s="42">
        <v>134.02225917999999</v>
      </c>
      <c r="BT44" s="42">
        <v>140.05806995999998</v>
      </c>
      <c r="BU44" s="42">
        <v>162.04500359999997</v>
      </c>
      <c r="BV44" s="42">
        <v>164.26843539999993</v>
      </c>
      <c r="BW44" s="42">
        <v>228.39866995</v>
      </c>
      <c r="BX44" s="45">
        <f t="shared" si="4"/>
        <v>1987.3558059500001</v>
      </c>
      <c r="BY44" s="45">
        <f>BY45+BY46</f>
        <v>1987.4546789999999</v>
      </c>
      <c r="BZ44" s="45">
        <v>108.49884703000008</v>
      </c>
      <c r="CA44" s="45">
        <v>161.50974904000003</v>
      </c>
      <c r="CB44" s="45">
        <v>167.94415363000002</v>
      </c>
      <c r="CC44" s="45">
        <v>171.70571576000003</v>
      </c>
      <c r="CD44" s="45">
        <v>172.18533644000004</v>
      </c>
      <c r="CE44" s="139">
        <v>227.03101910000007</v>
      </c>
      <c r="CF44" s="45">
        <v>183.36339111000004</v>
      </c>
      <c r="CG44" s="45">
        <v>137.40241907999996</v>
      </c>
      <c r="CH44" s="45">
        <v>145.79812353999984</v>
      </c>
      <c r="CI44" s="45">
        <v>169.77249532000002</v>
      </c>
      <c r="CJ44" s="45">
        <v>180.08313235000003</v>
      </c>
      <c r="CK44" s="45">
        <v>270.54465248999992</v>
      </c>
      <c r="CL44" s="45">
        <f t="shared" si="5"/>
        <v>2095.8390348899998</v>
      </c>
      <c r="CM44" s="45">
        <f>CM45+CM46</f>
        <v>2095.8447919999999</v>
      </c>
      <c r="CN44" s="45">
        <v>112.96396241000002</v>
      </c>
      <c r="CO44" s="45">
        <v>175.00756321000009</v>
      </c>
      <c r="CP44" s="45">
        <v>186.99003798999991</v>
      </c>
      <c r="CQ44" s="45">
        <v>187.53064288999997</v>
      </c>
      <c r="CR44" s="45">
        <v>188.09792962</v>
      </c>
      <c r="CS44" s="45">
        <v>257.47343033000004</v>
      </c>
      <c r="CT44" s="45">
        <v>193.74282722999993</v>
      </c>
      <c r="CU44" s="45">
        <v>154.58063434000002</v>
      </c>
      <c r="CV44" s="45">
        <v>161.75519073999999</v>
      </c>
      <c r="CW44" s="45">
        <v>182.61059005000004</v>
      </c>
      <c r="CX44" s="45">
        <v>199.96711263</v>
      </c>
      <c r="CY44" s="45">
        <v>287.69903287</v>
      </c>
      <c r="CZ44" s="45">
        <f t="shared" si="9"/>
        <v>2288.4189543099997</v>
      </c>
      <c r="DA44" s="45">
        <f>DA45+DA46</f>
        <v>2288.3947480000002</v>
      </c>
      <c r="DB44" s="45">
        <v>115.38425697000011</v>
      </c>
      <c r="DC44" s="45">
        <v>189.62566869000003</v>
      </c>
      <c r="DD44" s="45">
        <v>199.5075227800003</v>
      </c>
      <c r="DE44" s="45">
        <v>196.99810869000018</v>
      </c>
      <c r="DF44" s="45">
        <v>203.29063831000002</v>
      </c>
      <c r="DG44" s="45">
        <v>274.74045675000013</v>
      </c>
      <c r="DH44" s="45">
        <v>209.7376404</v>
      </c>
      <c r="DI44" s="45">
        <v>172.14485551999974</v>
      </c>
      <c r="DJ44" s="45">
        <v>167.25879661000002</v>
      </c>
      <c r="DK44" s="45">
        <v>201.70662682999983</v>
      </c>
      <c r="DL44" s="45">
        <v>224.74125146000009</v>
      </c>
      <c r="DM44" s="45">
        <v>296.95097990000011</v>
      </c>
      <c r="DN44" s="45">
        <f t="shared" si="20"/>
        <v>2452.0868029100006</v>
      </c>
      <c r="DO44" s="45">
        <f>DO45+DO46</f>
        <v>2452.0962559999998</v>
      </c>
      <c r="DP44" s="42">
        <v>149.66823829000015</v>
      </c>
      <c r="DQ44" s="42">
        <v>206.83719307999996</v>
      </c>
      <c r="DR44" s="42">
        <v>204.46284083999998</v>
      </c>
      <c r="DS44" s="42">
        <v>211.03150399999973</v>
      </c>
      <c r="DT44" s="42">
        <v>220.33338266999937</v>
      </c>
      <c r="DU44" s="42">
        <v>277.54869877999971</v>
      </c>
      <c r="DV44" s="42">
        <v>225.85583762999985</v>
      </c>
      <c r="DW44" s="42">
        <v>179.98985210999979</v>
      </c>
      <c r="DX44" s="42">
        <v>179.25990427000016</v>
      </c>
      <c r="DY44" s="42">
        <v>210.4609275399998</v>
      </c>
      <c r="DZ44" s="42">
        <v>232.56344817999957</v>
      </c>
      <c r="EA44" s="42">
        <v>313.87523302</v>
      </c>
      <c r="EB44" s="42">
        <f t="shared" si="31"/>
        <v>2611.887060409998</v>
      </c>
      <c r="EC44" s="45">
        <f>EC45+EC46</f>
        <v>2611.9480790000002</v>
      </c>
      <c r="ED44" s="42">
        <v>140.79306794999997</v>
      </c>
      <c r="EE44" s="42">
        <v>210.28003000000004</v>
      </c>
      <c r="EF44" s="50">
        <v>218.34264936999998</v>
      </c>
      <c r="EG44" s="50">
        <v>233.03587331999995</v>
      </c>
      <c r="EH44" s="50">
        <v>212.17394878999994</v>
      </c>
      <c r="EI44" s="42">
        <v>281.87736780000006</v>
      </c>
      <c r="EJ44" s="42">
        <v>235.93963664999967</v>
      </c>
      <c r="EK44" s="42">
        <v>187.03379572999984</v>
      </c>
      <c r="EL44" s="42">
        <v>197.39247849</v>
      </c>
      <c r="EM44" s="42">
        <v>219.5371949999998</v>
      </c>
      <c r="EN44" s="42">
        <v>236.01733705999948</v>
      </c>
      <c r="EO44" s="42">
        <v>339.63910301000021</v>
      </c>
      <c r="EP44" s="50">
        <f t="shared" si="11"/>
        <v>2712.0624831699993</v>
      </c>
      <c r="EQ44" s="45">
        <f>EQ45+EQ46</f>
        <v>2712.2055829999999</v>
      </c>
      <c r="ER44" s="42">
        <v>140.43139599000014</v>
      </c>
      <c r="ES44" s="42">
        <v>226.71096801999985</v>
      </c>
      <c r="ET44" s="42">
        <v>240.90416922000003</v>
      </c>
      <c r="EU44" s="42">
        <v>249.13833011999992</v>
      </c>
      <c r="EV44" s="42">
        <v>237.32824662000016</v>
      </c>
      <c r="EW44" s="42">
        <v>337.02027672999969</v>
      </c>
      <c r="EX44" s="42">
        <v>235.84109099999989</v>
      </c>
      <c r="EY44" s="42">
        <v>202.39155353999982</v>
      </c>
      <c r="EZ44" s="42">
        <v>211.39183399999999</v>
      </c>
      <c r="FA44" s="42">
        <v>233.040909</v>
      </c>
      <c r="FB44" s="42">
        <v>251.92449791000004</v>
      </c>
      <c r="FC44" s="42">
        <v>373.51696124999967</v>
      </c>
      <c r="FD44" s="50">
        <f t="shared" si="12"/>
        <v>2939.6402333999986</v>
      </c>
      <c r="FE44" s="45">
        <f>FE45+FE46</f>
        <v>2939.510773</v>
      </c>
      <c r="FF44" s="45">
        <v>148.50104319000002</v>
      </c>
      <c r="FG44" s="45">
        <v>229.95540949999994</v>
      </c>
      <c r="FH44" s="45">
        <v>234.72222082000005</v>
      </c>
      <c r="FI44" s="45">
        <v>251.00106020000018</v>
      </c>
      <c r="FJ44" s="45">
        <v>262.23960874000022</v>
      </c>
      <c r="FK44" s="45">
        <v>329.95605040000015</v>
      </c>
      <c r="FL44" s="45">
        <v>270.33952856999997</v>
      </c>
      <c r="FM44" s="45">
        <v>214.34359617999999</v>
      </c>
      <c r="FN44" s="45">
        <v>230.65654768999985</v>
      </c>
      <c r="FO44" s="45">
        <v>254.96253367999992</v>
      </c>
      <c r="FP44" s="45">
        <v>274.17186649999996</v>
      </c>
      <c r="FQ44" s="45">
        <v>419.32152399999984</v>
      </c>
      <c r="FR44" s="50">
        <f t="shared" si="13"/>
        <v>3120.1709894700002</v>
      </c>
      <c r="FS44" s="45">
        <f>FS45+FS46</f>
        <v>3120.1247400000002</v>
      </c>
      <c r="FT44" s="45">
        <v>162.51983886999994</v>
      </c>
      <c r="FU44" s="45">
        <v>268.16788425999982</v>
      </c>
      <c r="FV44" s="45">
        <v>280.87482999999986</v>
      </c>
      <c r="FW44" s="45">
        <v>280.44052761000029</v>
      </c>
      <c r="FX44" s="45">
        <v>290.13030068999984</v>
      </c>
      <c r="FY44" s="45">
        <v>393.56253522999953</v>
      </c>
      <c r="FZ44" s="45">
        <v>301.25939948000018</v>
      </c>
      <c r="GA44" s="45">
        <v>257.75570133999997</v>
      </c>
      <c r="GB44" s="45">
        <v>265.40622524000008</v>
      </c>
      <c r="GC44" s="45">
        <v>301.40895153999986</v>
      </c>
      <c r="GD44" s="45">
        <v>321.44065960999995</v>
      </c>
      <c r="GE44" s="45">
        <v>478.46286169000035</v>
      </c>
      <c r="GF44" s="50">
        <f t="shared" si="14"/>
        <v>3601.4297155599993</v>
      </c>
      <c r="GG44" s="45">
        <f>GG45+GG46</f>
        <v>3601.4315489999999</v>
      </c>
      <c r="GH44" s="45">
        <v>223.83875942999998</v>
      </c>
      <c r="GI44" s="45">
        <v>323.65563018</v>
      </c>
      <c r="GJ44" s="45">
        <v>326.71297722000003</v>
      </c>
      <c r="GK44" s="45">
        <v>325.69116627999966</v>
      </c>
      <c r="GL44" s="45">
        <v>348.17833393000001</v>
      </c>
      <c r="GM44" s="45">
        <v>426.18562840999988</v>
      </c>
      <c r="GN44" s="45">
        <v>354.724175</v>
      </c>
      <c r="GO44" s="45">
        <v>293.32455604000012</v>
      </c>
      <c r="GP44" s="45">
        <v>285.46077000000002</v>
      </c>
      <c r="GQ44" s="45">
        <v>332.08216167000023</v>
      </c>
      <c r="GR44" s="45">
        <v>350.87509255999998</v>
      </c>
      <c r="GS44" s="45">
        <v>493.13872675000016</v>
      </c>
      <c r="GT44" s="50">
        <f t="shared" si="15"/>
        <v>4083.8679774700004</v>
      </c>
      <c r="GU44" s="45">
        <f>GU45+GU46</f>
        <v>4083.856808</v>
      </c>
      <c r="GV44" s="45">
        <v>227.20300063999977</v>
      </c>
      <c r="GW44" s="45">
        <v>338.19006372000007</v>
      </c>
      <c r="GX44" s="45">
        <v>337.73241100000007</v>
      </c>
      <c r="GY44" s="45">
        <v>382.15749400000016</v>
      </c>
      <c r="GZ44" s="45">
        <v>345.72785433000024</v>
      </c>
      <c r="HA44" s="45">
        <v>445.6872302499998</v>
      </c>
      <c r="HB44" s="45">
        <v>388.15365343000002</v>
      </c>
      <c r="HC44" s="45">
        <v>319.72979395999982</v>
      </c>
      <c r="HD44" s="45">
        <v>309.23716334000017</v>
      </c>
      <c r="HE44" s="45">
        <v>363.54683335000016</v>
      </c>
      <c r="HF44" s="45">
        <v>358.5527793600001</v>
      </c>
      <c r="HG44" s="45">
        <v>530.34619499999997</v>
      </c>
      <c r="HH44" s="45">
        <f t="shared" si="6"/>
        <v>4346.2644723800004</v>
      </c>
      <c r="HI44" s="45">
        <v>233.26460235000002</v>
      </c>
      <c r="HJ44" s="45">
        <v>347.51995044000012</v>
      </c>
      <c r="HK44" s="45">
        <v>352.62499376000022</v>
      </c>
      <c r="HL44" s="45">
        <v>379.36556888000007</v>
      </c>
      <c r="HM44" s="45"/>
      <c r="HN44" s="45"/>
      <c r="HO44" s="45"/>
      <c r="HP44" s="45"/>
      <c r="HQ44" s="45"/>
      <c r="HR44" s="45"/>
      <c r="HS44" s="45"/>
      <c r="HT44" s="45"/>
      <c r="HU44" s="276">
        <f t="shared" si="16"/>
        <v>1285.2829690000001</v>
      </c>
      <c r="HV44" s="276">
        <f t="shared" si="17"/>
        <v>1312.7751149999999</v>
      </c>
      <c r="HW44" s="280">
        <f t="shared" si="18"/>
        <v>27.492145999999821</v>
      </c>
      <c r="HX44" s="280">
        <f t="shared" si="19"/>
        <v>2.1389955879824498</v>
      </c>
    </row>
    <row r="45" spans="1:233" s="12" customFormat="1" ht="20.5">
      <c r="A45" s="314" t="s">
        <v>123</v>
      </c>
      <c r="B45" s="13">
        <v>1100</v>
      </c>
      <c r="C45" s="48" t="s">
        <v>124</v>
      </c>
      <c r="D45" s="42">
        <v>1507.7615850222819</v>
      </c>
      <c r="E45" s="42">
        <v>1806.7107884986428</v>
      </c>
      <c r="F45" s="42">
        <v>1463.7486994951651</v>
      </c>
      <c r="G45" s="42">
        <v>1204.3018793290873</v>
      </c>
      <c r="H45" s="42">
        <v>61.294640525665763</v>
      </c>
      <c r="I45" s="42">
        <v>100.10521240630389</v>
      </c>
      <c r="J45" s="42">
        <v>103.68765332866631</v>
      </c>
      <c r="K45" s="42">
        <v>104.88577291819628</v>
      </c>
      <c r="L45" s="42">
        <v>107.60004955862519</v>
      </c>
      <c r="M45" s="42">
        <v>148.70417187437752</v>
      </c>
      <c r="N45" s="42">
        <v>106.44943682733735</v>
      </c>
      <c r="O45" s="42">
        <v>78.187188746791421</v>
      </c>
      <c r="P45" s="42">
        <v>92.606228763638228</v>
      </c>
      <c r="Q45" s="42">
        <v>100.06564419098356</v>
      </c>
      <c r="R45" s="42">
        <v>106.90473295541858</v>
      </c>
      <c r="S45" s="42">
        <v>152.7325245160813</v>
      </c>
      <c r="T45" s="42">
        <v>1263.2232566120856</v>
      </c>
      <c r="U45" s="42">
        <v>1263.2389272115695</v>
      </c>
      <c r="V45" s="42">
        <v>61.47725254836341</v>
      </c>
      <c r="W45" s="42">
        <v>103.0924058485723</v>
      </c>
      <c r="X45" s="42">
        <v>105.82132125030591</v>
      </c>
      <c r="Y45" s="42">
        <v>105.14689360049174</v>
      </c>
      <c r="Z45" s="42">
        <v>108.19233385125867</v>
      </c>
      <c r="AA45" s="42">
        <v>151.06135423247449</v>
      </c>
      <c r="AB45" s="42">
        <v>103.32695196669343</v>
      </c>
      <c r="AC45" s="42">
        <v>82.187621299821856</v>
      </c>
      <c r="AD45" s="42">
        <v>84.499346901838919</v>
      </c>
      <c r="AE45" s="42">
        <v>107.54819238365178</v>
      </c>
      <c r="AF45" s="42">
        <v>115.2572096914645</v>
      </c>
      <c r="AG45" s="42">
        <v>148.98977097455338</v>
      </c>
      <c r="AH45" s="42">
        <v>1276.6006545494906</v>
      </c>
      <c r="AI45" s="42">
        <v>1276.5998272633622</v>
      </c>
      <c r="AJ45" s="42">
        <v>65.653862243242784</v>
      </c>
      <c r="AK45" s="42">
        <v>107.12167528926986</v>
      </c>
      <c r="AL45" s="42">
        <v>110.68320470572166</v>
      </c>
      <c r="AM45" s="42">
        <v>110.3601242451665</v>
      </c>
      <c r="AN45" s="42">
        <v>118.27017068770239</v>
      </c>
      <c r="AO45" s="42">
        <v>157.45993477555621</v>
      </c>
      <c r="AP45" s="42">
        <v>112.30182952857412</v>
      </c>
      <c r="AQ45" s="42">
        <v>87.654057176680837</v>
      </c>
      <c r="AR45" s="42">
        <v>91.985148064040615</v>
      </c>
      <c r="AS45" s="42">
        <v>112.52797792841248</v>
      </c>
      <c r="AT45" s="42">
        <v>118.96420765960353</v>
      </c>
      <c r="AU45" s="42">
        <v>170.77021331694186</v>
      </c>
      <c r="AV45" s="42">
        <v>1363.7524056209129</v>
      </c>
      <c r="AW45" s="42">
        <v>1363.9246959322941</v>
      </c>
      <c r="AX45" s="42">
        <v>69.472049999999996</v>
      </c>
      <c r="AY45" s="42">
        <v>115.873728</v>
      </c>
      <c r="AZ45" s="42">
        <v>113.89502289000001</v>
      </c>
      <c r="BA45" s="42">
        <v>130.50467003</v>
      </c>
      <c r="BB45" s="42">
        <v>115.04998619</v>
      </c>
      <c r="BC45" s="42">
        <v>166.11801557999999</v>
      </c>
      <c r="BD45" s="42">
        <v>119.73716931999999</v>
      </c>
      <c r="BE45" s="42">
        <v>90.229284790000008</v>
      </c>
      <c r="BF45" s="42">
        <v>100.75061357000004</v>
      </c>
      <c r="BG45" s="42">
        <v>123.58471042999992</v>
      </c>
      <c r="BH45" s="42">
        <v>124.91736541</v>
      </c>
      <c r="BI45" s="42">
        <v>168.09056028000001</v>
      </c>
      <c r="BJ45" s="45">
        <f t="shared" si="28"/>
        <v>1438.22317649</v>
      </c>
      <c r="BK45" s="42">
        <v>1438.2288960000001</v>
      </c>
      <c r="BL45" s="42">
        <v>84.944212460000003</v>
      </c>
      <c r="BM45" s="42">
        <v>121.62157806000008</v>
      </c>
      <c r="BN45" s="42">
        <v>124.21233872999998</v>
      </c>
      <c r="BO45" s="42">
        <v>134.98171284</v>
      </c>
      <c r="BP45" s="42">
        <v>122.03026769000006</v>
      </c>
      <c r="BQ45" s="42">
        <v>177.98502230999995</v>
      </c>
      <c r="BR45" s="42">
        <v>131.52371212</v>
      </c>
      <c r="BS45" s="42">
        <v>95.975426310000003</v>
      </c>
      <c r="BT45" s="42">
        <v>106.05589589999998</v>
      </c>
      <c r="BU45" s="42">
        <v>125.06798898999998</v>
      </c>
      <c r="BV45" s="42">
        <v>127.86568520999995</v>
      </c>
      <c r="BW45" s="42">
        <v>178.40926084999998</v>
      </c>
      <c r="BX45" s="45">
        <f t="shared" si="4"/>
        <v>1530.6731014700001</v>
      </c>
      <c r="BY45" s="45">
        <v>1530.8248739999999</v>
      </c>
      <c r="BZ45" s="45">
        <v>83.348518390000066</v>
      </c>
      <c r="CA45" s="45">
        <v>124.59341821000004</v>
      </c>
      <c r="CB45" s="45">
        <v>129.60608623000002</v>
      </c>
      <c r="CC45" s="45">
        <v>133.13670822</v>
      </c>
      <c r="CD45" s="45">
        <v>133.76475330000005</v>
      </c>
      <c r="CE45" s="139">
        <v>181.80926853000008</v>
      </c>
      <c r="CF45" s="45">
        <v>134.02096085000005</v>
      </c>
      <c r="CG45" s="45">
        <v>98.540246929999967</v>
      </c>
      <c r="CH45" s="45">
        <v>109.89895700999985</v>
      </c>
      <c r="CI45" s="45">
        <v>129.92930044000002</v>
      </c>
      <c r="CJ45" s="45">
        <v>141.24619247000001</v>
      </c>
      <c r="CK45" s="45">
        <v>210.34685443999993</v>
      </c>
      <c r="CL45" s="45">
        <f t="shared" si="5"/>
        <v>1610.2412650200001</v>
      </c>
      <c r="CM45" s="45">
        <v>1610.1686549999999</v>
      </c>
      <c r="CN45" s="45">
        <v>85.707041670000024</v>
      </c>
      <c r="CO45" s="45">
        <v>135.28382573000007</v>
      </c>
      <c r="CP45" s="45">
        <v>143.80455083999993</v>
      </c>
      <c r="CQ45" s="45">
        <v>144.99252275999999</v>
      </c>
      <c r="CR45" s="45">
        <v>145.57171308000002</v>
      </c>
      <c r="CS45" s="45">
        <v>207.03353326000001</v>
      </c>
      <c r="CT45" s="45">
        <v>139.81942834999992</v>
      </c>
      <c r="CU45" s="45">
        <v>110.32358419000002</v>
      </c>
      <c r="CV45" s="45">
        <v>120.91081758000001</v>
      </c>
      <c r="CW45" s="45">
        <v>139.68130788000005</v>
      </c>
      <c r="CX45" s="45">
        <v>155.49625139</v>
      </c>
      <c r="CY45" s="45">
        <v>224.56338910000002</v>
      </c>
      <c r="CZ45" s="45">
        <f t="shared" si="9"/>
        <v>1753.1879658299999</v>
      </c>
      <c r="DA45" s="45">
        <v>1753.1738760000001</v>
      </c>
      <c r="DB45" s="45">
        <v>86.625900810000104</v>
      </c>
      <c r="DC45" s="45">
        <v>146.08120136000014</v>
      </c>
      <c r="DD45" s="45">
        <v>153.76229135000008</v>
      </c>
      <c r="DE45" s="45">
        <v>150.18300930999999</v>
      </c>
      <c r="DF45" s="45">
        <v>156.05478377999995</v>
      </c>
      <c r="DG45" s="45">
        <v>218.55146757000006</v>
      </c>
      <c r="DH45" s="45">
        <v>150.92607757999986</v>
      </c>
      <c r="DI45" s="45">
        <v>122.34771144999999</v>
      </c>
      <c r="DJ45" s="45">
        <v>123.70204415000006</v>
      </c>
      <c r="DK45" s="45">
        <v>154.62732499999993</v>
      </c>
      <c r="DL45" s="45">
        <v>174.94429131000004</v>
      </c>
      <c r="DM45" s="45">
        <v>227.25301401999999</v>
      </c>
      <c r="DN45" s="45">
        <f t="shared" si="20"/>
        <v>1865.05911769</v>
      </c>
      <c r="DO45" s="45">
        <v>1865.079013</v>
      </c>
      <c r="DP45" s="42">
        <v>92.944738499999985</v>
      </c>
      <c r="DQ45" s="42">
        <v>151.29649215000003</v>
      </c>
      <c r="DR45" s="42">
        <v>156.38458304999992</v>
      </c>
      <c r="DS45" s="42">
        <v>161.25347005999998</v>
      </c>
      <c r="DT45" s="42">
        <v>169.85747422999995</v>
      </c>
      <c r="DU45" s="42">
        <v>219.41347703999998</v>
      </c>
      <c r="DV45" s="42">
        <v>163.38448965999996</v>
      </c>
      <c r="DW45" s="42">
        <v>127.03854283999996</v>
      </c>
      <c r="DX45" s="42">
        <v>132.84966723999992</v>
      </c>
      <c r="DY45" s="42">
        <v>160.15656264999993</v>
      </c>
      <c r="DZ45" s="42">
        <v>181.00948769999994</v>
      </c>
      <c r="EA45" s="42">
        <v>241.82865970999995</v>
      </c>
      <c r="EB45" s="42">
        <f t="shared" si="31"/>
        <v>1957.4176448299995</v>
      </c>
      <c r="EC45" s="45">
        <v>1957.4891150000001</v>
      </c>
      <c r="ED45" s="42">
        <v>106.26637539000001</v>
      </c>
      <c r="EE45" s="42">
        <v>160.75413800000007</v>
      </c>
      <c r="EF45" s="50">
        <v>167.12748940999973</v>
      </c>
      <c r="EG45" s="50">
        <v>177.43818951999998</v>
      </c>
      <c r="EH45" s="50">
        <v>161.69280182000006</v>
      </c>
      <c r="EI45" s="42">
        <v>222.25181566000003</v>
      </c>
      <c r="EJ45" s="42">
        <v>173.46352150999988</v>
      </c>
      <c r="EK45" s="42">
        <v>132.95477985999995</v>
      </c>
      <c r="EL45" s="42">
        <v>146.30384958000005</v>
      </c>
      <c r="EM45" s="42">
        <v>167.13300289999995</v>
      </c>
      <c r="EN45" s="42">
        <v>182.55215033999932</v>
      </c>
      <c r="EO45" s="42">
        <v>261.20110599999998</v>
      </c>
      <c r="EP45" s="50">
        <f t="shared" si="11"/>
        <v>2059.1392199899992</v>
      </c>
      <c r="EQ45" s="50">
        <v>2059.691433</v>
      </c>
      <c r="ER45" s="42">
        <v>107.08873925999995</v>
      </c>
      <c r="ES45" s="42">
        <v>175.93507472999994</v>
      </c>
      <c r="ET45" s="42">
        <v>186.06775289000015</v>
      </c>
      <c r="EU45" s="42">
        <v>192.91947630000001</v>
      </c>
      <c r="EV45" s="42">
        <v>181.74461538000006</v>
      </c>
      <c r="EW45" s="42">
        <v>266.06604835999997</v>
      </c>
      <c r="EX45" s="42">
        <v>173.52523099999996</v>
      </c>
      <c r="EY45" s="42">
        <v>144.01615004999996</v>
      </c>
      <c r="EZ45" s="42">
        <v>154.99536599999999</v>
      </c>
      <c r="FA45" s="42">
        <v>178.34947800999967</v>
      </c>
      <c r="FB45" s="42">
        <v>193.19381245999992</v>
      </c>
      <c r="FC45" s="42">
        <v>290.12144819999992</v>
      </c>
      <c r="FD45" s="50">
        <f t="shared" si="12"/>
        <v>2244.0231926399997</v>
      </c>
      <c r="FE45" s="50">
        <v>2243.9016489999999</v>
      </c>
      <c r="FF45" s="45">
        <v>110.54766444999998</v>
      </c>
      <c r="FG45" s="45">
        <v>175.46371880000001</v>
      </c>
      <c r="FH45" s="45">
        <v>180.52684434000011</v>
      </c>
      <c r="FI45" s="45">
        <v>191.14983055000002</v>
      </c>
      <c r="FJ45" s="45">
        <v>202.27732870000011</v>
      </c>
      <c r="FK45" s="45">
        <v>261.66923004</v>
      </c>
      <c r="FL45" s="45">
        <v>197.30806767999994</v>
      </c>
      <c r="FM45" s="45">
        <v>152.17053525999998</v>
      </c>
      <c r="FN45" s="45">
        <v>167.6388927699999</v>
      </c>
      <c r="FO45" s="45">
        <v>193.48927958000002</v>
      </c>
      <c r="FP45" s="45">
        <v>209.90702153999987</v>
      </c>
      <c r="FQ45" s="45">
        <v>321.70774200000005</v>
      </c>
      <c r="FR45" s="50">
        <f t="shared" si="13"/>
        <v>2363.8561557100002</v>
      </c>
      <c r="FS45" s="50">
        <v>2363.8209820000002</v>
      </c>
      <c r="FT45" s="45">
        <v>119.06151387000004</v>
      </c>
      <c r="FU45" s="45">
        <v>203.74547681999991</v>
      </c>
      <c r="FV45" s="45">
        <v>214.99977799999994</v>
      </c>
      <c r="FW45" s="45">
        <v>213.49671703999999</v>
      </c>
      <c r="FX45" s="45">
        <v>221.53434318999999</v>
      </c>
      <c r="FY45" s="45">
        <v>313.1555529900001</v>
      </c>
      <c r="FZ45" s="45">
        <v>217.20728536000021</v>
      </c>
      <c r="GA45" s="45">
        <v>183.37720559000005</v>
      </c>
      <c r="GB45" s="45">
        <v>196.7032896799999</v>
      </c>
      <c r="GC45" s="45">
        <v>227.50714191000006</v>
      </c>
      <c r="GD45" s="45">
        <v>246.97707731000006</v>
      </c>
      <c r="GE45" s="45">
        <v>366.75653745000028</v>
      </c>
      <c r="GF45" s="50">
        <f t="shared" si="14"/>
        <v>2724.5219192100008</v>
      </c>
      <c r="GG45" s="50">
        <v>2724.5070479999999</v>
      </c>
      <c r="GH45" s="45">
        <v>144.79089217999999</v>
      </c>
      <c r="GI45" s="45">
        <v>240.69908409000004</v>
      </c>
      <c r="GJ45" s="45">
        <v>249.40547970000017</v>
      </c>
      <c r="GK45" s="45">
        <v>247.70572038</v>
      </c>
      <c r="GL45" s="45">
        <v>266.79069293000003</v>
      </c>
      <c r="GM45" s="45">
        <v>337.40933649999982</v>
      </c>
      <c r="GN45" s="45">
        <v>256.88286799999997</v>
      </c>
      <c r="GO45" s="45">
        <v>206.48210680000014</v>
      </c>
      <c r="GP45" s="45">
        <v>207.85477399999999</v>
      </c>
      <c r="GQ45" s="45">
        <v>250.75368394000009</v>
      </c>
      <c r="GR45" s="45">
        <v>268.74627811000011</v>
      </c>
      <c r="GS45" s="45">
        <v>378.54095061000021</v>
      </c>
      <c r="GT45" s="50">
        <f t="shared" si="15"/>
        <v>3056.0618672400005</v>
      </c>
      <c r="GU45" s="50">
        <v>3056.0342230000001</v>
      </c>
      <c r="GV45" s="45">
        <v>170.2927255099998</v>
      </c>
      <c r="GW45" s="45">
        <v>257.33231736000022</v>
      </c>
      <c r="GX45" s="45">
        <v>255.16215199999985</v>
      </c>
      <c r="GY45" s="45">
        <v>294.28428200000002</v>
      </c>
      <c r="GZ45" s="45">
        <v>261.48531818999999</v>
      </c>
      <c r="HA45" s="45">
        <v>349.91513868999999</v>
      </c>
      <c r="HB45" s="45">
        <v>285.17527452000002</v>
      </c>
      <c r="HC45" s="45">
        <v>225.29813164000015</v>
      </c>
      <c r="HD45" s="45">
        <v>225.62914680000009</v>
      </c>
      <c r="HE45" s="45">
        <v>274.43173790999992</v>
      </c>
      <c r="HF45" s="45">
        <v>273.70281834000014</v>
      </c>
      <c r="HG45" s="45">
        <v>403.25310200000007</v>
      </c>
      <c r="HH45" s="50">
        <f t="shared" si="6"/>
        <v>3275.9621449600004</v>
      </c>
      <c r="HI45" s="45">
        <v>174.39505778000006</v>
      </c>
      <c r="HJ45" s="45">
        <v>263.71656597999998</v>
      </c>
      <c r="HK45" s="45">
        <v>267.53953956000004</v>
      </c>
      <c r="HL45" s="45">
        <v>288.66727127000007</v>
      </c>
      <c r="HM45" s="45"/>
      <c r="HN45" s="45"/>
      <c r="HO45" s="45"/>
      <c r="HP45" s="45"/>
      <c r="HQ45" s="45"/>
      <c r="HR45" s="45"/>
      <c r="HS45" s="45"/>
      <c r="HT45" s="45"/>
      <c r="HU45" s="276">
        <f t="shared" si="16"/>
        <v>977.07147699999996</v>
      </c>
      <c r="HV45" s="276">
        <f t="shared" si="17"/>
        <v>994.31843500000002</v>
      </c>
      <c r="HW45" s="280">
        <f t="shared" si="18"/>
        <v>17.246958000000063</v>
      </c>
      <c r="HX45" s="280">
        <f t="shared" si="19"/>
        <v>1.7651685067048675</v>
      </c>
    </row>
    <row r="46" spans="1:233" s="12" customFormat="1" ht="20.5">
      <c r="A46" s="314" t="s">
        <v>125</v>
      </c>
      <c r="B46" s="13">
        <v>1200</v>
      </c>
      <c r="C46" s="77" t="s">
        <v>126</v>
      </c>
      <c r="D46" s="42">
        <v>473.59260476605135</v>
      </c>
      <c r="E46" s="42">
        <v>582.57727901377916</v>
      </c>
      <c r="F46" s="42">
        <v>440.34135263885804</v>
      </c>
      <c r="G46" s="42">
        <v>342.49867957495974</v>
      </c>
      <c r="H46" s="42">
        <v>16.043327812590711</v>
      </c>
      <c r="I46" s="42">
        <v>27.636692079157203</v>
      </c>
      <c r="J46" s="42">
        <v>28.929766222161515</v>
      </c>
      <c r="K46" s="42">
        <v>27.8300202759233</v>
      </c>
      <c r="L46" s="42">
        <v>27.774823265092401</v>
      </c>
      <c r="M46" s="42">
        <v>30.047294010847978</v>
      </c>
      <c r="N46" s="42">
        <v>33.277656359383279</v>
      </c>
      <c r="O46" s="42">
        <v>25.579793228268482</v>
      </c>
      <c r="P46" s="42">
        <v>26.108336036789776</v>
      </c>
      <c r="Q46" s="42">
        <v>28.145560810695443</v>
      </c>
      <c r="R46" s="42">
        <v>29.142880732039089</v>
      </c>
      <c r="S46" s="42">
        <v>45.310293979544788</v>
      </c>
      <c r="T46" s="42">
        <v>345.82644481249395</v>
      </c>
      <c r="U46" s="42">
        <v>345.83213100665336</v>
      </c>
      <c r="V46" s="42">
        <v>15.684129572398561</v>
      </c>
      <c r="W46" s="42">
        <v>28.30262489968754</v>
      </c>
      <c r="X46" s="42">
        <v>29.896585193026791</v>
      </c>
      <c r="Y46" s="42">
        <v>29.997065753752114</v>
      </c>
      <c r="Z46" s="42">
        <v>29.800264369582415</v>
      </c>
      <c r="AA46" s="42">
        <v>33.225123932134707</v>
      </c>
      <c r="AB46" s="42">
        <v>35.734911867320051</v>
      </c>
      <c r="AC46" s="42">
        <v>28.843545284318246</v>
      </c>
      <c r="AD46" s="42">
        <v>26.353199469553388</v>
      </c>
      <c r="AE46" s="42">
        <v>30.914373125366392</v>
      </c>
      <c r="AF46" s="42">
        <v>32.512979436656593</v>
      </c>
      <c r="AG46" s="42">
        <v>43.035699853728779</v>
      </c>
      <c r="AH46" s="42">
        <v>364.30050275752563</v>
      </c>
      <c r="AI46" s="42">
        <v>364.28091900444502</v>
      </c>
      <c r="AJ46" s="42">
        <v>17.684940609330624</v>
      </c>
      <c r="AK46" s="42">
        <v>31.212810399485491</v>
      </c>
      <c r="AL46" s="42">
        <v>30.940949396986927</v>
      </c>
      <c r="AM46" s="42">
        <v>31.466127839340697</v>
      </c>
      <c r="AN46" s="42">
        <v>31.917477675141292</v>
      </c>
      <c r="AO46" s="42">
        <v>35.590753609825782</v>
      </c>
      <c r="AP46" s="42">
        <v>40.458344004871911</v>
      </c>
      <c r="AQ46" s="42">
        <v>32.46535160585313</v>
      </c>
      <c r="AR46" s="42">
        <v>28.467380663741238</v>
      </c>
      <c r="AS46" s="42">
        <v>32.479271603462699</v>
      </c>
      <c r="AT46" s="42">
        <v>33.082287522552519</v>
      </c>
      <c r="AU46" s="42">
        <v>47.992559803302214</v>
      </c>
      <c r="AV46" s="42">
        <v>393.75825473389455</v>
      </c>
      <c r="AW46" s="42">
        <v>393.7692045008281</v>
      </c>
      <c r="AX46" s="42">
        <v>20.882701000000001</v>
      </c>
      <c r="AY46" s="42">
        <v>32.494081770000001</v>
      </c>
      <c r="AZ46" s="42">
        <v>32.184388859999999</v>
      </c>
      <c r="BA46" s="42">
        <v>34.514265779999995</v>
      </c>
      <c r="BB46" s="42">
        <v>33.016188399999997</v>
      </c>
      <c r="BC46" s="42">
        <v>38.572040439999995</v>
      </c>
      <c r="BD46" s="42">
        <v>43.197711849999997</v>
      </c>
      <c r="BE46" s="42">
        <v>34.252519780000007</v>
      </c>
      <c r="BF46" s="42">
        <v>31.936063239999996</v>
      </c>
      <c r="BG46" s="42">
        <v>34.835498320000006</v>
      </c>
      <c r="BH46" s="42">
        <v>35.44424450999999</v>
      </c>
      <c r="BI46" s="42">
        <v>49.306847669999989</v>
      </c>
      <c r="BJ46" s="45">
        <f t="shared" si="28"/>
        <v>420.63655161999998</v>
      </c>
      <c r="BK46" s="42">
        <v>420.638913</v>
      </c>
      <c r="BL46" s="42">
        <v>23.803700319999997</v>
      </c>
      <c r="BM46" s="42">
        <v>36.275357350000007</v>
      </c>
      <c r="BN46" s="42">
        <v>36.806556329999971</v>
      </c>
      <c r="BO46" s="42">
        <v>36.817597219999975</v>
      </c>
      <c r="BP46" s="42">
        <v>36.197706079999989</v>
      </c>
      <c r="BQ46" s="42">
        <v>42.795605959999982</v>
      </c>
      <c r="BR46" s="42">
        <v>48.568000390000002</v>
      </c>
      <c r="BS46" s="42">
        <v>38.046832869999989</v>
      </c>
      <c r="BT46" s="42">
        <v>34.002174060000009</v>
      </c>
      <c r="BU46" s="42">
        <v>36.977014610000012</v>
      </c>
      <c r="BV46" s="42">
        <v>36.402750189999985</v>
      </c>
      <c r="BW46" s="42">
        <v>49.98940910000001</v>
      </c>
      <c r="BX46" s="45">
        <f t="shared" si="4"/>
        <v>456.68270447999998</v>
      </c>
      <c r="BY46" s="45">
        <v>456.62980499999998</v>
      </c>
      <c r="BZ46" s="45">
        <v>25.150328640000009</v>
      </c>
      <c r="CA46" s="45">
        <v>36.916330830000007</v>
      </c>
      <c r="CB46" s="45">
        <v>38.338067400000007</v>
      </c>
      <c r="CC46" s="45">
        <v>38.569007540000015</v>
      </c>
      <c r="CD46" s="45">
        <v>38.420583139999998</v>
      </c>
      <c r="CE46" s="139">
        <v>45.22175056999999</v>
      </c>
      <c r="CF46" s="45">
        <v>49.342430259999993</v>
      </c>
      <c r="CG46" s="45">
        <v>38.862172149999999</v>
      </c>
      <c r="CH46" s="45">
        <v>35.899166530000002</v>
      </c>
      <c r="CI46" s="45">
        <v>39.843194880000006</v>
      </c>
      <c r="CJ46" s="45">
        <v>38.836939880000003</v>
      </c>
      <c r="CK46" s="45">
        <v>60.19779805000001</v>
      </c>
      <c r="CL46" s="45">
        <f t="shared" si="5"/>
        <v>485.59776986999998</v>
      </c>
      <c r="CM46" s="45">
        <v>485.67613699999998</v>
      </c>
      <c r="CN46" s="45">
        <v>27.256920739999991</v>
      </c>
      <c r="CO46" s="45">
        <v>39.723737480000004</v>
      </c>
      <c r="CP46" s="45">
        <v>43.185487149999986</v>
      </c>
      <c r="CQ46" s="45">
        <v>42.538120129999996</v>
      </c>
      <c r="CR46" s="45">
        <v>42.526216539999993</v>
      </c>
      <c r="CS46" s="45">
        <v>50.439897070000008</v>
      </c>
      <c r="CT46" s="45">
        <v>53.923398879999993</v>
      </c>
      <c r="CU46" s="45">
        <v>44.257050149999998</v>
      </c>
      <c r="CV46" s="45">
        <v>40.844373159999982</v>
      </c>
      <c r="CW46" s="45">
        <v>42.929282169999993</v>
      </c>
      <c r="CX46" s="45">
        <v>44.470861240000005</v>
      </c>
      <c r="CY46" s="45">
        <v>63.135643770000001</v>
      </c>
      <c r="CZ46" s="45">
        <f t="shared" si="9"/>
        <v>535.23098847999995</v>
      </c>
      <c r="DA46" s="45">
        <v>535.22087199999999</v>
      </c>
      <c r="DB46" s="45">
        <v>28.758356159999966</v>
      </c>
      <c r="DC46" s="45">
        <v>43.544467329999996</v>
      </c>
      <c r="DD46" s="45">
        <v>45.745231430000025</v>
      </c>
      <c r="DE46" s="45">
        <v>46.815099380000007</v>
      </c>
      <c r="DF46" s="45">
        <v>47.235854529999983</v>
      </c>
      <c r="DG46" s="45">
        <v>56.188989179999993</v>
      </c>
      <c r="DH46" s="45">
        <v>58.811562819999978</v>
      </c>
      <c r="DI46" s="45">
        <v>49.797144070000009</v>
      </c>
      <c r="DJ46" s="45">
        <v>43.55675246000002</v>
      </c>
      <c r="DK46" s="45">
        <v>47.079301829999999</v>
      </c>
      <c r="DL46" s="45">
        <v>49.79696014999999</v>
      </c>
      <c r="DM46" s="45">
        <v>69.69796587999997</v>
      </c>
      <c r="DN46" s="45">
        <f t="shared" si="20"/>
        <v>587.02768521999997</v>
      </c>
      <c r="DO46" s="45">
        <v>587.01724300000001</v>
      </c>
      <c r="DP46" s="42">
        <v>56.72349979000002</v>
      </c>
      <c r="DQ46" s="42">
        <v>55.540700929999993</v>
      </c>
      <c r="DR46" s="42">
        <v>48.078257790000009</v>
      </c>
      <c r="DS46" s="42">
        <v>49.778033940000014</v>
      </c>
      <c r="DT46" s="42">
        <v>50.475908440000012</v>
      </c>
      <c r="DU46" s="42">
        <v>58.135221739999992</v>
      </c>
      <c r="DV46" s="42">
        <v>62.471347970000011</v>
      </c>
      <c r="DW46" s="42">
        <v>52.951309269999982</v>
      </c>
      <c r="DX46" s="42">
        <v>46.410237030000019</v>
      </c>
      <c r="DY46" s="42">
        <v>50.304364889999981</v>
      </c>
      <c r="DZ46" s="42">
        <v>51.553960479999986</v>
      </c>
      <c r="EA46" s="42">
        <v>72.046573309999999</v>
      </c>
      <c r="EB46" s="42">
        <f t="shared" si="31"/>
        <v>654.46941558000003</v>
      </c>
      <c r="EC46" s="45">
        <v>654.45896400000004</v>
      </c>
      <c r="ED46" s="42">
        <v>34.526692559999987</v>
      </c>
      <c r="EE46" s="42">
        <v>49.525891999999985</v>
      </c>
      <c r="EF46" s="50">
        <v>51.215159960000001</v>
      </c>
      <c r="EG46" s="50">
        <v>55.597683799999999</v>
      </c>
      <c r="EH46" s="50">
        <v>50.481146969999983</v>
      </c>
      <c r="EI46" s="42">
        <v>59.625552139999996</v>
      </c>
      <c r="EJ46" s="42">
        <v>62.47611513999999</v>
      </c>
      <c r="EK46" s="42">
        <v>54.079015870000021</v>
      </c>
      <c r="EL46" s="42">
        <v>51.088628910000025</v>
      </c>
      <c r="EM46" s="42">
        <v>52.404192099999982</v>
      </c>
      <c r="EN46" s="42">
        <v>53.465186720000027</v>
      </c>
      <c r="EO46" s="42">
        <v>78.437997010000018</v>
      </c>
      <c r="EP46" s="50">
        <f t="shared" si="11"/>
        <v>652.92326318000005</v>
      </c>
      <c r="EQ46" s="50">
        <v>652.51414999999997</v>
      </c>
      <c r="ER46" s="42">
        <v>33.342656729999987</v>
      </c>
      <c r="ES46" s="42">
        <v>50.775893290000006</v>
      </c>
      <c r="ET46" s="42">
        <v>54.836416329999999</v>
      </c>
      <c r="EU46" s="42">
        <v>56.218853820000007</v>
      </c>
      <c r="EV46" s="42">
        <v>55.583631239999995</v>
      </c>
      <c r="EW46" s="42">
        <v>70.954228369999996</v>
      </c>
      <c r="EX46" s="42">
        <v>62.315860000000008</v>
      </c>
      <c r="EY46" s="42">
        <v>58.375403490000025</v>
      </c>
      <c r="EZ46" s="42">
        <v>56.396467999999999</v>
      </c>
      <c r="FA46" s="42">
        <v>54.691433000000004</v>
      </c>
      <c r="FB46" s="42">
        <v>58.730685450000003</v>
      </c>
      <c r="FC46" s="42">
        <v>83.395513049999991</v>
      </c>
      <c r="FD46" s="50">
        <f t="shared" si="12"/>
        <v>695.61704277000001</v>
      </c>
      <c r="FE46" s="50">
        <v>695.60912399999995</v>
      </c>
      <c r="FF46" s="45">
        <v>37.953378740000012</v>
      </c>
      <c r="FG46" s="45">
        <v>54.491690699999985</v>
      </c>
      <c r="FH46" s="45">
        <v>54.19537648</v>
      </c>
      <c r="FI46" s="45">
        <v>59.851229650000008</v>
      </c>
      <c r="FJ46" s="45">
        <v>59.962280040000032</v>
      </c>
      <c r="FK46" s="45">
        <v>68.28682036000005</v>
      </c>
      <c r="FL46" s="45">
        <v>73.031460889999991</v>
      </c>
      <c r="FM46" s="45">
        <v>62.173060920000026</v>
      </c>
      <c r="FN46" s="45">
        <v>63.017654920000027</v>
      </c>
      <c r="FO46" s="45">
        <v>61.473254099999991</v>
      </c>
      <c r="FP46" s="45">
        <v>64.264844960000076</v>
      </c>
      <c r="FQ46" s="45">
        <v>97.613782</v>
      </c>
      <c r="FR46" s="50">
        <f t="shared" si="13"/>
        <v>756.31483376000017</v>
      </c>
      <c r="FS46" s="50">
        <v>756.30375800000002</v>
      </c>
      <c r="FT46" s="45">
        <v>43.458325000000009</v>
      </c>
      <c r="FU46" s="45">
        <v>64.422407440000015</v>
      </c>
      <c r="FV46" s="45">
        <v>65.875051999999997</v>
      </c>
      <c r="FW46" s="45">
        <v>66.943810570000039</v>
      </c>
      <c r="FX46" s="45">
        <v>68.595957499999997</v>
      </c>
      <c r="FY46" s="45">
        <v>80.406982240000048</v>
      </c>
      <c r="FZ46" s="45">
        <v>84.052114120000041</v>
      </c>
      <c r="GA46" s="45">
        <v>74.378495750000084</v>
      </c>
      <c r="GB46" s="45">
        <v>68.70293556</v>
      </c>
      <c r="GC46" s="45">
        <v>73.901809629999974</v>
      </c>
      <c r="GD46" s="45">
        <v>74.463582300000013</v>
      </c>
      <c r="GE46" s="45">
        <v>111.70632423999994</v>
      </c>
      <c r="GF46" s="50">
        <f t="shared" si="14"/>
        <v>876.90779635000024</v>
      </c>
      <c r="GG46" s="50">
        <v>876.92450099999996</v>
      </c>
      <c r="GH46" s="45">
        <v>79.047867249999996</v>
      </c>
      <c r="GI46" s="45">
        <v>82.956546089999961</v>
      </c>
      <c r="GJ46" s="45">
        <v>77.307497520000027</v>
      </c>
      <c r="GK46" s="45">
        <v>77.985445900000016</v>
      </c>
      <c r="GL46" s="45">
        <v>81.387641000000016</v>
      </c>
      <c r="GM46" s="45">
        <v>88.776291909999983</v>
      </c>
      <c r="GN46" s="45">
        <v>97.841307</v>
      </c>
      <c r="GO46" s="45">
        <v>86.842449239999965</v>
      </c>
      <c r="GP46" s="45">
        <v>77.605996000000005</v>
      </c>
      <c r="GQ46" s="45">
        <v>81.328477730000017</v>
      </c>
      <c r="GR46" s="45">
        <v>82.128814449999993</v>
      </c>
      <c r="GS46" s="45">
        <v>114.59777613999999</v>
      </c>
      <c r="GT46" s="50">
        <f t="shared" si="15"/>
        <v>1027.8061102300001</v>
      </c>
      <c r="GU46" s="50">
        <v>1027.8225849999999</v>
      </c>
      <c r="GV46" s="45">
        <v>56.910275130000024</v>
      </c>
      <c r="GW46" s="45">
        <v>80.857746359999979</v>
      </c>
      <c r="GX46" s="45">
        <v>82.570258999999993</v>
      </c>
      <c r="GY46" s="45">
        <v>87.873212000000009</v>
      </c>
      <c r="GZ46" s="45">
        <v>84.242536139999984</v>
      </c>
      <c r="HA46" s="45">
        <v>95.772091560000021</v>
      </c>
      <c r="HB46" s="45">
        <v>102.97837890999996</v>
      </c>
      <c r="HC46" s="45">
        <v>94.431662319999973</v>
      </c>
      <c r="HD46" s="45">
        <v>83.608016540000023</v>
      </c>
      <c r="HE46" s="45">
        <v>89.115095440000061</v>
      </c>
      <c r="HF46" s="45">
        <v>84.849961020000023</v>
      </c>
      <c r="HG46" s="45">
        <v>127.093093</v>
      </c>
      <c r="HH46" s="50">
        <f t="shared" si="6"/>
        <v>1070.3023274200002</v>
      </c>
      <c r="HI46" s="45">
        <v>58.869544569999988</v>
      </c>
      <c r="HJ46" s="45">
        <v>83.803384460000032</v>
      </c>
      <c r="HK46" s="45">
        <v>85.085454199999987</v>
      </c>
      <c r="HL46" s="45">
        <v>90.69829761000004</v>
      </c>
      <c r="HM46" s="45"/>
      <c r="HN46" s="45"/>
      <c r="HO46" s="45"/>
      <c r="HP46" s="45"/>
      <c r="HQ46" s="45"/>
      <c r="HR46" s="45"/>
      <c r="HS46" s="45"/>
      <c r="HT46" s="45"/>
      <c r="HU46" s="276">
        <f t="shared" si="16"/>
        <v>308.21149200000002</v>
      </c>
      <c r="HV46" s="276">
        <f t="shared" si="17"/>
        <v>318.456681</v>
      </c>
      <c r="HW46" s="280">
        <f t="shared" si="18"/>
        <v>10.245188999999982</v>
      </c>
      <c r="HX46" s="280">
        <f t="shared" si="19"/>
        <v>3.3240775460767082</v>
      </c>
    </row>
    <row r="47" spans="1:233" s="12" customFormat="1" ht="20.5">
      <c r="A47" s="314" t="s">
        <v>127</v>
      </c>
      <c r="B47" s="13">
        <v>2000</v>
      </c>
      <c r="C47" s="47" t="s">
        <v>128</v>
      </c>
      <c r="D47" s="42">
        <v>1137.1906890114456</v>
      </c>
      <c r="E47" s="42">
        <v>1328.4570008138828</v>
      </c>
      <c r="F47" s="42">
        <v>954.91643758430519</v>
      </c>
      <c r="G47" s="42">
        <v>979.37906870194263</v>
      </c>
      <c r="H47" s="42">
        <v>69.078042811367041</v>
      </c>
      <c r="I47" s="42">
        <v>84.653620810353971</v>
      </c>
      <c r="J47" s="42">
        <v>87.547248962726457</v>
      </c>
      <c r="K47" s="42">
        <v>77.666605881582925</v>
      </c>
      <c r="L47" s="42">
        <v>76.293109657884699</v>
      </c>
      <c r="M47" s="42">
        <v>76.881695323304925</v>
      </c>
      <c r="N47" s="42">
        <v>72.278320840518845</v>
      </c>
      <c r="O47" s="42">
        <v>72.420721851326974</v>
      </c>
      <c r="P47" s="42">
        <v>81.106405199742753</v>
      </c>
      <c r="Q47" s="42">
        <v>84.475494277209577</v>
      </c>
      <c r="R47" s="42">
        <v>97.845761962083301</v>
      </c>
      <c r="S47" s="42">
        <v>159.23410757480039</v>
      </c>
      <c r="T47" s="42">
        <v>1039.481135152902</v>
      </c>
      <c r="U47" s="42">
        <v>1037.5073121382347</v>
      </c>
      <c r="V47" s="42">
        <v>65.258982589740526</v>
      </c>
      <c r="W47" s="42">
        <v>86.573028369218164</v>
      </c>
      <c r="X47" s="42">
        <v>89.397331574663781</v>
      </c>
      <c r="Y47" s="42">
        <v>83.888921036306002</v>
      </c>
      <c r="Z47" s="42">
        <v>80.712226652096462</v>
      </c>
      <c r="AA47" s="42">
        <v>78.650188388227733</v>
      </c>
      <c r="AB47" s="42">
        <v>76.773027757383275</v>
      </c>
      <c r="AC47" s="42">
        <v>76.289658283105965</v>
      </c>
      <c r="AD47" s="42">
        <v>76.296453918873553</v>
      </c>
      <c r="AE47" s="42">
        <v>88.041950629193906</v>
      </c>
      <c r="AF47" s="42">
        <v>99.769102054057754</v>
      </c>
      <c r="AG47" s="42">
        <v>138.8792778640987</v>
      </c>
      <c r="AH47" s="42">
        <v>1040.5301491169657</v>
      </c>
      <c r="AI47" s="42">
        <v>1039.2258808999379</v>
      </c>
      <c r="AJ47" s="42">
        <v>82.594403276020046</v>
      </c>
      <c r="AK47" s="42">
        <v>85.92757155622337</v>
      </c>
      <c r="AL47" s="42">
        <v>88.981295581698461</v>
      </c>
      <c r="AM47" s="42">
        <v>90.94036056994554</v>
      </c>
      <c r="AN47" s="42">
        <v>89.793010441033346</v>
      </c>
      <c r="AO47" s="42">
        <v>92.864122571869245</v>
      </c>
      <c r="AP47" s="42">
        <v>83.697013676643849</v>
      </c>
      <c r="AQ47" s="42">
        <v>85.645209347129494</v>
      </c>
      <c r="AR47" s="42">
        <v>89.393471010409741</v>
      </c>
      <c r="AS47" s="42">
        <v>90.143867991644896</v>
      </c>
      <c r="AT47" s="42">
        <v>102.45759272855591</v>
      </c>
      <c r="AU47" s="42">
        <v>137.04880592597652</v>
      </c>
      <c r="AV47" s="42">
        <v>1119.4867246771503</v>
      </c>
      <c r="AW47" s="42">
        <v>1117.0442086271564</v>
      </c>
      <c r="AX47" s="42">
        <v>77.746561999999997</v>
      </c>
      <c r="AY47" s="42">
        <v>87.426433610000004</v>
      </c>
      <c r="AZ47" s="42">
        <v>85.893647370000011</v>
      </c>
      <c r="BA47" s="42">
        <v>88.833061580000006</v>
      </c>
      <c r="BB47" s="42">
        <v>86.93604569</v>
      </c>
      <c r="BC47" s="42">
        <v>94.896659620000008</v>
      </c>
      <c r="BD47" s="42">
        <v>89.426949490000013</v>
      </c>
      <c r="BE47" s="42">
        <v>81.547036059999996</v>
      </c>
      <c r="BF47" s="42">
        <v>86.17303109999996</v>
      </c>
      <c r="BG47" s="42">
        <v>97.886380969999934</v>
      </c>
      <c r="BH47" s="42">
        <v>98.965842139999864</v>
      </c>
      <c r="BI47" s="42">
        <v>158.26959256000018</v>
      </c>
      <c r="BJ47" s="45">
        <f t="shared" si="28"/>
        <v>1134.0012421899999</v>
      </c>
      <c r="BK47" s="42">
        <v>1128.085409</v>
      </c>
      <c r="BL47" s="42">
        <v>83.968434579999965</v>
      </c>
      <c r="BM47" s="42">
        <v>94.590239009999962</v>
      </c>
      <c r="BN47" s="42">
        <v>96.451617880000072</v>
      </c>
      <c r="BO47" s="42">
        <v>91.574146579999947</v>
      </c>
      <c r="BP47" s="42">
        <v>89.60819907000004</v>
      </c>
      <c r="BQ47" s="42">
        <v>105.29746160999983</v>
      </c>
      <c r="BR47" s="42">
        <v>92.686076499999999</v>
      </c>
      <c r="BS47" s="42">
        <v>82.769333769999918</v>
      </c>
      <c r="BT47" s="42">
        <v>90.202226549999935</v>
      </c>
      <c r="BU47" s="42">
        <v>91.24879404000005</v>
      </c>
      <c r="BV47" s="42">
        <v>94.981247249999967</v>
      </c>
      <c r="BW47" s="42">
        <v>171.1899873199998</v>
      </c>
      <c r="BX47" s="45">
        <f t="shared" si="4"/>
        <v>1184.5677641599993</v>
      </c>
      <c r="BY47" s="45">
        <v>1177.749399</v>
      </c>
      <c r="BZ47" s="45">
        <v>78.254434750000087</v>
      </c>
      <c r="CA47" s="45">
        <v>94.362248010000073</v>
      </c>
      <c r="CB47" s="45">
        <v>99.971568470000022</v>
      </c>
      <c r="CC47" s="45">
        <v>91.757327879999991</v>
      </c>
      <c r="CD47" s="45">
        <v>90.325304490000008</v>
      </c>
      <c r="CE47" s="139">
        <v>94.846156189999931</v>
      </c>
      <c r="CF47" s="45">
        <v>90.451322400000052</v>
      </c>
      <c r="CG47" s="45">
        <v>88.261862469999969</v>
      </c>
      <c r="CH47" s="45">
        <v>89.741254520000126</v>
      </c>
      <c r="CI47" s="45">
        <v>107.53785622999987</v>
      </c>
      <c r="CJ47" s="45">
        <v>113.40975099000006</v>
      </c>
      <c r="CK47" s="45">
        <v>167.11476457999993</v>
      </c>
      <c r="CL47" s="45">
        <f t="shared" si="5"/>
        <v>1206.0338509800001</v>
      </c>
      <c r="CM47" s="45">
        <v>1201.0664340000001</v>
      </c>
      <c r="CN47" s="45">
        <v>93.863647960000264</v>
      </c>
      <c r="CO47" s="45">
        <v>101.10963868999985</v>
      </c>
      <c r="CP47" s="45">
        <v>97.668341449999957</v>
      </c>
      <c r="CQ47" s="45">
        <v>110.1984686400001</v>
      </c>
      <c r="CR47" s="45">
        <v>103.74027112000006</v>
      </c>
      <c r="CS47" s="45">
        <v>103.71546267999989</v>
      </c>
      <c r="CT47" s="45">
        <v>94.598648309999973</v>
      </c>
      <c r="CU47" s="45">
        <v>92.841316479999989</v>
      </c>
      <c r="CV47" s="45">
        <v>96.861815399999941</v>
      </c>
      <c r="CW47" s="45">
        <v>106.88978496999999</v>
      </c>
      <c r="CX47" s="45">
        <v>118.50028739</v>
      </c>
      <c r="CY47" s="45">
        <v>194.20381304000014</v>
      </c>
      <c r="CZ47" s="45">
        <f t="shared" si="9"/>
        <v>1314.1914961300001</v>
      </c>
      <c r="DA47" s="45">
        <v>1309.5829590000001</v>
      </c>
      <c r="DB47" s="45">
        <v>103.73614101000007</v>
      </c>
      <c r="DC47" s="45">
        <v>99.467761829999986</v>
      </c>
      <c r="DD47" s="45">
        <v>110.16514369999987</v>
      </c>
      <c r="DE47" s="45">
        <v>111.24407049000001</v>
      </c>
      <c r="DF47" s="45">
        <v>117.53375497999984</v>
      </c>
      <c r="DG47" s="45">
        <v>126.9850160099998</v>
      </c>
      <c r="DH47" s="45">
        <v>115.16463261999986</v>
      </c>
      <c r="DI47" s="45">
        <v>106.31166798</v>
      </c>
      <c r="DJ47" s="45">
        <v>117.31034871000013</v>
      </c>
      <c r="DK47" s="45">
        <v>124.82121149000002</v>
      </c>
      <c r="DL47" s="45">
        <v>173.40084649000011</v>
      </c>
      <c r="DM47" s="45">
        <v>227.01658402999985</v>
      </c>
      <c r="DN47" s="45">
        <f t="shared" si="20"/>
        <v>1533.1571793399996</v>
      </c>
      <c r="DO47" s="45">
        <v>1529.392517</v>
      </c>
      <c r="DP47" s="42">
        <v>103.97997403999987</v>
      </c>
      <c r="DQ47" s="42">
        <v>115.60624736000007</v>
      </c>
      <c r="DR47" s="42">
        <v>112.32804975999994</v>
      </c>
      <c r="DS47" s="42">
        <v>112.07365291999996</v>
      </c>
      <c r="DT47" s="42">
        <v>118.06325017999987</v>
      </c>
      <c r="DU47" s="42">
        <v>112.11612367999989</v>
      </c>
      <c r="DV47" s="42">
        <v>114.01982345999998</v>
      </c>
      <c r="DW47" s="42">
        <v>111.71850272999983</v>
      </c>
      <c r="DX47" s="42">
        <v>109.18723558000011</v>
      </c>
      <c r="DY47" s="42">
        <v>137.55631268000005</v>
      </c>
      <c r="DZ47" s="42">
        <v>144.23926767</v>
      </c>
      <c r="EA47" s="42">
        <v>218.7879637600002</v>
      </c>
      <c r="EB47" s="42">
        <f t="shared" si="31"/>
        <v>1509.6764038199997</v>
      </c>
      <c r="EC47" s="45">
        <v>1504.2428</v>
      </c>
      <c r="ED47" s="42">
        <v>106.25205208999995</v>
      </c>
      <c r="EE47" s="42">
        <v>106.39419299999997</v>
      </c>
      <c r="EF47" s="50">
        <v>113.63578908000001</v>
      </c>
      <c r="EG47" s="50">
        <v>103.08332238000003</v>
      </c>
      <c r="EH47" s="50">
        <v>95.649492000000023</v>
      </c>
      <c r="EI47" s="42">
        <v>108.18548442999993</v>
      </c>
      <c r="EJ47" s="42">
        <v>139.43920795000002</v>
      </c>
      <c r="EK47" s="42">
        <v>104.0663890000001</v>
      </c>
      <c r="EL47" s="42">
        <v>115.28714407</v>
      </c>
      <c r="EM47" s="42">
        <v>130.61086799999998</v>
      </c>
      <c r="EN47" s="42">
        <v>131.41055</v>
      </c>
      <c r="EO47" s="42">
        <v>222.20971599999947</v>
      </c>
      <c r="EP47" s="50">
        <f t="shared" si="11"/>
        <v>1476.2242079999996</v>
      </c>
      <c r="EQ47" s="50">
        <v>1470.1764000000001</v>
      </c>
      <c r="ER47" s="42">
        <v>86.644276669999982</v>
      </c>
      <c r="ES47" s="42">
        <v>107.60527800000014</v>
      </c>
      <c r="ET47" s="42">
        <v>114.9290681699996</v>
      </c>
      <c r="EU47" s="42">
        <v>115.12274600000021</v>
      </c>
      <c r="EV47" s="42">
        <v>111.70991199999992</v>
      </c>
      <c r="EW47" s="42">
        <v>136.4302009999966</v>
      </c>
      <c r="EX47" s="42">
        <v>114.56316599999998</v>
      </c>
      <c r="EY47" s="42">
        <v>110.24938</v>
      </c>
      <c r="EZ47" s="42">
        <v>128.515356</v>
      </c>
      <c r="FA47" s="42">
        <v>125.73911099999999</v>
      </c>
      <c r="FB47" s="42">
        <v>152.71483600000013</v>
      </c>
      <c r="FC47" s="42">
        <v>255.23209800000001</v>
      </c>
      <c r="FD47" s="50">
        <f t="shared" si="12"/>
        <v>1559.4554288399966</v>
      </c>
      <c r="FE47" s="50">
        <v>1554.6215050000001</v>
      </c>
      <c r="FF47" s="45">
        <v>132.10226002000007</v>
      </c>
      <c r="FG47" s="45">
        <v>125.91251442000005</v>
      </c>
      <c r="FH47" s="45">
        <v>140.95591338000003</v>
      </c>
      <c r="FI47" s="45">
        <v>136.69611599999999</v>
      </c>
      <c r="FJ47" s="45">
        <v>149.28056029999999</v>
      </c>
      <c r="FK47" s="45">
        <v>143.60254362999984</v>
      </c>
      <c r="FL47" s="45">
        <v>140.54537800000006</v>
      </c>
      <c r="FM47" s="45">
        <v>133.13471200000001</v>
      </c>
      <c r="FN47" s="45">
        <v>340.31404499999996</v>
      </c>
      <c r="FO47" s="45">
        <v>381.7211200000001</v>
      </c>
      <c r="FP47" s="45">
        <v>167.27094679000015</v>
      </c>
      <c r="FQ47" s="45">
        <v>321.70100200000024</v>
      </c>
      <c r="FR47" s="50">
        <f t="shared" si="13"/>
        <v>2313.237111540001</v>
      </c>
      <c r="FS47" s="50">
        <v>2309.0418279999999</v>
      </c>
      <c r="FT47" s="45">
        <v>152.72013669999981</v>
      </c>
      <c r="FU47" s="45">
        <v>153.43113129000014</v>
      </c>
      <c r="FV47" s="45">
        <v>173.66640300000003</v>
      </c>
      <c r="FW47" s="45">
        <v>152.02200313000003</v>
      </c>
      <c r="FX47" s="45">
        <v>148.52453400000005</v>
      </c>
      <c r="FY47" s="45">
        <v>153.4393187400002</v>
      </c>
      <c r="FZ47" s="45">
        <v>152.42123571999986</v>
      </c>
      <c r="GA47" s="45">
        <v>158.43673925999994</v>
      </c>
      <c r="GB47" s="45">
        <v>170.57269236000005</v>
      </c>
      <c r="GC47" s="45">
        <v>175.97789416000018</v>
      </c>
      <c r="GD47" s="45">
        <v>182.78419933000006</v>
      </c>
      <c r="GE47" s="45">
        <v>543.95318099999997</v>
      </c>
      <c r="GF47" s="50">
        <f t="shared" si="14"/>
        <v>2317.9494686900002</v>
      </c>
      <c r="GG47" s="50">
        <v>2312.8819210000001</v>
      </c>
      <c r="GH47" s="45">
        <v>159.80026223000007</v>
      </c>
      <c r="GI47" s="45">
        <v>160.65374199999999</v>
      </c>
      <c r="GJ47" s="45">
        <v>137.81224599999999</v>
      </c>
      <c r="GK47" s="45">
        <v>154.35447000000013</v>
      </c>
      <c r="GL47" s="45">
        <v>152.66193999999999</v>
      </c>
      <c r="GM47" s="45">
        <v>161.689739</v>
      </c>
      <c r="GN47" s="45">
        <v>152.74163999999999</v>
      </c>
      <c r="GO47" s="45">
        <v>142.27814100000001</v>
      </c>
      <c r="GP47" s="45">
        <v>161.453226</v>
      </c>
      <c r="GQ47" s="45">
        <v>181.70224899999999</v>
      </c>
      <c r="GR47" s="45">
        <v>209.97755699999996</v>
      </c>
      <c r="GS47" s="45">
        <v>360.76318699999985</v>
      </c>
      <c r="GT47" s="50">
        <f t="shared" si="15"/>
        <v>2135.8883992300002</v>
      </c>
      <c r="GU47" s="50">
        <v>2131.6709949999999</v>
      </c>
      <c r="GV47" s="45">
        <v>143.30569186</v>
      </c>
      <c r="GW47" s="45">
        <v>273.13270683999968</v>
      </c>
      <c r="GX47" s="45">
        <v>168.95681999999999</v>
      </c>
      <c r="GY47" s="45">
        <v>158.51244300000002</v>
      </c>
      <c r="GZ47" s="45">
        <v>156.79335405000026</v>
      </c>
      <c r="HA47" s="45">
        <v>182.39433889999998</v>
      </c>
      <c r="HB47" s="45">
        <v>169.17835771000003</v>
      </c>
      <c r="HC47" s="45">
        <v>149.52316906999977</v>
      </c>
      <c r="HD47" s="45">
        <v>187.35757520999994</v>
      </c>
      <c r="HE47" s="45">
        <v>177.4892296099998</v>
      </c>
      <c r="HF47" s="45">
        <v>202.50113772999984</v>
      </c>
      <c r="HG47" s="45">
        <v>366.17064127000032</v>
      </c>
      <c r="HH47" s="50">
        <f t="shared" si="6"/>
        <v>2335.3154652499998</v>
      </c>
      <c r="HI47" s="45">
        <v>143.72449988000005</v>
      </c>
      <c r="HJ47" s="45">
        <v>169.84560923000015</v>
      </c>
      <c r="HK47" s="45">
        <v>196.45424174000013</v>
      </c>
      <c r="HL47" s="45">
        <v>174.57928745999999</v>
      </c>
      <c r="HM47" s="45"/>
      <c r="HN47" s="45"/>
      <c r="HO47" s="45"/>
      <c r="HP47" s="45"/>
      <c r="HQ47" s="45"/>
      <c r="HR47" s="45"/>
      <c r="HS47" s="45"/>
      <c r="HT47" s="45"/>
      <c r="HU47" s="276">
        <f t="shared" si="16"/>
        <v>743.90766199999996</v>
      </c>
      <c r="HV47" s="276">
        <f t="shared" si="17"/>
        <v>684.60363800000005</v>
      </c>
      <c r="HW47" s="280">
        <f t="shared" si="18"/>
        <v>-59.304023999999913</v>
      </c>
      <c r="HX47" s="280">
        <f t="shared" si="19"/>
        <v>-7.9719603694577756</v>
      </c>
    </row>
    <row r="48" spans="1:233" s="12" customFormat="1" ht="20.5">
      <c r="A48" s="314" t="s">
        <v>129</v>
      </c>
      <c r="B48" s="13" t="s">
        <v>130</v>
      </c>
      <c r="C48" s="46" t="s">
        <v>131</v>
      </c>
      <c r="D48" s="42">
        <v>73.585728026590644</v>
      </c>
      <c r="E48" s="42">
        <v>91.112100955600695</v>
      </c>
      <c r="F48" s="42">
        <v>214.07782112793893</v>
      </c>
      <c r="G48" s="42">
        <v>252.05069265399737</v>
      </c>
      <c r="H48" s="42">
        <v>47.697638317368707</v>
      </c>
      <c r="I48" s="42">
        <v>25.250274215855356</v>
      </c>
      <c r="J48" s="42">
        <v>63.55418819471717</v>
      </c>
      <c r="K48" s="42">
        <v>47.446993187289763</v>
      </c>
      <c r="L48" s="42">
        <v>13.274469126527453</v>
      </c>
      <c r="M48" s="42">
        <v>5.7885982436070353</v>
      </c>
      <c r="N48" s="42">
        <v>6.9348780029709571</v>
      </c>
      <c r="O48" s="42">
        <v>12.67505876460578</v>
      </c>
      <c r="P48" s="42">
        <v>9.5387789483269891</v>
      </c>
      <c r="Q48" s="42">
        <v>11.3098303367653</v>
      </c>
      <c r="R48" s="42">
        <v>24.122019794992624</v>
      </c>
      <c r="S48" s="42">
        <v>23.837432470503867</v>
      </c>
      <c r="T48" s="42">
        <v>291.43015960353097</v>
      </c>
      <c r="U48" s="42">
        <v>290.2270206202582</v>
      </c>
      <c r="V48" s="42">
        <v>48.251138297448506</v>
      </c>
      <c r="W48" s="42">
        <v>26.294900142856328</v>
      </c>
      <c r="X48" s="42">
        <v>61.298684981872618</v>
      </c>
      <c r="Y48" s="42">
        <v>45.457839682187355</v>
      </c>
      <c r="Z48" s="42">
        <v>14.017651891565786</v>
      </c>
      <c r="AA48" s="42">
        <v>14.642089401881606</v>
      </c>
      <c r="AB48" s="42">
        <v>12.998265519262839</v>
      </c>
      <c r="AC48" s="42">
        <v>33.042558095856023</v>
      </c>
      <c r="AD48" s="42">
        <v>9.5429010079623886</v>
      </c>
      <c r="AE48" s="42">
        <v>17.973430928110822</v>
      </c>
      <c r="AF48" s="42">
        <v>18.649025901958442</v>
      </c>
      <c r="AG48" s="42">
        <v>31.975519490498062</v>
      </c>
      <c r="AH48" s="42">
        <v>334.1440053414608</v>
      </c>
      <c r="AI48" s="42">
        <v>333.96851753831794</v>
      </c>
      <c r="AJ48" s="42">
        <v>47.179784121888893</v>
      </c>
      <c r="AK48" s="42">
        <v>38.538527100016509</v>
      </c>
      <c r="AL48" s="42">
        <v>60.006595039299732</v>
      </c>
      <c r="AM48" s="42">
        <v>49.699571487925517</v>
      </c>
      <c r="AN48" s="42">
        <v>7.2442371130500103</v>
      </c>
      <c r="AO48" s="42">
        <v>13.246969439559251</v>
      </c>
      <c r="AP48" s="42">
        <v>27.797811338580889</v>
      </c>
      <c r="AQ48" s="42">
        <v>24.377266435592286</v>
      </c>
      <c r="AR48" s="42">
        <v>8.1345880216959507</v>
      </c>
      <c r="AS48" s="42">
        <v>19.724036858071383</v>
      </c>
      <c r="AT48" s="42">
        <v>13.325722392018259</v>
      </c>
      <c r="AU48" s="42">
        <v>19.908362786779811</v>
      </c>
      <c r="AV48" s="42">
        <v>329.18347213447851</v>
      </c>
      <c r="AW48" s="42">
        <v>329.07942328159771</v>
      </c>
      <c r="AX48" s="42">
        <v>63.992080999999999</v>
      </c>
      <c r="AY48" s="42">
        <v>31.21503049</v>
      </c>
      <c r="AZ48" s="42">
        <v>60.70093765</v>
      </c>
      <c r="BA48" s="42">
        <v>50.238071179999999</v>
      </c>
      <c r="BB48" s="42">
        <v>8.8409679000000008</v>
      </c>
      <c r="BC48" s="42">
        <v>14.150138519999999</v>
      </c>
      <c r="BD48" s="42">
        <v>25.79009366</v>
      </c>
      <c r="BE48" s="42">
        <v>25.912486019999999</v>
      </c>
      <c r="BF48" s="42">
        <v>9.7082268200000001</v>
      </c>
      <c r="BG48" s="42">
        <v>23.537183750000001</v>
      </c>
      <c r="BH48" s="42">
        <v>14.498116540000002</v>
      </c>
      <c r="BI48" s="42">
        <v>22.124561059999998</v>
      </c>
      <c r="BJ48" s="45">
        <f t="shared" si="28"/>
        <v>350.70789459000002</v>
      </c>
      <c r="BK48" s="42">
        <v>350.608746</v>
      </c>
      <c r="BL48" s="42">
        <v>90.712857679999999</v>
      </c>
      <c r="BM48" s="42">
        <v>34.253457959999999</v>
      </c>
      <c r="BN48" s="42">
        <v>29.284980639999997</v>
      </c>
      <c r="BO48" s="42">
        <v>57.961419499999998</v>
      </c>
      <c r="BP48" s="42">
        <v>8.0078016299999994</v>
      </c>
      <c r="BQ48" s="42">
        <v>15.919863900000001</v>
      </c>
      <c r="BR48" s="42">
        <v>28.134604009999997</v>
      </c>
      <c r="BS48" s="42">
        <v>28.62404781</v>
      </c>
      <c r="BT48" s="42">
        <v>9.4082038599999986</v>
      </c>
      <c r="BU48" s="42">
        <v>24.162523669999999</v>
      </c>
      <c r="BV48" s="42">
        <v>15.723989360000001</v>
      </c>
      <c r="BW48" s="42">
        <v>93.46272098</v>
      </c>
      <c r="BX48" s="45">
        <f t="shared" si="4"/>
        <v>435.65647100000001</v>
      </c>
      <c r="BY48" s="45">
        <v>435.64980000000003</v>
      </c>
      <c r="BZ48" s="45">
        <v>47.012629830000002</v>
      </c>
      <c r="CA48" s="45">
        <v>33.418756599999995</v>
      </c>
      <c r="CB48" s="45">
        <v>29.06611487</v>
      </c>
      <c r="CC48" s="45">
        <v>29.11287622</v>
      </c>
      <c r="CD48" s="45">
        <v>34.80736186</v>
      </c>
      <c r="CE48" s="139">
        <v>15.426226729999998</v>
      </c>
      <c r="CF48" s="45">
        <v>20.339381830000001</v>
      </c>
      <c r="CG48" s="45">
        <v>28.269801240000003</v>
      </c>
      <c r="CH48" s="45">
        <v>10.908848820000001</v>
      </c>
      <c r="CI48" s="45">
        <v>24.375808169999999</v>
      </c>
      <c r="CJ48" s="45">
        <v>15.46921249</v>
      </c>
      <c r="CK48" s="45">
        <v>20.41521929</v>
      </c>
      <c r="CL48" s="45">
        <f t="shared" si="5"/>
        <v>308.62223795</v>
      </c>
      <c r="CM48" s="45">
        <v>308.62223799999998</v>
      </c>
      <c r="CN48" s="45">
        <v>44.504711280000002</v>
      </c>
      <c r="CO48" s="45">
        <v>40.316174400000001</v>
      </c>
      <c r="CP48" s="45">
        <v>30.597758410000001</v>
      </c>
      <c r="CQ48" s="45">
        <v>29.697227540000004</v>
      </c>
      <c r="CR48" s="45">
        <v>44.548555460000003</v>
      </c>
      <c r="CS48" s="45">
        <v>14.149755259999999</v>
      </c>
      <c r="CT48" s="45">
        <v>14.806033970000001</v>
      </c>
      <c r="CU48" s="45">
        <v>5.2568433099999998</v>
      </c>
      <c r="CV48" s="45">
        <v>10.800527170000001</v>
      </c>
      <c r="CW48" s="45">
        <v>27.673881429999998</v>
      </c>
      <c r="CX48" s="45">
        <v>15.13117609</v>
      </c>
      <c r="CY48" s="45">
        <v>19.533461969999998</v>
      </c>
      <c r="CZ48" s="45">
        <f t="shared" si="9"/>
        <v>297.01610629000004</v>
      </c>
      <c r="DA48" s="45">
        <v>297.01664299999999</v>
      </c>
      <c r="DB48" s="45">
        <v>41.283284029999997</v>
      </c>
      <c r="DC48" s="45">
        <v>21.072331189999996</v>
      </c>
      <c r="DD48" s="45">
        <v>30.870778649999998</v>
      </c>
      <c r="DE48" s="45">
        <v>57.662760970000001</v>
      </c>
      <c r="DF48" s="45">
        <v>18.191633020000001</v>
      </c>
      <c r="DG48" s="45">
        <v>13.8160674</v>
      </c>
      <c r="DH48" s="45">
        <v>13.594692999999999</v>
      </c>
      <c r="DI48" s="45">
        <v>5.9235432999999995</v>
      </c>
      <c r="DJ48" s="45">
        <v>10.74769502</v>
      </c>
      <c r="DK48" s="45">
        <v>27.464412929999998</v>
      </c>
      <c r="DL48" s="45">
        <v>15.235821199999998</v>
      </c>
      <c r="DM48" s="45">
        <v>19.815825359999998</v>
      </c>
      <c r="DN48" s="45">
        <f t="shared" si="20"/>
        <v>275.67884607000002</v>
      </c>
      <c r="DO48" s="45">
        <v>275.67991499999999</v>
      </c>
      <c r="DP48" s="42">
        <v>39.671227630000004</v>
      </c>
      <c r="DQ48" s="42">
        <v>32.837110369999998</v>
      </c>
      <c r="DR48" s="42">
        <v>6.8541207100000001</v>
      </c>
      <c r="DS48" s="42">
        <v>57.803201099999995</v>
      </c>
      <c r="DT48" s="42">
        <v>23.910182719999998</v>
      </c>
      <c r="DU48" s="42">
        <v>13.93778543</v>
      </c>
      <c r="DV48" s="42">
        <v>13.021300030000001</v>
      </c>
      <c r="DW48" s="42">
        <v>4.5232056899999993</v>
      </c>
      <c r="DX48" s="42">
        <v>11.031051</v>
      </c>
      <c r="DY48" s="42">
        <v>24.361461759999997</v>
      </c>
      <c r="DZ48" s="42">
        <v>15.30254326</v>
      </c>
      <c r="EA48" s="42">
        <v>19.865018679999999</v>
      </c>
      <c r="EB48" s="42">
        <f t="shared" si="31"/>
        <v>263.11820838</v>
      </c>
      <c r="EC48" s="45">
        <v>263.11815000000001</v>
      </c>
      <c r="ED48" s="42">
        <v>44.058985719999995</v>
      </c>
      <c r="EE48" s="42">
        <v>48.912060999999994</v>
      </c>
      <c r="EF48" s="50">
        <v>9.4524582499999994</v>
      </c>
      <c r="EG48" s="50">
        <v>41.494662440000006</v>
      </c>
      <c r="EH48" s="50">
        <v>18.154819910000001</v>
      </c>
      <c r="EI48" s="42">
        <v>21.192087000000001</v>
      </c>
      <c r="EJ48" s="42">
        <v>4.8906932899999997</v>
      </c>
      <c r="EK48" s="42">
        <v>3.3878050000000002</v>
      </c>
      <c r="EL48" s="42">
        <v>12.491387210000001</v>
      </c>
      <c r="EM48" s="42">
        <v>25.239512999999999</v>
      </c>
      <c r="EN48" s="42">
        <v>13.488518259999999</v>
      </c>
      <c r="EO48" s="42">
        <v>20.125428210000003</v>
      </c>
      <c r="EP48" s="50">
        <f t="shared" si="11"/>
        <v>262.88841929</v>
      </c>
      <c r="EQ48" s="50">
        <v>262.88771400000002</v>
      </c>
      <c r="ER48" s="42">
        <v>43.448695569999998</v>
      </c>
      <c r="ES48" s="42">
        <v>51.049976000000008</v>
      </c>
      <c r="ET48" s="42">
        <v>6.3806459999999996</v>
      </c>
      <c r="EU48" s="42">
        <v>42.232172839999997</v>
      </c>
      <c r="EV48" s="42">
        <v>22.529772999999999</v>
      </c>
      <c r="EW48" s="42">
        <v>19.01270315</v>
      </c>
      <c r="EX48" s="42">
        <v>3.9389310000000002</v>
      </c>
      <c r="EY48" s="42">
        <v>3.2431559999999999</v>
      </c>
      <c r="EZ48" s="42">
        <v>12.452232</v>
      </c>
      <c r="FA48" s="42">
        <v>26.665925569999995</v>
      </c>
      <c r="FB48" s="42">
        <v>17.49221996</v>
      </c>
      <c r="FC48" s="42">
        <v>8.1427245300000006</v>
      </c>
      <c r="FD48" s="50">
        <f t="shared" si="12"/>
        <v>256.58915561999999</v>
      </c>
      <c r="FE48" s="50">
        <v>256.58995900000002</v>
      </c>
      <c r="FF48" s="45">
        <v>3.8631034299999998</v>
      </c>
      <c r="FG48" s="45">
        <v>45.88984210000001</v>
      </c>
      <c r="FH48" s="45">
        <v>7.5852741899999998</v>
      </c>
      <c r="FI48" s="45">
        <v>7.2200969700000002</v>
      </c>
      <c r="FJ48" s="45">
        <v>57.937860919999999</v>
      </c>
      <c r="FK48" s="45">
        <v>4.29682487</v>
      </c>
      <c r="FL48" s="45">
        <v>4.1968970000000008</v>
      </c>
      <c r="FM48" s="45">
        <v>5.2903086200000002</v>
      </c>
      <c r="FN48" s="45">
        <v>18.180781990000003</v>
      </c>
      <c r="FO48" s="45">
        <v>21.406365520000001</v>
      </c>
      <c r="FP48" s="45">
        <v>13.715277969999997</v>
      </c>
      <c r="FQ48" s="45">
        <v>6.9492145700000014</v>
      </c>
      <c r="FR48" s="50">
        <f t="shared" si="13"/>
        <v>196.53184815000003</v>
      </c>
      <c r="FS48" s="50">
        <v>196.534415</v>
      </c>
      <c r="FT48" s="45">
        <v>4.6768141700000001</v>
      </c>
      <c r="FU48" s="45">
        <v>48.215859689999995</v>
      </c>
      <c r="FV48" s="45">
        <v>19.736156500000003</v>
      </c>
      <c r="FW48" s="45">
        <v>12.163561750000001</v>
      </c>
      <c r="FX48" s="45">
        <v>68.411877989999979</v>
      </c>
      <c r="FY48" s="45">
        <v>3.4731765099999996</v>
      </c>
      <c r="FZ48" s="45">
        <v>3.1289045300000002</v>
      </c>
      <c r="GA48" s="45">
        <v>8.2765993500000015</v>
      </c>
      <c r="GB48" s="45">
        <v>18.878344690000002</v>
      </c>
      <c r="GC48" s="45">
        <v>16.582597300000007</v>
      </c>
      <c r="GD48" s="45">
        <v>22.174156920000009</v>
      </c>
      <c r="GE48" s="45">
        <v>3.02361141</v>
      </c>
      <c r="GF48" s="50">
        <f t="shared" si="14"/>
        <v>228.74166080999998</v>
      </c>
      <c r="GG48" s="50">
        <v>228.94468800000001</v>
      </c>
      <c r="GH48" s="45">
        <v>43.141927990000006</v>
      </c>
      <c r="GI48" s="45">
        <v>51.354168059999992</v>
      </c>
      <c r="GJ48" s="45">
        <v>49.543020850000005</v>
      </c>
      <c r="GK48" s="45">
        <v>49.204991979999996</v>
      </c>
      <c r="GL48" s="45">
        <v>52.893782899999991</v>
      </c>
      <c r="GM48" s="45">
        <v>4.67352246</v>
      </c>
      <c r="GN48" s="45">
        <v>41.807400489999992</v>
      </c>
      <c r="GO48" s="45">
        <v>9.4765467900000004</v>
      </c>
      <c r="GP48" s="45">
        <v>19.774376830000001</v>
      </c>
      <c r="GQ48" s="45">
        <v>18.209012000000001</v>
      </c>
      <c r="GR48" s="45">
        <v>20.051940000000002</v>
      </c>
      <c r="GS48" s="45">
        <v>11.821706999999996</v>
      </c>
      <c r="GT48" s="50">
        <f t="shared" si="15"/>
        <v>371.95239734999996</v>
      </c>
      <c r="GU48" s="50">
        <v>371.95239500000002</v>
      </c>
      <c r="GV48" s="45">
        <v>98.576904320000025</v>
      </c>
      <c r="GW48" s="45">
        <v>48.869096000000006</v>
      </c>
      <c r="GX48" s="45">
        <v>51.628005999999999</v>
      </c>
      <c r="GY48" s="45">
        <v>4.0451940000000004</v>
      </c>
      <c r="GZ48" s="45">
        <v>77.775047909999984</v>
      </c>
      <c r="HA48" s="45">
        <v>4.4120369999999989</v>
      </c>
      <c r="HB48" s="45">
        <v>68.207904459999995</v>
      </c>
      <c r="HC48" s="45">
        <v>7.8759365699999995</v>
      </c>
      <c r="HD48" s="45">
        <v>23.270601589999998</v>
      </c>
      <c r="HE48" s="45">
        <v>16.734449659999999</v>
      </c>
      <c r="HF48" s="45">
        <v>11.20911452</v>
      </c>
      <c r="HG48" s="45">
        <v>11.24806384</v>
      </c>
      <c r="HH48" s="50">
        <f t="shared" si="6"/>
        <v>423.85235587000005</v>
      </c>
      <c r="HI48" s="45">
        <v>107.39872530999999</v>
      </c>
      <c r="HJ48" s="45">
        <v>47.532158929999994</v>
      </c>
      <c r="HK48" s="45">
        <v>47.802387329999995</v>
      </c>
      <c r="HL48" s="45">
        <v>2.9367491499999998</v>
      </c>
      <c r="HM48" s="45"/>
      <c r="HN48" s="45"/>
      <c r="HO48" s="45"/>
      <c r="HP48" s="45"/>
      <c r="HQ48" s="45"/>
      <c r="HR48" s="45"/>
      <c r="HS48" s="45"/>
      <c r="HT48" s="45"/>
      <c r="HU48" s="276">
        <f t="shared" si="16"/>
        <v>203.11920000000001</v>
      </c>
      <c r="HV48" s="276">
        <f t="shared" si="17"/>
        <v>205.67002099999999</v>
      </c>
      <c r="HW48" s="280">
        <f t="shared" si="18"/>
        <v>2.5508209999999849</v>
      </c>
      <c r="HX48" s="280">
        <f t="shared" si="19"/>
        <v>1.2558246586240784</v>
      </c>
    </row>
    <row r="49" spans="1:232" s="12" customFormat="1" ht="20.5">
      <c r="A49" s="314" t="s">
        <v>132</v>
      </c>
      <c r="B49" s="13">
        <v>3000</v>
      </c>
      <c r="C49" s="46" t="s">
        <v>133</v>
      </c>
      <c r="D49" s="42">
        <v>1440.6113340276947</v>
      </c>
      <c r="E49" s="42">
        <v>1844.2891389348956</v>
      </c>
      <c r="F49" s="42">
        <v>1720.9691379104272</v>
      </c>
      <c r="G49" s="42">
        <v>1666.2159805578794</v>
      </c>
      <c r="H49" s="42">
        <v>66.510625722107434</v>
      </c>
      <c r="I49" s="42">
        <v>127.15259655608108</v>
      </c>
      <c r="J49" s="42">
        <v>107.04397079413323</v>
      </c>
      <c r="K49" s="42">
        <v>106.36108489706946</v>
      </c>
      <c r="L49" s="42">
        <v>140.92035449428292</v>
      </c>
      <c r="M49" s="42">
        <v>113.49935669119701</v>
      </c>
      <c r="N49" s="42">
        <v>118.06910662147621</v>
      </c>
      <c r="O49" s="42">
        <v>113.71391975572138</v>
      </c>
      <c r="P49" s="42">
        <v>139.09881383714517</v>
      </c>
      <c r="Q49" s="42">
        <v>114.01675551078252</v>
      </c>
      <c r="R49" s="42">
        <v>171.20635619603758</v>
      </c>
      <c r="S49" s="42">
        <v>262.9631097005709</v>
      </c>
      <c r="T49" s="42">
        <v>1580.5560507766049</v>
      </c>
      <c r="U49" s="42">
        <v>1580.7153075395131</v>
      </c>
      <c r="V49" s="42">
        <v>80.720824013522986</v>
      </c>
      <c r="W49" s="42">
        <v>135.53263451830097</v>
      </c>
      <c r="X49" s="42">
        <v>127.51792815635653</v>
      </c>
      <c r="Y49" s="42">
        <v>99.700020645869969</v>
      </c>
      <c r="Z49" s="42">
        <v>121.22733726615104</v>
      </c>
      <c r="AA49" s="42">
        <v>122.60489837849529</v>
      </c>
      <c r="AB49" s="42">
        <v>124.36255769745193</v>
      </c>
      <c r="AC49" s="42">
        <v>134.18830143254732</v>
      </c>
      <c r="AD49" s="42">
        <v>125.30831497828697</v>
      </c>
      <c r="AE49" s="42">
        <v>199.66508188627273</v>
      </c>
      <c r="AF49" s="42">
        <v>202.23976955168158</v>
      </c>
      <c r="AG49" s="42">
        <v>259.30689352934809</v>
      </c>
      <c r="AH49" s="42">
        <v>1732.3745620542854</v>
      </c>
      <c r="AI49" s="42">
        <v>1733.1587782653487</v>
      </c>
      <c r="AJ49" s="42">
        <v>99.629622199076849</v>
      </c>
      <c r="AK49" s="42">
        <v>148.42348933699864</v>
      </c>
      <c r="AL49" s="42">
        <v>135.06458203140565</v>
      </c>
      <c r="AM49" s="42">
        <v>128.55642413816656</v>
      </c>
      <c r="AN49" s="42">
        <v>129.28636856079362</v>
      </c>
      <c r="AO49" s="42">
        <v>120.72682092019966</v>
      </c>
      <c r="AP49" s="42">
        <v>125.14484550457883</v>
      </c>
      <c r="AQ49" s="42">
        <v>134.73394740212063</v>
      </c>
      <c r="AR49" s="42">
        <v>120.297772921042</v>
      </c>
      <c r="AS49" s="42">
        <v>128.00954320123392</v>
      </c>
      <c r="AT49" s="42">
        <v>186.27256674691665</v>
      </c>
      <c r="AU49" s="42">
        <v>256.28325393708633</v>
      </c>
      <c r="AV49" s="42">
        <v>1712.4292368996196</v>
      </c>
      <c r="AW49" s="42">
        <v>1708.9143530771025</v>
      </c>
      <c r="AX49" s="42">
        <f>AX50+AX51+AX52+AX53</f>
        <v>101.415226</v>
      </c>
      <c r="AY49" s="42">
        <f>AY50+AY51+AY52+AY53</f>
        <v>166.36940699999997</v>
      </c>
      <c r="AZ49" s="42">
        <f t="shared" ref="AZ49:BG49" si="33">AZ50+AZ51+AZ52+AZ53</f>
        <v>124.68593300000001</v>
      </c>
      <c r="BA49" s="42">
        <f t="shared" si="33"/>
        <v>145.78010699999999</v>
      </c>
      <c r="BB49" s="42">
        <f t="shared" si="33"/>
        <v>130.947923</v>
      </c>
      <c r="BC49" s="42">
        <f t="shared" si="33"/>
        <v>120.69511699999998</v>
      </c>
      <c r="BD49" s="42">
        <f t="shared" si="33"/>
        <v>146.095979</v>
      </c>
      <c r="BE49" s="42">
        <f t="shared" si="33"/>
        <v>125.69016500000001</v>
      </c>
      <c r="BF49" s="42">
        <f t="shared" si="33"/>
        <v>128.54879147000005</v>
      </c>
      <c r="BG49" s="42">
        <f t="shared" si="33"/>
        <v>173.44762348</v>
      </c>
      <c r="BH49" s="42">
        <f>BH50+BH51+BH52+BH53</f>
        <v>217.37751402999999</v>
      </c>
      <c r="BI49" s="42">
        <f>BI50+BI51+BI52+BI53</f>
        <v>358.75587270999989</v>
      </c>
      <c r="BJ49" s="45">
        <f t="shared" si="28"/>
        <v>1939.8096586899997</v>
      </c>
      <c r="BK49" s="42">
        <f>BK50+BK51+BK52+BK53</f>
        <v>1939.957521</v>
      </c>
      <c r="BL49" s="42">
        <f>BL50+BL51+BL52+BL53</f>
        <v>116.36762912</v>
      </c>
      <c r="BM49" s="42">
        <v>152.73469889999998</v>
      </c>
      <c r="BN49" s="42">
        <v>148.90081263999997</v>
      </c>
      <c r="BO49" s="42">
        <v>151.21089090999999</v>
      </c>
      <c r="BP49" s="42">
        <v>113.81953267000003</v>
      </c>
      <c r="BQ49" s="42">
        <v>141.66258952000001</v>
      </c>
      <c r="BR49" s="42">
        <v>147.99941914000001</v>
      </c>
      <c r="BS49" s="42">
        <v>136.43918986000003</v>
      </c>
      <c r="BT49" s="42">
        <v>134.19004462000001</v>
      </c>
      <c r="BU49" s="42">
        <v>126.15627808999997</v>
      </c>
      <c r="BV49" s="42">
        <v>165.43146818000005</v>
      </c>
      <c r="BW49" s="42">
        <v>259.22139649000007</v>
      </c>
      <c r="BX49" s="45">
        <f t="shared" si="4"/>
        <v>1794.1339501399998</v>
      </c>
      <c r="BY49" s="45">
        <f>BY50+BY51+BY52+BY53</f>
        <v>1794.8722838399999</v>
      </c>
      <c r="BZ49" s="45">
        <v>146.01167220999997</v>
      </c>
      <c r="CA49" s="45">
        <v>181.93120739999998</v>
      </c>
      <c r="CB49" s="45">
        <v>186.85710099999994</v>
      </c>
      <c r="CC49" s="45">
        <v>220.98595011</v>
      </c>
      <c r="CD49" s="45">
        <v>106.50127389000002</v>
      </c>
      <c r="CE49" s="139">
        <v>115.94519964</v>
      </c>
      <c r="CF49" s="45">
        <v>140.28379121999998</v>
      </c>
      <c r="CG49" s="45">
        <v>101.75037017999999</v>
      </c>
      <c r="CH49" s="45">
        <v>101.23089437000004</v>
      </c>
      <c r="CI49" s="45">
        <v>183.53666703000005</v>
      </c>
      <c r="CJ49" s="45">
        <v>167.00661972</v>
      </c>
      <c r="CK49" s="45">
        <v>251.44325930999995</v>
      </c>
      <c r="CL49" s="45">
        <f t="shared" si="5"/>
        <v>1903.4840060799997</v>
      </c>
      <c r="CM49" s="45">
        <f>CM50+CM51+CM52+CM53</f>
        <v>1903.485936</v>
      </c>
      <c r="CN49" s="45">
        <v>132.38785641000001</v>
      </c>
      <c r="CO49" s="45">
        <v>165.60479547</v>
      </c>
      <c r="CP49" s="45">
        <v>130.50603977999998</v>
      </c>
      <c r="CQ49" s="45">
        <v>122.93804629999997</v>
      </c>
      <c r="CR49" s="45">
        <v>121.03953381000004</v>
      </c>
      <c r="CS49" s="45">
        <v>175.87579893000006</v>
      </c>
      <c r="CT49" s="45">
        <v>113.44026885999997</v>
      </c>
      <c r="CU49" s="45">
        <v>114.64922162999999</v>
      </c>
      <c r="CV49" s="45">
        <v>115.88054756999998</v>
      </c>
      <c r="CW49" s="45">
        <v>222.46938056999994</v>
      </c>
      <c r="CX49" s="45">
        <v>193.69232335000001</v>
      </c>
      <c r="CY49" s="45">
        <v>293.24673626999993</v>
      </c>
      <c r="CZ49" s="45">
        <f t="shared" si="9"/>
        <v>1901.7305489499997</v>
      </c>
      <c r="DA49" s="45">
        <f>DA50+DA51+DA52+DA53</f>
        <v>1903.8228280000001</v>
      </c>
      <c r="DB49" s="45">
        <v>140.23322198000005</v>
      </c>
      <c r="DC49" s="45">
        <v>150.60379183000001</v>
      </c>
      <c r="DD49" s="45">
        <v>142.78265219999994</v>
      </c>
      <c r="DE49" s="45">
        <v>212.15922821000001</v>
      </c>
      <c r="DF49" s="45">
        <v>136.13030843000001</v>
      </c>
      <c r="DG49" s="45">
        <v>156.55234864000002</v>
      </c>
      <c r="DH49" s="45">
        <v>157.96411814000001</v>
      </c>
      <c r="DI49" s="45">
        <v>174.13981488000005</v>
      </c>
      <c r="DJ49" s="45">
        <v>136.76473691000004</v>
      </c>
      <c r="DK49" s="45">
        <v>290.42714920999998</v>
      </c>
      <c r="DL49" s="45">
        <v>196.88731004000002</v>
      </c>
      <c r="DM49" s="45">
        <v>381.47759681999992</v>
      </c>
      <c r="DN49" s="45">
        <f t="shared" si="20"/>
        <v>2276.1222772900001</v>
      </c>
      <c r="DO49" s="45">
        <f>DO50+DO51+DO52+DO53</f>
        <v>2276.1600830000002</v>
      </c>
      <c r="DP49" s="42">
        <v>149.8930254</v>
      </c>
      <c r="DQ49" s="42">
        <v>164.46365580999998</v>
      </c>
      <c r="DR49" s="42">
        <v>159.08342907000002</v>
      </c>
      <c r="DS49" s="42">
        <v>168.97096557000003</v>
      </c>
      <c r="DT49" s="42">
        <v>154.57889598999998</v>
      </c>
      <c r="DU49" s="42">
        <v>148.20592316</v>
      </c>
      <c r="DV49" s="42">
        <v>188.46535898999988</v>
      </c>
      <c r="DW49" s="42">
        <v>157.78503390999992</v>
      </c>
      <c r="DX49" s="42">
        <v>148.44742671000003</v>
      </c>
      <c r="DY49" s="42">
        <v>270.03675010000001</v>
      </c>
      <c r="DZ49" s="42">
        <v>204.72633418000004</v>
      </c>
      <c r="EA49" s="42">
        <v>414.76729611999997</v>
      </c>
      <c r="EB49" s="42">
        <f t="shared" si="31"/>
        <v>2329.4240950099997</v>
      </c>
      <c r="EC49" s="45">
        <f>EC50+EC51+EC52+EC53</f>
        <v>2329.5219200000001</v>
      </c>
      <c r="ED49" s="42">
        <v>165.66806087000001</v>
      </c>
      <c r="EE49" s="42">
        <v>186.27637799999997</v>
      </c>
      <c r="EF49" s="50">
        <v>207.72981322999999</v>
      </c>
      <c r="EG49" s="50">
        <v>301.62615163999999</v>
      </c>
      <c r="EH49" s="50">
        <v>131.89135143999999</v>
      </c>
      <c r="EI49" s="42">
        <v>161.21299305999997</v>
      </c>
      <c r="EJ49" s="42">
        <v>183.16394276999998</v>
      </c>
      <c r="EK49" s="42">
        <v>272.95744477000011</v>
      </c>
      <c r="EL49" s="42">
        <v>192.53529866</v>
      </c>
      <c r="EM49" s="42">
        <v>308.12249720000017</v>
      </c>
      <c r="EN49" s="42">
        <v>182.384951</v>
      </c>
      <c r="EO49" s="42">
        <v>480.18755079999994</v>
      </c>
      <c r="EP49" s="50">
        <f t="shared" si="11"/>
        <v>2773.7564334399999</v>
      </c>
      <c r="EQ49" s="45">
        <f>EQ50+EQ51+EQ52+EQ53</f>
        <v>2773.8100599999998</v>
      </c>
      <c r="ER49" s="42">
        <v>151.03761183999995</v>
      </c>
      <c r="ES49" s="42">
        <v>249.16186998000001</v>
      </c>
      <c r="ET49" s="42">
        <v>229.5081390899999</v>
      </c>
      <c r="EU49" s="42">
        <v>237.31311638000003</v>
      </c>
      <c r="EV49" s="42">
        <v>214.25080978000005</v>
      </c>
      <c r="EW49" s="42">
        <v>225.31628599999999</v>
      </c>
      <c r="EX49" s="42">
        <v>221.84506624999995</v>
      </c>
      <c r="EY49" s="42">
        <v>216.66726712999994</v>
      </c>
      <c r="EZ49" s="42">
        <v>243.65371099999999</v>
      </c>
      <c r="FA49" s="42">
        <v>339.97669641999988</v>
      </c>
      <c r="FB49" s="42">
        <v>231.04138163000002</v>
      </c>
      <c r="FC49" s="42">
        <v>1068.038378</v>
      </c>
      <c r="FD49" s="50">
        <f t="shared" si="12"/>
        <v>3627.8103334999996</v>
      </c>
      <c r="FE49" s="45">
        <f>FE50+FE51+FE52+FE53</f>
        <v>3627.6195569999995</v>
      </c>
      <c r="FF49" s="45">
        <v>257.87456755000005</v>
      </c>
      <c r="FG49" s="45">
        <v>276.24907633000004</v>
      </c>
      <c r="FH49" s="45">
        <v>335.34318915000011</v>
      </c>
      <c r="FI49" s="45">
        <v>304.69563208000011</v>
      </c>
      <c r="FJ49" s="45">
        <v>309.73671557999978</v>
      </c>
      <c r="FK49" s="45">
        <v>281.62703079000022</v>
      </c>
      <c r="FL49" s="45">
        <v>229.56484615999986</v>
      </c>
      <c r="FM49" s="45">
        <v>230.89558252000003</v>
      </c>
      <c r="FN49" s="45">
        <v>239.13894431999987</v>
      </c>
      <c r="FO49" s="45">
        <v>360.03917974000007</v>
      </c>
      <c r="FP49" s="45">
        <v>273.60544627999991</v>
      </c>
      <c r="FQ49" s="45">
        <v>742.08892897000032</v>
      </c>
      <c r="FR49" s="50">
        <f t="shared" si="13"/>
        <v>3840.8591394700006</v>
      </c>
      <c r="FS49" s="45">
        <f>FS50+FS51+FS52+FS53</f>
        <v>3840.822392</v>
      </c>
      <c r="FT49" s="45">
        <v>220.1479999700002</v>
      </c>
      <c r="FU49" s="45">
        <v>441.89865080999999</v>
      </c>
      <c r="FV49" s="45">
        <v>366.25553347000005</v>
      </c>
      <c r="FW49" s="45">
        <v>317.93356746999996</v>
      </c>
      <c r="FX49" s="45">
        <v>288.93698384999993</v>
      </c>
      <c r="FY49" s="45">
        <v>274.46182628000008</v>
      </c>
      <c r="FZ49" s="45">
        <v>278.06169843000004</v>
      </c>
      <c r="GA49" s="45">
        <v>266.1424146600001</v>
      </c>
      <c r="GB49" s="45">
        <v>261.56411559999992</v>
      </c>
      <c r="GC49" s="45">
        <v>308.40712101999998</v>
      </c>
      <c r="GD49" s="45">
        <v>360.27034284999991</v>
      </c>
      <c r="GE49" s="45">
        <v>652.03443222999988</v>
      </c>
      <c r="GF49" s="50">
        <f t="shared" si="14"/>
        <v>4036.1146866400004</v>
      </c>
      <c r="GG49" s="45">
        <f>GG50+GG51+GG52+GG53</f>
        <v>4036.1384869999997</v>
      </c>
      <c r="GH49" s="45">
        <v>321.53187513999995</v>
      </c>
      <c r="GI49" s="45">
        <v>243.64105140999993</v>
      </c>
      <c r="GJ49" s="45">
        <v>311.61712976999996</v>
      </c>
      <c r="GK49" s="45">
        <v>448.04740513000007</v>
      </c>
      <c r="GL49" s="45">
        <v>276.15298687000001</v>
      </c>
      <c r="GM49" s="45">
        <v>297.7063264300001</v>
      </c>
      <c r="GN49" s="45">
        <v>327.80356899999998</v>
      </c>
      <c r="GO49" s="45">
        <v>295.92426666999984</v>
      </c>
      <c r="GP49" s="45">
        <v>250.78607382000004</v>
      </c>
      <c r="GQ49" s="45">
        <v>368.24164657999989</v>
      </c>
      <c r="GR49" s="45">
        <v>294.33857983000007</v>
      </c>
      <c r="GS49" s="45">
        <v>614.43441882000059</v>
      </c>
      <c r="GT49" s="50">
        <f t="shared" si="15"/>
        <v>4050.2253294700004</v>
      </c>
      <c r="GU49" s="45">
        <f>GU50+GU51+GU52+GU53</f>
        <v>4050.2250449999997</v>
      </c>
      <c r="GV49" s="45">
        <v>331.21335411999985</v>
      </c>
      <c r="GW49" s="45">
        <v>311.75217563999996</v>
      </c>
      <c r="GX49" s="45">
        <v>394.74796900000001</v>
      </c>
      <c r="GY49" s="45">
        <v>419.50204200000002</v>
      </c>
      <c r="GZ49" s="45">
        <v>291.51892215000015</v>
      </c>
      <c r="HA49" s="45">
        <v>259.53577130000002</v>
      </c>
      <c r="HB49" s="45">
        <v>322.51426582999989</v>
      </c>
      <c r="HC49" s="45">
        <v>338.43389382999999</v>
      </c>
      <c r="HD49" s="45">
        <v>325.53768042999991</v>
      </c>
      <c r="HE49" s="45">
        <v>401.53739586000006</v>
      </c>
      <c r="HF49" s="45">
        <v>320.85725567000003</v>
      </c>
      <c r="HG49" s="45">
        <v>636.76952160000053</v>
      </c>
      <c r="HH49" s="45">
        <f t="shared" si="6"/>
        <v>4353.92024743</v>
      </c>
      <c r="HI49" s="45">
        <v>367.82344357000011</v>
      </c>
      <c r="HJ49" s="45">
        <v>322.30046874000021</v>
      </c>
      <c r="HK49" s="45">
        <v>333.20095269999996</v>
      </c>
      <c r="HL49" s="45">
        <v>359.68609471000013</v>
      </c>
      <c r="HM49" s="45"/>
      <c r="HN49" s="45"/>
      <c r="HO49" s="45"/>
      <c r="HP49" s="45"/>
      <c r="HQ49" s="45"/>
      <c r="HR49" s="45"/>
      <c r="HS49" s="45"/>
      <c r="HT49" s="45"/>
      <c r="HU49" s="276">
        <f t="shared" si="16"/>
        <v>1457.215541</v>
      </c>
      <c r="HV49" s="276">
        <f t="shared" si="17"/>
        <v>1383.0109600000001</v>
      </c>
      <c r="HW49" s="280">
        <f t="shared" si="18"/>
        <v>-74.204580999999962</v>
      </c>
      <c r="HX49" s="280">
        <f t="shared" si="19"/>
        <v>-5.092217239810509</v>
      </c>
    </row>
    <row r="50" spans="1:232" s="12" customFormat="1" ht="20.5">
      <c r="A50" s="314" t="s">
        <v>134</v>
      </c>
      <c r="B50" s="13">
        <v>3100</v>
      </c>
      <c r="C50" s="56" t="s">
        <v>135</v>
      </c>
      <c r="D50" s="42">
        <v>63.816798140021973</v>
      </c>
      <c r="E50" s="42">
        <v>63.013402029584348</v>
      </c>
      <c r="F50" s="42">
        <v>62.298463013870155</v>
      </c>
      <c r="G50" s="42">
        <v>34.396006567976279</v>
      </c>
      <c r="H50" s="42">
        <v>0</v>
      </c>
      <c r="I50" s="42">
        <v>0.48804797639171094</v>
      </c>
      <c r="J50" s="42">
        <v>0.20850746438551859</v>
      </c>
      <c r="K50" s="42">
        <v>2.7147167346799392</v>
      </c>
      <c r="L50" s="42">
        <v>0.71238412131974205</v>
      </c>
      <c r="M50" s="42">
        <v>0.88532060147637148</v>
      </c>
      <c r="N50" s="42">
        <v>0.52446401841765289</v>
      </c>
      <c r="O50" s="42">
        <v>0.36071022646427719</v>
      </c>
      <c r="P50" s="42">
        <v>0.3449980364369013</v>
      </c>
      <c r="Q50" s="42">
        <v>0.343573898270357</v>
      </c>
      <c r="R50" s="42">
        <v>0.4496358728749405</v>
      </c>
      <c r="S50" s="42">
        <v>4.1857622182002379</v>
      </c>
      <c r="T50" s="42">
        <v>11.218121168917648</v>
      </c>
      <c r="U50" s="42">
        <v>11.218120557082772</v>
      </c>
      <c r="V50" s="42">
        <v>0</v>
      </c>
      <c r="W50" s="42">
        <v>0</v>
      </c>
      <c r="X50" s="42">
        <v>0.7966256879585204</v>
      </c>
      <c r="Y50" s="42">
        <v>0.75579450316162111</v>
      </c>
      <c r="Z50" s="42">
        <v>3.8155638129549634</v>
      </c>
      <c r="AA50" s="42">
        <v>0.61832459690041608</v>
      </c>
      <c r="AB50" s="42">
        <v>0.31335052162480581</v>
      </c>
      <c r="AC50" s="42">
        <v>0.31615642483537376</v>
      </c>
      <c r="AD50" s="42">
        <v>0.36913136521704493</v>
      </c>
      <c r="AE50" s="42">
        <v>0.3146467578442923</v>
      </c>
      <c r="AF50" s="42">
        <v>0.39034496104176986</v>
      </c>
      <c r="AG50" s="42">
        <v>0.79566280214682905</v>
      </c>
      <c r="AH50" s="42">
        <v>8.4856014336856358</v>
      </c>
      <c r="AI50" s="42">
        <v>8.4856033830200168</v>
      </c>
      <c r="AJ50" s="42">
        <v>0</v>
      </c>
      <c r="AK50" s="42">
        <v>0.66592250470970571</v>
      </c>
      <c r="AL50" s="42">
        <v>0.37427150386167407</v>
      </c>
      <c r="AM50" s="42">
        <v>0.83570399428574682</v>
      </c>
      <c r="AN50" s="42">
        <v>0.46441824463150466</v>
      </c>
      <c r="AO50" s="42">
        <v>0.64081405342029929</v>
      </c>
      <c r="AP50" s="42">
        <v>1.2131390828737458</v>
      </c>
      <c r="AQ50" s="42">
        <v>0.4585368751458444</v>
      </c>
      <c r="AR50" s="42">
        <v>0.47906528705015911</v>
      </c>
      <c r="AS50" s="42">
        <v>0.20756996260692881</v>
      </c>
      <c r="AT50" s="42">
        <v>0.4076356992845801</v>
      </c>
      <c r="AU50" s="42">
        <v>1.3566086704116653</v>
      </c>
      <c r="AV50" s="42">
        <v>7.1036858782818548</v>
      </c>
      <c r="AW50" s="42">
        <v>7.1036875145844354</v>
      </c>
      <c r="AX50" s="42"/>
      <c r="AY50" s="42">
        <v>0.748529</v>
      </c>
      <c r="AZ50" s="42">
        <v>0.98456299999999997</v>
      </c>
      <c r="BA50" s="42">
        <v>1.29769</v>
      </c>
      <c r="BB50" s="42">
        <v>0.56555</v>
      </c>
      <c r="BC50" s="42">
        <v>0.81716299999999997</v>
      </c>
      <c r="BD50" s="42">
        <v>1.0589459999999999</v>
      </c>
      <c r="BE50" s="42">
        <v>0.65972500000000001</v>
      </c>
      <c r="BF50" s="42">
        <v>6.8669434599999999</v>
      </c>
      <c r="BG50" s="42">
        <v>0.77430683000000011</v>
      </c>
      <c r="BH50" s="42">
        <v>0.91527996</v>
      </c>
      <c r="BI50" s="42">
        <v>9.1470301000000003</v>
      </c>
      <c r="BJ50" s="45">
        <f t="shared" si="28"/>
        <v>23.835726350000002</v>
      </c>
      <c r="BK50" s="42">
        <v>22.272048999999999</v>
      </c>
      <c r="BL50" s="42">
        <v>6.2620000000000004E-4</v>
      </c>
      <c r="BM50" s="42">
        <v>0.36018211999999999</v>
      </c>
      <c r="BN50" s="42">
        <v>1.3636492900000001</v>
      </c>
      <c r="BO50" s="42">
        <v>1.1565622099999999</v>
      </c>
      <c r="BP50" s="42">
        <v>0.68131443999999997</v>
      </c>
      <c r="BQ50" s="42">
        <v>1.01073244</v>
      </c>
      <c r="BR50" s="42">
        <v>0.71952517000000005</v>
      </c>
      <c r="BS50" s="42">
        <v>0.46222083000000003</v>
      </c>
      <c r="BT50" s="42">
        <v>0.74140005000000009</v>
      </c>
      <c r="BU50" s="42">
        <v>1.38150156</v>
      </c>
      <c r="BV50" s="42">
        <v>0.75056451999999996</v>
      </c>
      <c r="BW50" s="42">
        <v>0.36765101</v>
      </c>
      <c r="BX50" s="45">
        <f t="shared" si="4"/>
        <v>8.9959298399999987</v>
      </c>
      <c r="BY50" s="45">
        <v>8.9959298399999987</v>
      </c>
      <c r="BZ50" s="45">
        <v>0.13374770000000002</v>
      </c>
      <c r="CA50" s="45">
        <v>1.74246071</v>
      </c>
      <c r="CB50" s="45">
        <v>2.6343886200000002</v>
      </c>
      <c r="CC50" s="45">
        <v>1.36088411</v>
      </c>
      <c r="CD50" s="45">
        <v>0.58813802999999998</v>
      </c>
      <c r="CE50" s="139">
        <v>3.7838964899999996</v>
      </c>
      <c r="CF50" s="45">
        <v>1.7408942199999999</v>
      </c>
      <c r="CG50" s="45">
        <v>1.75093918</v>
      </c>
      <c r="CH50" s="45">
        <v>0.93376891999999978</v>
      </c>
      <c r="CI50" s="45">
        <v>0.23175949000000001</v>
      </c>
      <c r="CJ50" s="45">
        <v>0.17340869999999997</v>
      </c>
      <c r="CK50" s="45">
        <v>0.62083712000000002</v>
      </c>
      <c r="CL50" s="45">
        <f t="shared" si="5"/>
        <v>15.695123289999998</v>
      </c>
      <c r="CM50" s="45">
        <v>15.695123000000001</v>
      </c>
      <c r="CN50" s="45">
        <v>0</v>
      </c>
      <c r="CO50" s="45">
        <v>0.10009827</v>
      </c>
      <c r="CP50" s="45">
        <v>1.4446724300000002</v>
      </c>
      <c r="CQ50" s="45">
        <v>3.1663042299999997</v>
      </c>
      <c r="CR50" s="45">
        <v>0.43104913</v>
      </c>
      <c r="CS50" s="45">
        <v>0.91536731000000005</v>
      </c>
      <c r="CT50" s="45">
        <v>0.66774911999999997</v>
      </c>
      <c r="CU50" s="45">
        <v>0.59250002000000002</v>
      </c>
      <c r="CV50" s="45">
        <v>0.70365630999999995</v>
      </c>
      <c r="CW50" s="45">
        <v>2.0398162800000001</v>
      </c>
      <c r="CX50" s="45">
        <v>15.01302641</v>
      </c>
      <c r="CY50" s="45">
        <v>0.85764262000000002</v>
      </c>
      <c r="CZ50" s="45">
        <f t="shared" si="9"/>
        <v>25.931882129999998</v>
      </c>
      <c r="DA50" s="45">
        <v>25.931882000000002</v>
      </c>
      <c r="DB50" s="45">
        <v>1.41047E-3</v>
      </c>
      <c r="DC50" s="45">
        <v>0</v>
      </c>
      <c r="DD50" s="45">
        <v>1.63075656</v>
      </c>
      <c r="DE50" s="45">
        <v>0.57742054999999992</v>
      </c>
      <c r="DF50" s="45">
        <v>0.79059857000000011</v>
      </c>
      <c r="DG50" s="45">
        <v>0.43052953999999999</v>
      </c>
      <c r="DH50" s="45">
        <v>1.1880545899999999</v>
      </c>
      <c r="DI50" s="45">
        <v>0.4690491</v>
      </c>
      <c r="DJ50" s="45">
        <v>1.26988436</v>
      </c>
      <c r="DK50" s="45">
        <v>1.5357783</v>
      </c>
      <c r="DL50" s="45">
        <v>0.23274235999999998</v>
      </c>
      <c r="DM50" s="45">
        <v>0.95868306999999997</v>
      </c>
      <c r="DN50" s="45">
        <f t="shared" si="20"/>
        <v>9.0849074699999992</v>
      </c>
      <c r="DO50" s="45">
        <v>9.0849080000000004</v>
      </c>
      <c r="DP50" s="42">
        <v>5.0509999999999999E-2</v>
      </c>
      <c r="DQ50" s="42">
        <v>2.3000000000000001E-4</v>
      </c>
      <c r="DR50" s="42">
        <v>0.67354546000000004</v>
      </c>
      <c r="DS50" s="42">
        <v>0.46113604000000002</v>
      </c>
      <c r="DT50" s="42">
        <v>2.4096089599999999</v>
      </c>
      <c r="DU50" s="42">
        <v>0.54139895999999998</v>
      </c>
      <c r="DV50" s="42">
        <v>0.36487720000000001</v>
      </c>
      <c r="DW50" s="42">
        <v>1.23198048</v>
      </c>
      <c r="DX50" s="42">
        <v>0.33469336999999999</v>
      </c>
      <c r="DY50" s="42">
        <v>0.55381502999999999</v>
      </c>
      <c r="DZ50" s="42">
        <v>0.46298914000000002</v>
      </c>
      <c r="EA50" s="42">
        <v>1.1383910400000001</v>
      </c>
      <c r="EB50" s="42">
        <f t="shared" si="31"/>
        <v>8.2231756800000007</v>
      </c>
      <c r="EC50" s="45">
        <v>8.2231749999999995</v>
      </c>
      <c r="ED50" s="42">
        <v>9.4390000000000002E-2</v>
      </c>
      <c r="EE50" s="42">
        <v>4.6951900000000005E-2</v>
      </c>
      <c r="EF50" s="50">
        <v>5.6596819000000007</v>
      </c>
      <c r="EG50" s="50">
        <v>12.372859949999999</v>
      </c>
      <c r="EH50" s="50">
        <v>0.89066498999999999</v>
      </c>
      <c r="EI50" s="42">
        <v>4.5790041800000001</v>
      </c>
      <c r="EJ50" s="42">
        <v>0.88259222999999998</v>
      </c>
      <c r="EK50" s="42">
        <v>12.57066163</v>
      </c>
      <c r="EL50" s="42">
        <v>2.9233329700000001</v>
      </c>
      <c r="EM50" s="42">
        <v>0.99403675999999996</v>
      </c>
      <c r="EN50" s="42">
        <v>5.0643632200000006</v>
      </c>
      <c r="EO50" s="42">
        <v>27.896619100000002</v>
      </c>
      <c r="EP50" s="50">
        <f t="shared" si="11"/>
        <v>73.975158829999998</v>
      </c>
      <c r="EQ50" s="50">
        <v>73.975159000000005</v>
      </c>
      <c r="ER50" s="42">
        <v>4.6677449999999995E-2</v>
      </c>
      <c r="ES50" s="42">
        <v>6.3948820000000003E-2</v>
      </c>
      <c r="ET50" s="42">
        <v>4.1374883599999999</v>
      </c>
      <c r="EU50" s="42">
        <v>1.4875127299999999</v>
      </c>
      <c r="EV50" s="42">
        <v>5.0548215599999997</v>
      </c>
      <c r="EW50" s="42">
        <v>2.1981288299999999</v>
      </c>
      <c r="EX50" s="42">
        <v>1.4197062499999999</v>
      </c>
      <c r="EY50" s="42">
        <v>1.6528339999999999</v>
      </c>
      <c r="EZ50" s="42">
        <v>1.591272</v>
      </c>
      <c r="FA50" s="42">
        <v>1.7697983399999999</v>
      </c>
      <c r="FB50" s="42">
        <v>4.5695189699999998</v>
      </c>
      <c r="FC50" s="42">
        <v>12.879310969999999</v>
      </c>
      <c r="FD50" s="50">
        <f t="shared" si="12"/>
        <v>36.871018280000001</v>
      </c>
      <c r="FE50" s="50">
        <v>36.871017999999999</v>
      </c>
      <c r="FF50" s="45">
        <v>6.7839999999999998E-2</v>
      </c>
      <c r="FG50" s="45">
        <v>0.12101000000000001</v>
      </c>
      <c r="FH50" s="45">
        <v>7.8235781099999997</v>
      </c>
      <c r="FI50" s="45">
        <v>1.69506625</v>
      </c>
      <c r="FJ50" s="45">
        <v>7.0371868799999993</v>
      </c>
      <c r="FK50" s="45">
        <v>4.4067030100000002</v>
      </c>
      <c r="FL50" s="45">
        <v>3.9280400200000001</v>
      </c>
      <c r="FM50" s="45">
        <v>3.5010338399999998</v>
      </c>
      <c r="FN50" s="45">
        <v>0.47918132000000002</v>
      </c>
      <c r="FO50" s="45">
        <v>1.07729081</v>
      </c>
      <c r="FP50" s="45">
        <v>0.90496171000000003</v>
      </c>
      <c r="FQ50" s="45">
        <v>4.4376617299999994</v>
      </c>
      <c r="FR50" s="50">
        <f t="shared" si="13"/>
        <v>35.479553680000002</v>
      </c>
      <c r="FS50" s="50">
        <v>35.479554</v>
      </c>
      <c r="FT50" s="45">
        <v>6.8750000000000006E-2</v>
      </c>
      <c r="FU50" s="45">
        <v>9.7449999999999995E-2</v>
      </c>
      <c r="FV50" s="45">
        <v>0.27375748</v>
      </c>
      <c r="FW50" s="45">
        <v>16.335296179999997</v>
      </c>
      <c r="FX50" s="45">
        <v>5.9710667599999994</v>
      </c>
      <c r="FY50" s="45">
        <v>3.6405937900000001</v>
      </c>
      <c r="FZ50" s="45">
        <v>0.69792360999999992</v>
      </c>
      <c r="GA50" s="45">
        <v>4.07643311</v>
      </c>
      <c r="GB50" s="45">
        <v>6.5083541800000004</v>
      </c>
      <c r="GC50" s="45">
        <v>4.6008403599999994</v>
      </c>
      <c r="GD50" s="45">
        <v>4.2191365599999999</v>
      </c>
      <c r="GE50" s="45">
        <v>0.92008075</v>
      </c>
      <c r="GF50" s="50">
        <f t="shared" si="14"/>
        <v>47.409682779999997</v>
      </c>
      <c r="GG50" s="50">
        <v>47.409683000000001</v>
      </c>
      <c r="GH50" s="45">
        <v>4.7219999999999998E-2</v>
      </c>
      <c r="GI50" s="45">
        <v>0.55091204999999999</v>
      </c>
      <c r="GJ50" s="45">
        <v>2.05112235</v>
      </c>
      <c r="GK50" s="45">
        <v>16.481018469999999</v>
      </c>
      <c r="GL50" s="45">
        <v>1.8378633200000001</v>
      </c>
      <c r="GM50" s="45">
        <v>5.8186296900000007</v>
      </c>
      <c r="GN50" s="45">
        <v>1.424107</v>
      </c>
      <c r="GO50" s="45">
        <v>3.9845432000000001</v>
      </c>
      <c r="GP50" s="45">
        <v>0.75396249999999987</v>
      </c>
      <c r="GQ50" s="45">
        <v>3.8079524899999999</v>
      </c>
      <c r="GR50" s="45">
        <v>2.2440351500000002</v>
      </c>
      <c r="GS50" s="45">
        <v>4.4831189899999995</v>
      </c>
      <c r="GT50" s="50">
        <f t="shared" si="15"/>
        <v>43.484485210000003</v>
      </c>
      <c r="GU50" s="50">
        <v>43.484485999999997</v>
      </c>
      <c r="GV50" s="45">
        <v>2.5250000000000002E-2</v>
      </c>
      <c r="GW50" s="45">
        <v>6.5540000000000001E-2</v>
      </c>
      <c r="GX50" s="45">
        <v>2.2875883099999998</v>
      </c>
      <c r="GY50" s="45">
        <v>8.2862957299999991</v>
      </c>
      <c r="GZ50" s="45">
        <v>9.0953784100000004</v>
      </c>
      <c r="HA50" s="45">
        <v>5.2419931299999991</v>
      </c>
      <c r="HB50" s="45">
        <v>0.46110453999999995</v>
      </c>
      <c r="HC50" s="45">
        <v>3.1743925500000003</v>
      </c>
      <c r="HD50" s="45">
        <v>7.384618689999999</v>
      </c>
      <c r="HE50" s="45">
        <v>4.4337265600000011</v>
      </c>
      <c r="HF50" s="45">
        <v>0.32661216999999998</v>
      </c>
      <c r="HG50" s="45">
        <v>4.3533221900000001</v>
      </c>
      <c r="HH50" s="50">
        <f t="shared" si="6"/>
        <v>45.135822279999999</v>
      </c>
      <c r="HI50" s="45">
        <v>5.8404999999999999E-2</v>
      </c>
      <c r="HJ50" s="45">
        <v>0.10022411000000001</v>
      </c>
      <c r="HK50" s="45">
        <v>3.0742872699999997</v>
      </c>
      <c r="HL50" s="45">
        <v>14.58687336</v>
      </c>
      <c r="HM50" s="45"/>
      <c r="HN50" s="45"/>
      <c r="HO50" s="45"/>
      <c r="HP50" s="45"/>
      <c r="HQ50" s="45"/>
      <c r="HR50" s="45"/>
      <c r="HS50" s="45"/>
      <c r="HT50" s="45"/>
      <c r="HU50" s="276">
        <f t="shared" si="16"/>
        <v>10.664674</v>
      </c>
      <c r="HV50" s="276">
        <f t="shared" si="17"/>
        <v>17.819790000000001</v>
      </c>
      <c r="HW50" s="280">
        <f t="shared" si="18"/>
        <v>7.1551160000000014</v>
      </c>
      <c r="HX50" s="280">
        <f t="shared" si="19"/>
        <v>67.09174607681399</v>
      </c>
    </row>
    <row r="51" spans="1:232" s="12" customFormat="1" ht="20.25" customHeight="1">
      <c r="A51" s="314" t="s">
        <v>136</v>
      </c>
      <c r="B51" s="13">
        <v>3200</v>
      </c>
      <c r="C51" s="56" t="s">
        <v>137</v>
      </c>
      <c r="D51" s="42">
        <v>1307.099379058742</v>
      </c>
      <c r="E51" s="42">
        <v>1683.5760268865861</v>
      </c>
      <c r="F51" s="42">
        <v>1545.6173755414027</v>
      </c>
      <c r="G51" s="42">
        <v>1537.7723148986061</v>
      </c>
      <c r="H51" s="42">
        <v>60.216621063625134</v>
      </c>
      <c r="I51" s="42">
        <v>120.22874632187637</v>
      </c>
      <c r="J51" s="42">
        <v>100.02630609672114</v>
      </c>
      <c r="K51" s="42">
        <v>97.078094888475306</v>
      </c>
      <c r="L51" s="42">
        <v>133.9370152133454</v>
      </c>
      <c r="M51" s="42">
        <v>106.19525456596075</v>
      </c>
      <c r="N51" s="42">
        <v>110.65290031069941</v>
      </c>
      <c r="O51" s="42">
        <v>107.8775570429309</v>
      </c>
      <c r="P51" s="42">
        <v>132.79244046704883</v>
      </c>
      <c r="Q51" s="42">
        <v>107.60996246464164</v>
      </c>
      <c r="R51" s="42">
        <v>161.94661910005351</v>
      </c>
      <c r="S51" s="42">
        <v>253.53768053393679</v>
      </c>
      <c r="T51" s="42">
        <v>1491.924922994179</v>
      </c>
      <c r="U51" s="42">
        <v>1491.2363703109261</v>
      </c>
      <c r="V51" s="42">
        <v>74.997011969197686</v>
      </c>
      <c r="W51" s="42">
        <v>117.53294328148387</v>
      </c>
      <c r="X51" s="42">
        <v>115.55435265024103</v>
      </c>
      <c r="Y51" s="42">
        <v>86.108562145349197</v>
      </c>
      <c r="Z51" s="42">
        <v>105.49925730360103</v>
      </c>
      <c r="AA51" s="42">
        <v>107.92494208911731</v>
      </c>
      <c r="AB51" s="42">
        <v>110.95944103903793</v>
      </c>
      <c r="AC51" s="42">
        <v>121.7452902943068</v>
      </c>
      <c r="AD51" s="42">
        <v>111.81860091860604</v>
      </c>
      <c r="AE51" s="42">
        <v>184.67476737468769</v>
      </c>
      <c r="AF51" s="42">
        <v>184.203346879073</v>
      </c>
      <c r="AG51" s="42">
        <v>240.39969465170941</v>
      </c>
      <c r="AH51" s="42">
        <v>1561.191362143642</v>
      </c>
      <c r="AI51" s="42">
        <v>1562.1298398984641</v>
      </c>
      <c r="AJ51" s="42">
        <v>74.117036897911802</v>
      </c>
      <c r="AK51" s="42">
        <v>133.96271590487009</v>
      </c>
      <c r="AL51" s="42">
        <v>120.9323125650964</v>
      </c>
      <c r="AM51" s="42">
        <v>112.79454442490368</v>
      </c>
      <c r="AN51" s="42">
        <v>115.99963712500214</v>
      </c>
      <c r="AO51" s="42">
        <v>108.17306816694273</v>
      </c>
      <c r="AP51" s="42">
        <v>109.36997085958532</v>
      </c>
      <c r="AQ51" s="42">
        <v>121.43165092970445</v>
      </c>
      <c r="AR51" s="42">
        <v>105.93414237824486</v>
      </c>
      <c r="AS51" s="42">
        <v>112.51507390396183</v>
      </c>
      <c r="AT51" s="42">
        <v>171.57417146174467</v>
      </c>
      <c r="AU51" s="42">
        <v>228.02015213345402</v>
      </c>
      <c r="AV51" s="42">
        <v>1514.3359513747785</v>
      </c>
      <c r="AW51" s="42">
        <v>1511.2997877075259</v>
      </c>
      <c r="AX51" s="42">
        <v>86.692564000000004</v>
      </c>
      <c r="AY51" s="42">
        <v>152.19903199999999</v>
      </c>
      <c r="AZ51" s="42">
        <v>110.45833500000001</v>
      </c>
      <c r="BA51" s="42">
        <v>131.60834</v>
      </c>
      <c r="BB51" s="42">
        <v>116.281116</v>
      </c>
      <c r="BC51" s="42">
        <v>106.01025199999999</v>
      </c>
      <c r="BD51" s="42">
        <v>130.00387499999999</v>
      </c>
      <c r="BE51" s="42">
        <v>111.05577700000001</v>
      </c>
      <c r="BF51" s="42">
        <v>108.09132476000005</v>
      </c>
      <c r="BG51" s="42">
        <v>156.68896355000001</v>
      </c>
      <c r="BH51" s="42">
        <v>196.26263107</v>
      </c>
      <c r="BI51" s="42">
        <v>320.01087718999992</v>
      </c>
      <c r="BJ51" s="45">
        <f t="shared" si="28"/>
        <v>1725.3630875700001</v>
      </c>
      <c r="BK51" s="42">
        <v>1727.0746280000001</v>
      </c>
      <c r="BL51" s="42">
        <v>103.66483492</v>
      </c>
      <c r="BM51" s="42">
        <v>140.69321878</v>
      </c>
      <c r="BN51" s="42">
        <v>135.60184334999997</v>
      </c>
      <c r="BO51" s="42">
        <v>137.38126969999999</v>
      </c>
      <c r="BP51" s="42">
        <v>102.05327523000004</v>
      </c>
      <c r="BQ51" s="42">
        <v>129.17834708000001</v>
      </c>
      <c r="BR51" s="42">
        <v>133.51176197000001</v>
      </c>
      <c r="BS51" s="42">
        <v>124.57779103000001</v>
      </c>
      <c r="BT51" s="42">
        <v>122.01808061000001</v>
      </c>
      <c r="BU51" s="42">
        <v>112.58441940999997</v>
      </c>
      <c r="BV51" s="42">
        <v>151.49630666000004</v>
      </c>
      <c r="BW51" s="42">
        <v>244.11978856000005</v>
      </c>
      <c r="BX51" s="45">
        <f t="shared" si="4"/>
        <v>1636.8809373000001</v>
      </c>
      <c r="BY51" s="45">
        <v>1637.6192719999999</v>
      </c>
      <c r="BZ51" s="45">
        <v>131.55659596999999</v>
      </c>
      <c r="CA51" s="45">
        <v>167.97125868999998</v>
      </c>
      <c r="CB51" s="45">
        <v>170.24052937999994</v>
      </c>
      <c r="CC51" s="45">
        <v>206.30674300000001</v>
      </c>
      <c r="CD51" s="45">
        <v>94.590086930000027</v>
      </c>
      <c r="CE51" s="139">
        <v>100.57449133999999</v>
      </c>
      <c r="CF51" s="45">
        <v>118.13808096999999</v>
      </c>
      <c r="CG51" s="45">
        <v>88.696941759999987</v>
      </c>
      <c r="CH51" s="45">
        <v>89.023364320000042</v>
      </c>
      <c r="CI51" s="45">
        <v>169.01214705000004</v>
      </c>
      <c r="CJ51" s="45">
        <v>162.24977071000001</v>
      </c>
      <c r="CK51" s="45">
        <v>238.06708966999994</v>
      </c>
      <c r="CL51" s="45">
        <f t="shared" si="5"/>
        <v>1736.4270997899998</v>
      </c>
      <c r="CM51" s="45">
        <v>1736.42903</v>
      </c>
      <c r="CN51" s="45">
        <v>117.78840841000002</v>
      </c>
      <c r="CO51" s="45">
        <v>146.1665462</v>
      </c>
      <c r="CP51" s="45">
        <v>116.85462134999997</v>
      </c>
      <c r="CQ51" s="45">
        <v>105.68542706999997</v>
      </c>
      <c r="CR51" s="45">
        <v>108.69212468000003</v>
      </c>
      <c r="CS51" s="45">
        <v>158.68467254000007</v>
      </c>
      <c r="CT51" s="45">
        <v>99.529990249999983</v>
      </c>
      <c r="CU51" s="45">
        <v>101.25705030999998</v>
      </c>
      <c r="CV51" s="45">
        <v>102.63356162999997</v>
      </c>
      <c r="CW51" s="45">
        <v>207.53885493999994</v>
      </c>
      <c r="CX51" s="45">
        <v>162.76064916999999</v>
      </c>
      <c r="CY51" s="45">
        <v>284.24040426999994</v>
      </c>
      <c r="CZ51" s="45">
        <f t="shared" si="9"/>
        <v>1711.83231082</v>
      </c>
      <c r="DA51" s="45">
        <v>1713.9245900000001</v>
      </c>
      <c r="DB51" s="45">
        <v>127.00778033000005</v>
      </c>
      <c r="DC51" s="45">
        <v>135.38809583000003</v>
      </c>
      <c r="DD51" s="45">
        <v>126.97655771999999</v>
      </c>
      <c r="DE51" s="45">
        <v>197.59619165999999</v>
      </c>
      <c r="DF51" s="45">
        <v>119.87234513</v>
      </c>
      <c r="DG51" s="45">
        <v>141.15161844000002</v>
      </c>
      <c r="DH51" s="45">
        <v>133.94164792000001</v>
      </c>
      <c r="DI51" s="45">
        <v>158.48395833000006</v>
      </c>
      <c r="DJ51" s="45">
        <v>121.07376062000002</v>
      </c>
      <c r="DK51" s="45">
        <v>273.36480138999997</v>
      </c>
      <c r="DL51" s="45">
        <v>182.27255270000001</v>
      </c>
      <c r="DM51" s="45">
        <v>343.91529274999994</v>
      </c>
      <c r="DN51" s="45">
        <f t="shared" si="20"/>
        <v>2061.0446028199999</v>
      </c>
      <c r="DO51" s="45">
        <v>2061.0824080000002</v>
      </c>
      <c r="DP51" s="42">
        <v>134.81100362999999</v>
      </c>
      <c r="DQ51" s="42">
        <v>149.41290480999999</v>
      </c>
      <c r="DR51" s="42">
        <v>134.92937241000001</v>
      </c>
      <c r="DS51" s="42">
        <v>152.31950753000004</v>
      </c>
      <c r="DT51" s="42">
        <v>134.33198856999999</v>
      </c>
      <c r="DU51" s="42">
        <v>130.71503684999999</v>
      </c>
      <c r="DV51" s="42">
        <v>170.42303771999991</v>
      </c>
      <c r="DW51" s="42">
        <v>139.29019540999991</v>
      </c>
      <c r="DX51" s="42">
        <v>130.19893035000001</v>
      </c>
      <c r="DY51" s="42">
        <v>252.72061806999997</v>
      </c>
      <c r="DZ51" s="42">
        <v>183.85224320999998</v>
      </c>
      <c r="EA51" s="42">
        <v>391.19439476999992</v>
      </c>
      <c r="EB51" s="42">
        <f t="shared" si="31"/>
        <v>2104.1992333299995</v>
      </c>
      <c r="EC51" s="45">
        <v>2104.2970580000001</v>
      </c>
      <c r="ED51" s="42">
        <v>147.51244287</v>
      </c>
      <c r="EE51" s="42">
        <v>168.41331209999998</v>
      </c>
      <c r="EF51" s="50">
        <v>184.11844932</v>
      </c>
      <c r="EG51" s="50">
        <v>271.80946768999996</v>
      </c>
      <c r="EH51" s="50">
        <v>111.62309345</v>
      </c>
      <c r="EI51" s="42">
        <v>138.26525408999998</v>
      </c>
      <c r="EJ51" s="42">
        <v>162.79985895999994</v>
      </c>
      <c r="EK51" s="42">
        <v>229.84300115000005</v>
      </c>
      <c r="EL51" s="42">
        <v>172.49345233</v>
      </c>
      <c r="EM51" s="42">
        <v>292.90389421000009</v>
      </c>
      <c r="EN51" s="42">
        <v>164.54344796000001</v>
      </c>
      <c r="EO51" s="42">
        <v>421.92624921999999</v>
      </c>
      <c r="EP51" s="50">
        <f t="shared" si="11"/>
        <v>2466.2519233500002</v>
      </c>
      <c r="EQ51" s="50">
        <v>2466.3050499999999</v>
      </c>
      <c r="ER51" s="42">
        <v>132.83584838999997</v>
      </c>
      <c r="ES51" s="42">
        <v>231.84285515999997</v>
      </c>
      <c r="ET51" s="42">
        <v>207.10430272999994</v>
      </c>
      <c r="EU51" s="42">
        <v>217.54554265000002</v>
      </c>
      <c r="EV51" s="42">
        <v>191.10749354000009</v>
      </c>
      <c r="EW51" s="42">
        <v>193.74753031999998</v>
      </c>
      <c r="EX51" s="42">
        <v>203.20565899999997</v>
      </c>
      <c r="EY51" s="42">
        <v>197.57930500000001</v>
      </c>
      <c r="EZ51" s="42">
        <v>222.048418</v>
      </c>
      <c r="FA51" s="42">
        <v>324.47734490999989</v>
      </c>
      <c r="FB51" s="42">
        <v>199.68505066000003</v>
      </c>
      <c r="FC51" s="42">
        <v>1030.0081130000001</v>
      </c>
      <c r="FD51" s="50">
        <f t="shared" si="12"/>
        <v>3351.18746336</v>
      </c>
      <c r="FE51" s="50">
        <v>3351.2290899999998</v>
      </c>
      <c r="FF51" s="45">
        <v>239.60556655000005</v>
      </c>
      <c r="FG51" s="45">
        <v>259.76542333000003</v>
      </c>
      <c r="FH51" s="45">
        <v>309.29102795000006</v>
      </c>
      <c r="FI51" s="45">
        <v>284.21469506000011</v>
      </c>
      <c r="FJ51" s="45">
        <v>284.70987169999984</v>
      </c>
      <c r="FK51" s="45">
        <v>257.68885657999999</v>
      </c>
      <c r="FL51" s="45">
        <v>206.23753711999987</v>
      </c>
      <c r="FM51" s="45">
        <v>208.56621604000006</v>
      </c>
      <c r="FN51" s="45">
        <v>219.9779240099999</v>
      </c>
      <c r="FO51" s="45">
        <v>343.29301328000008</v>
      </c>
      <c r="FP51" s="45">
        <v>246.43585256999992</v>
      </c>
      <c r="FQ51" s="45">
        <v>700.26834660000031</v>
      </c>
      <c r="FR51" s="50">
        <f t="shared" si="13"/>
        <v>3560.0543307900002</v>
      </c>
      <c r="FS51" s="50">
        <v>3560.0175819999999</v>
      </c>
      <c r="FT51" s="45">
        <v>200.41127997000021</v>
      </c>
      <c r="FU51" s="45">
        <v>422.22682673999992</v>
      </c>
      <c r="FV51" s="45">
        <v>346.15194199000007</v>
      </c>
      <c r="FW51" s="45">
        <v>280.38803690000003</v>
      </c>
      <c r="FX51" s="45">
        <v>261.78927708999998</v>
      </c>
      <c r="FY51" s="45">
        <v>250.36105102999997</v>
      </c>
      <c r="FZ51" s="45">
        <v>256.80416649</v>
      </c>
      <c r="GA51" s="45">
        <v>241.68081155000004</v>
      </c>
      <c r="GB51" s="45">
        <v>234.56049233999994</v>
      </c>
      <c r="GC51" s="45">
        <v>282.05377966000003</v>
      </c>
      <c r="GD51" s="45">
        <v>340.88038428999982</v>
      </c>
      <c r="GE51" s="45">
        <v>604.90618790999997</v>
      </c>
      <c r="GF51" s="50">
        <f t="shared" si="14"/>
        <v>3722.2142359600002</v>
      </c>
      <c r="GG51" s="50">
        <v>3722.2380349999999</v>
      </c>
      <c r="GH51" s="45">
        <v>297.14732013999992</v>
      </c>
      <c r="GI51" s="45">
        <v>221.33933166999992</v>
      </c>
      <c r="GJ51" s="45">
        <v>288.52445441999987</v>
      </c>
      <c r="GK51" s="45">
        <v>408.85118266000001</v>
      </c>
      <c r="GL51" s="45">
        <v>253.91453754999992</v>
      </c>
      <c r="GM51" s="45">
        <v>271.52350274000003</v>
      </c>
      <c r="GN51" s="45">
        <v>304.18301300000002</v>
      </c>
      <c r="GO51" s="45">
        <v>271.65725046999984</v>
      </c>
      <c r="GP51" s="45">
        <v>230.16989432000005</v>
      </c>
      <c r="GQ51" s="45">
        <v>341.67229300000002</v>
      </c>
      <c r="GR51" s="45">
        <v>265.0408658799999</v>
      </c>
      <c r="GS51" s="45">
        <v>579.34145808000073</v>
      </c>
      <c r="GT51" s="50">
        <f t="shared" si="15"/>
        <v>3733.3651039300003</v>
      </c>
      <c r="GU51" s="50">
        <v>3733.364818</v>
      </c>
      <c r="GV51" s="45">
        <v>308.05272811999981</v>
      </c>
      <c r="GW51" s="45">
        <v>290.24466663999993</v>
      </c>
      <c r="GX51" s="45">
        <v>370.74117726999998</v>
      </c>
      <c r="GY51" s="45">
        <v>388.47745672000002</v>
      </c>
      <c r="GZ51" s="45">
        <v>261.59112617999995</v>
      </c>
      <c r="HA51" s="45">
        <v>234.03810360999987</v>
      </c>
      <c r="HB51" s="45">
        <v>299.67792224999994</v>
      </c>
      <c r="HC51" s="45">
        <v>314.27617634000001</v>
      </c>
      <c r="HD51" s="45">
        <v>297.34669773999991</v>
      </c>
      <c r="HE51" s="45">
        <v>374.02952930000004</v>
      </c>
      <c r="HF51" s="45">
        <v>299.34683332000009</v>
      </c>
      <c r="HG51" s="45">
        <v>603.35938966000049</v>
      </c>
      <c r="HH51" s="50">
        <f t="shared" si="6"/>
        <v>4041.1818071499993</v>
      </c>
      <c r="HI51" s="45">
        <v>342.38611357000013</v>
      </c>
      <c r="HJ51" s="45">
        <v>301.65564763000015</v>
      </c>
      <c r="HK51" s="45">
        <v>308.57674142999997</v>
      </c>
      <c r="HL51" s="45">
        <v>318.8451862500001</v>
      </c>
      <c r="HM51" s="45"/>
      <c r="HN51" s="45"/>
      <c r="HO51" s="45"/>
      <c r="HP51" s="45"/>
      <c r="HQ51" s="45"/>
      <c r="HR51" s="45"/>
      <c r="HS51" s="45"/>
      <c r="HT51" s="45"/>
      <c r="HU51" s="276">
        <f t="shared" si="16"/>
        <v>1357.5160289999999</v>
      </c>
      <c r="HV51" s="276">
        <f t="shared" si="17"/>
        <v>1271.4636889999999</v>
      </c>
      <c r="HW51" s="280">
        <f t="shared" si="18"/>
        <v>-86.052339999999958</v>
      </c>
      <c r="HX51" s="280">
        <f t="shared" si="19"/>
        <v>-6.3389557221942709</v>
      </c>
    </row>
    <row r="52" spans="1:232" s="12" customFormat="1" ht="20.25" customHeight="1">
      <c r="A52" s="315" t="s">
        <v>138</v>
      </c>
      <c r="B52" s="13">
        <v>3300</v>
      </c>
      <c r="C52" s="57" t="s">
        <v>139</v>
      </c>
      <c r="D52" s="42">
        <v>63.83809568528352</v>
      </c>
      <c r="E52" s="42">
        <v>92.13887798020501</v>
      </c>
      <c r="F52" s="42">
        <v>87.051303066004181</v>
      </c>
      <c r="G52" s="42">
        <v>85.505015623132479</v>
      </c>
      <c r="H52" s="42">
        <v>6.1769967160118622</v>
      </c>
      <c r="I52" s="42">
        <v>5.9900669318899729</v>
      </c>
      <c r="J52" s="42">
        <v>5.7552916602637438</v>
      </c>
      <c r="K52" s="42">
        <v>6.1283999521915069</v>
      </c>
      <c r="L52" s="42">
        <v>5.8246950785709819</v>
      </c>
      <c r="M52" s="42">
        <v>5.6618715886648348</v>
      </c>
      <c r="N52" s="42">
        <v>5.2805401505967504</v>
      </c>
      <c r="O52" s="42">
        <v>5.0947316036903603</v>
      </c>
      <c r="P52" s="42">
        <v>5.6325248575705329</v>
      </c>
      <c r="Q52" s="42">
        <v>5.6088340419234957</v>
      </c>
      <c r="R52" s="42">
        <v>6.5827741447117551</v>
      </c>
      <c r="S52" s="42">
        <v>7.2552361682631288</v>
      </c>
      <c r="T52" s="42">
        <v>70.99196289434893</v>
      </c>
      <c r="U52" s="42">
        <v>70.984724048241048</v>
      </c>
      <c r="V52" s="42">
        <v>5.7238120443253031</v>
      </c>
      <c r="W52" s="42">
        <v>17.999691236817096</v>
      </c>
      <c r="X52" s="42">
        <v>11.166949818156981</v>
      </c>
      <c r="Y52" s="42">
        <v>12.83566399735915</v>
      </c>
      <c r="Z52" s="42">
        <v>11.912516149595053</v>
      </c>
      <c r="AA52" s="42">
        <v>14.06163169247756</v>
      </c>
      <c r="AB52" s="42">
        <v>13.089766136789205</v>
      </c>
      <c r="AC52" s="42">
        <v>12.126854713405161</v>
      </c>
      <c r="AD52" s="42">
        <v>13.120582694463891</v>
      </c>
      <c r="AE52" s="42">
        <v>14.675667753740731</v>
      </c>
      <c r="AF52" s="42">
        <v>17.646077711566807</v>
      </c>
      <c r="AG52" s="42">
        <v>18.111536075491887</v>
      </c>
      <c r="AH52" s="42">
        <v>162.47075002418885</v>
      </c>
      <c r="AI52" s="42">
        <v>162.47916346520509</v>
      </c>
      <c r="AJ52" s="42">
        <v>25.51258530116505</v>
      </c>
      <c r="AK52" s="42">
        <v>13.736144074308058</v>
      </c>
      <c r="AL52" s="42">
        <v>13.816704230482468</v>
      </c>
      <c r="AM52" s="42">
        <v>14.926175718977126</v>
      </c>
      <c r="AN52" s="42">
        <v>12.82231319115998</v>
      </c>
      <c r="AO52" s="42">
        <v>11.912938699836653</v>
      </c>
      <c r="AP52" s="42">
        <v>14.561735562119736</v>
      </c>
      <c r="AQ52" s="42">
        <v>12.843759597270363</v>
      </c>
      <c r="AR52" s="42">
        <v>13.884565255746978</v>
      </c>
      <c r="AS52" s="42">
        <v>15.286899334665144</v>
      </c>
      <c r="AT52" s="42">
        <v>14.29075958588739</v>
      </c>
      <c r="AU52" s="42">
        <v>26.906493133220639</v>
      </c>
      <c r="AV52" s="42">
        <v>190.50107368483958</v>
      </c>
      <c r="AW52" s="42">
        <v>190.51087785499229</v>
      </c>
      <c r="AX52" s="44">
        <v>14.722662</v>
      </c>
      <c r="AY52" s="44">
        <v>13.421846</v>
      </c>
      <c r="AZ52" s="44">
        <v>13.243035000000001</v>
      </c>
      <c r="BA52" s="44">
        <v>12.874077</v>
      </c>
      <c r="BB52" s="44">
        <v>14.101257</v>
      </c>
      <c r="BC52" s="44">
        <v>13.867702</v>
      </c>
      <c r="BD52" s="44">
        <v>15.033158</v>
      </c>
      <c r="BE52" s="44">
        <v>13.974663</v>
      </c>
      <c r="BF52" s="44">
        <v>13.59052325</v>
      </c>
      <c r="BG52" s="44">
        <v>15.9843531</v>
      </c>
      <c r="BH52" s="44">
        <v>20.199603</v>
      </c>
      <c r="BI52" s="44">
        <v>29.597965420000001</v>
      </c>
      <c r="BJ52" s="50">
        <f t="shared" si="28"/>
        <v>190.61084477</v>
      </c>
      <c r="BK52" s="44">
        <v>190.61084399999999</v>
      </c>
      <c r="BL52" s="44">
        <v>12.702168</v>
      </c>
      <c r="BM52" s="42">
        <v>11.681298</v>
      </c>
      <c r="BN52" s="42">
        <v>11.935320000000001</v>
      </c>
      <c r="BO52" s="42">
        <v>12.673059</v>
      </c>
      <c r="BP52" s="42">
        <v>11.084943000000001</v>
      </c>
      <c r="BQ52" s="42">
        <v>11.473509999999999</v>
      </c>
      <c r="BR52" s="42">
        <v>13.768132</v>
      </c>
      <c r="BS52" s="42">
        <v>11.399177999999999</v>
      </c>
      <c r="BT52" s="42">
        <v>11.430563960000001</v>
      </c>
      <c r="BU52" s="42">
        <v>12.190357120000002</v>
      </c>
      <c r="BV52" s="42">
        <v>13.184597</v>
      </c>
      <c r="BW52" s="42">
        <v>14.733956920000001</v>
      </c>
      <c r="BX52" s="45">
        <f t="shared" si="4"/>
        <v>148.25708300000002</v>
      </c>
      <c r="BY52" s="45">
        <v>148.257082</v>
      </c>
      <c r="BZ52" s="45">
        <v>14.32132854</v>
      </c>
      <c r="CA52" s="45">
        <v>12.217487999999999</v>
      </c>
      <c r="CB52" s="45">
        <v>13.982182999999999</v>
      </c>
      <c r="CC52" s="45">
        <v>13.318322999999999</v>
      </c>
      <c r="CD52" s="45">
        <v>11.323048930000001</v>
      </c>
      <c r="CE52" s="139">
        <v>11.58681181</v>
      </c>
      <c r="CF52" s="45">
        <v>20.404816030000003</v>
      </c>
      <c r="CG52" s="45">
        <v>11.30248924</v>
      </c>
      <c r="CH52" s="45">
        <v>11.273761129999999</v>
      </c>
      <c r="CI52" s="45">
        <v>14.292760490000001</v>
      </c>
      <c r="CJ52" s="45">
        <v>4.5834403100000003</v>
      </c>
      <c r="CK52" s="45">
        <v>12.75533252</v>
      </c>
      <c r="CL52" s="45">
        <f t="shared" si="5"/>
        <v>151.36178299999997</v>
      </c>
      <c r="CM52" s="45">
        <v>151.361783</v>
      </c>
      <c r="CN52" s="45">
        <v>14.599448000000001</v>
      </c>
      <c r="CO52" s="45">
        <v>19.338151</v>
      </c>
      <c r="CP52" s="45">
        <v>12.206746000000001</v>
      </c>
      <c r="CQ52" s="45">
        <v>14.086315000000001</v>
      </c>
      <c r="CR52" s="45">
        <v>11.916359999999999</v>
      </c>
      <c r="CS52" s="45">
        <v>16.27575908</v>
      </c>
      <c r="CT52" s="45">
        <v>13.242529490000001</v>
      </c>
      <c r="CU52" s="45">
        <v>12.7996713</v>
      </c>
      <c r="CV52" s="45">
        <v>12.543329629999999</v>
      </c>
      <c r="CW52" s="45">
        <v>12.89070935</v>
      </c>
      <c r="CX52" s="45">
        <v>15.91864777</v>
      </c>
      <c r="CY52" s="45">
        <v>8.1486893800000004</v>
      </c>
      <c r="CZ52" s="45">
        <f t="shared" si="9"/>
        <v>163.96635600000002</v>
      </c>
      <c r="DA52" s="45">
        <v>163.96635599999999</v>
      </c>
      <c r="DB52" s="45">
        <v>13.224031179999999</v>
      </c>
      <c r="DC52" s="45">
        <v>15.215695999999999</v>
      </c>
      <c r="DD52" s="45">
        <v>14.17533792</v>
      </c>
      <c r="DE52" s="45">
        <v>13.985616</v>
      </c>
      <c r="DF52" s="45">
        <v>15.46736473</v>
      </c>
      <c r="DG52" s="45">
        <v>14.97020066</v>
      </c>
      <c r="DH52" s="45">
        <v>22.834415629999999</v>
      </c>
      <c r="DI52" s="45">
        <v>15.18680745</v>
      </c>
      <c r="DJ52" s="45">
        <v>14.421091929999999</v>
      </c>
      <c r="DK52" s="45">
        <v>15.526569519999999</v>
      </c>
      <c r="DL52" s="45">
        <v>14.382014980000001</v>
      </c>
      <c r="DM52" s="45">
        <v>36.603620999999997</v>
      </c>
      <c r="DN52" s="45">
        <f t="shared" si="20"/>
        <v>205.99276700000001</v>
      </c>
      <c r="DO52" s="45">
        <v>205.99276699999999</v>
      </c>
      <c r="DP52" s="42">
        <v>15.03151177</v>
      </c>
      <c r="DQ52" s="42">
        <v>15.050521</v>
      </c>
      <c r="DR52" s="42">
        <v>23.480511199999999</v>
      </c>
      <c r="DS52" s="42">
        <v>16.190321999999998</v>
      </c>
      <c r="DT52" s="42">
        <v>17.837298459999996</v>
      </c>
      <c r="DU52" s="42">
        <v>16.949487350000002</v>
      </c>
      <c r="DV52" s="42">
        <v>17.67744407</v>
      </c>
      <c r="DW52" s="42">
        <v>17.262858019999999</v>
      </c>
      <c r="DX52" s="42">
        <v>17.913802990000001</v>
      </c>
      <c r="DY52" s="42">
        <v>16.762316999999999</v>
      </c>
      <c r="DZ52" s="42">
        <v>20.41110183</v>
      </c>
      <c r="EA52" s="42">
        <v>22.434510310000004</v>
      </c>
      <c r="EB52" s="42">
        <f t="shared" si="31"/>
        <v>217.00168600000001</v>
      </c>
      <c r="EC52" s="45">
        <v>217.001687</v>
      </c>
      <c r="ED52" s="42">
        <v>18.061228</v>
      </c>
      <c r="EE52" s="42">
        <v>17.816113999999999</v>
      </c>
      <c r="EF52" s="50">
        <v>17.951682009999999</v>
      </c>
      <c r="EG52" s="50">
        <v>17.443823999999999</v>
      </c>
      <c r="EH52" s="50">
        <v>19.377593000000001</v>
      </c>
      <c r="EI52" s="42">
        <v>18.368734789999998</v>
      </c>
      <c r="EJ52" s="42">
        <v>19.481491579999997</v>
      </c>
      <c r="EK52" s="42">
        <v>30.543781990000003</v>
      </c>
      <c r="EL52" s="42">
        <v>17.118513359999998</v>
      </c>
      <c r="EM52" s="42">
        <v>14.224566230000001</v>
      </c>
      <c r="EN52" s="42">
        <v>12.777639560000001</v>
      </c>
      <c r="EO52" s="42">
        <v>30.364682479999999</v>
      </c>
      <c r="EP52" s="50">
        <f t="shared" si="11"/>
        <v>233.52985100000001</v>
      </c>
      <c r="EQ52" s="50">
        <v>233.52985100000001</v>
      </c>
      <c r="ER52" s="42">
        <v>18.155086000000001</v>
      </c>
      <c r="ES52" s="42">
        <v>17.255065999999999</v>
      </c>
      <c r="ET52" s="42">
        <v>18.266348000000001</v>
      </c>
      <c r="EU52" s="42">
        <v>18.280061</v>
      </c>
      <c r="EV52" s="42">
        <v>18.08849468</v>
      </c>
      <c r="EW52" s="42">
        <v>29.370626850000001</v>
      </c>
      <c r="EX52" s="42">
        <v>17.219701000000001</v>
      </c>
      <c r="EY52" s="42">
        <v>17.435129</v>
      </c>
      <c r="EZ52" s="42">
        <v>20.014021</v>
      </c>
      <c r="FA52" s="42">
        <v>13.729553169999999</v>
      </c>
      <c r="FB52" s="42">
        <v>26.786812000000005</v>
      </c>
      <c r="FC52" s="42">
        <v>25.150954060000004</v>
      </c>
      <c r="FD52" s="50">
        <f t="shared" si="12"/>
        <v>239.75185275999999</v>
      </c>
      <c r="FE52" s="50">
        <v>239.51944900000001</v>
      </c>
      <c r="FF52" s="45">
        <v>18.201160999999999</v>
      </c>
      <c r="FG52" s="45">
        <v>16.362642999999998</v>
      </c>
      <c r="FH52" s="45">
        <v>18.228583090000001</v>
      </c>
      <c r="FI52" s="45">
        <v>18.785870769999999</v>
      </c>
      <c r="FJ52" s="45">
        <v>17.989657000000001</v>
      </c>
      <c r="FK52" s="45">
        <v>19.531471200000002</v>
      </c>
      <c r="FL52" s="45">
        <v>19.399269019999998</v>
      </c>
      <c r="FM52" s="45">
        <v>18.828332639999999</v>
      </c>
      <c r="FN52" s="45">
        <v>18.681838989999999</v>
      </c>
      <c r="FO52" s="45">
        <v>15.66887565</v>
      </c>
      <c r="FP52" s="45">
        <v>26.264631999999999</v>
      </c>
      <c r="FQ52" s="45">
        <v>37.382920639999995</v>
      </c>
      <c r="FR52" s="50">
        <f t="shared" si="13"/>
        <v>245.32525499999997</v>
      </c>
      <c r="FS52" s="50">
        <v>245.325256</v>
      </c>
      <c r="FT52" s="45">
        <v>19.667969999999997</v>
      </c>
      <c r="FU52" s="45">
        <v>19.574374070000001</v>
      </c>
      <c r="FV52" s="45">
        <v>19.829833999999998</v>
      </c>
      <c r="FW52" s="45">
        <v>21.21023439</v>
      </c>
      <c r="FX52" s="45">
        <v>21.176639999999999</v>
      </c>
      <c r="FY52" s="45">
        <v>20.460181459999998</v>
      </c>
      <c r="FZ52" s="45">
        <v>20.559608330000003</v>
      </c>
      <c r="GA52" s="45">
        <v>20.385169999999999</v>
      </c>
      <c r="GB52" s="45">
        <v>20.49526908</v>
      </c>
      <c r="GC52" s="45">
        <v>21.752500999999999</v>
      </c>
      <c r="GD52" s="45">
        <v>15.170822000000001</v>
      </c>
      <c r="GE52" s="45">
        <v>46.208163569999996</v>
      </c>
      <c r="GF52" s="50">
        <f t="shared" si="14"/>
        <v>266.49076789999998</v>
      </c>
      <c r="GG52" s="50">
        <v>266.490769</v>
      </c>
      <c r="GH52" s="45">
        <v>24.337334999999996</v>
      </c>
      <c r="GI52" s="45">
        <v>21.750807689999998</v>
      </c>
      <c r="GJ52" s="45">
        <v>21.041553</v>
      </c>
      <c r="GK52" s="45">
        <v>22.715204</v>
      </c>
      <c r="GL52" s="45">
        <v>20.400586000000001</v>
      </c>
      <c r="GM52" s="45">
        <v>20.364194000000001</v>
      </c>
      <c r="GN52" s="45">
        <v>22.196449000000001</v>
      </c>
      <c r="GO52" s="45">
        <v>20.282473</v>
      </c>
      <c r="GP52" s="45">
        <v>19.862217000000001</v>
      </c>
      <c r="GQ52" s="45">
        <v>22.761400999999999</v>
      </c>
      <c r="GR52" s="45">
        <v>27.0536788</v>
      </c>
      <c r="GS52" s="45">
        <v>30.609841749999998</v>
      </c>
      <c r="GT52" s="50">
        <f t="shared" si="15"/>
        <v>273.37574024000003</v>
      </c>
      <c r="GU52" s="50">
        <v>273.375741</v>
      </c>
      <c r="GV52" s="45">
        <v>23.135376000000001</v>
      </c>
      <c r="GW52" s="45">
        <v>21.441969</v>
      </c>
      <c r="GX52" s="45">
        <v>21.719203420000003</v>
      </c>
      <c r="GY52" s="45">
        <v>22.738289549999998</v>
      </c>
      <c r="GZ52" s="45">
        <v>20.83241756</v>
      </c>
      <c r="HA52" s="45">
        <v>20.255674559999999</v>
      </c>
      <c r="HB52" s="45">
        <v>22.375239040000004</v>
      </c>
      <c r="HC52" s="45">
        <v>20.983324940000003</v>
      </c>
      <c r="HD52" s="45">
        <v>20.806364000000002</v>
      </c>
      <c r="HE52" s="45">
        <v>23.07414</v>
      </c>
      <c r="HF52" s="45">
        <v>21.183810179999998</v>
      </c>
      <c r="HG52" s="45">
        <v>29.056809749999999</v>
      </c>
      <c r="HH52" s="50">
        <f t="shared" si="6"/>
        <v>267.60261800000001</v>
      </c>
      <c r="HI52" s="45">
        <v>25.378925000000002</v>
      </c>
      <c r="HJ52" s="45">
        <v>20.544597</v>
      </c>
      <c r="HK52" s="45">
        <v>21.549924000000001</v>
      </c>
      <c r="HL52" s="45">
        <v>26.254035099999999</v>
      </c>
      <c r="HM52" s="45"/>
      <c r="HN52" s="45"/>
      <c r="HO52" s="45"/>
      <c r="HP52" s="45"/>
      <c r="HQ52" s="45"/>
      <c r="HR52" s="45"/>
      <c r="HS52" s="45"/>
      <c r="HT52" s="45"/>
      <c r="HU52" s="276">
        <f t="shared" si="16"/>
        <v>89.034837999999993</v>
      </c>
      <c r="HV52" s="276">
        <f t="shared" si="17"/>
        <v>93.727480999999997</v>
      </c>
      <c r="HW52" s="277">
        <f t="shared" si="18"/>
        <v>4.6926430000000039</v>
      </c>
      <c r="HX52" s="277">
        <f t="shared" si="19"/>
        <v>5.2705694820268008</v>
      </c>
    </row>
    <row r="53" spans="1:232" s="12" customFormat="1" ht="20.25" hidden="1" customHeight="1">
      <c r="A53" s="314" t="s">
        <v>140</v>
      </c>
      <c r="B53" s="13" t="s">
        <v>141</v>
      </c>
      <c r="C53" s="56" t="s">
        <v>142</v>
      </c>
      <c r="D53" s="42">
        <v>5.8570611436474547</v>
      </c>
      <c r="E53" s="42">
        <v>5.5608320385199681</v>
      </c>
      <c r="F53" s="42">
        <v>26.00199628915032</v>
      </c>
      <c r="G53" s="42">
        <v>8.5426434681646679</v>
      </c>
      <c r="H53" s="42">
        <v>0.11700794247044695</v>
      </c>
      <c r="I53" s="42">
        <v>0.44573532592301696</v>
      </c>
      <c r="J53" s="42">
        <v>1.0538655727628188</v>
      </c>
      <c r="K53" s="42">
        <v>0.43987332172269933</v>
      </c>
      <c r="L53" s="42">
        <v>0.44626008104677839</v>
      </c>
      <c r="M53" s="42">
        <v>0.75690993509505788</v>
      </c>
      <c r="N53" s="42">
        <v>1.6112021417624096</v>
      </c>
      <c r="O53" s="42">
        <v>0.3809208826358419</v>
      </c>
      <c r="P53" s="42">
        <v>0.3288504760889101</v>
      </c>
      <c r="Q53" s="42">
        <v>0.45438510594703513</v>
      </c>
      <c r="R53" s="42">
        <v>2.2273270783973524</v>
      </c>
      <c r="S53" s="42">
        <v>-2.0155692198292789</v>
      </c>
      <c r="T53" s="42">
        <v>6.421043719159254</v>
      </c>
      <c r="U53" s="42">
        <v>7.2760926232633842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>
        <v>0.2268484527691931</v>
      </c>
      <c r="AI53" s="42">
        <v>6.4171518659540933E-2</v>
      </c>
      <c r="AJ53" s="42">
        <v>0</v>
      </c>
      <c r="AK53" s="42">
        <v>5.8706268034900207E-2</v>
      </c>
      <c r="AL53" s="42">
        <v>-5.87062680349002E-2</v>
      </c>
      <c r="AM53" s="42"/>
      <c r="AN53" s="42"/>
      <c r="AO53" s="42"/>
      <c r="AP53" s="42"/>
      <c r="AQ53" s="42"/>
      <c r="AR53" s="42"/>
      <c r="AS53" s="42"/>
      <c r="AT53" s="42"/>
      <c r="AU53" s="42"/>
      <c r="AV53" s="42">
        <v>0.48852596171905688</v>
      </c>
      <c r="AW53" s="42">
        <v>0</v>
      </c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5"/>
      <c r="BK53" s="42"/>
      <c r="BL53" s="42"/>
      <c r="BM53" s="42">
        <v>0</v>
      </c>
      <c r="BN53" s="42">
        <v>0</v>
      </c>
      <c r="BO53" s="42">
        <v>0</v>
      </c>
      <c r="BP53" s="42">
        <v>0</v>
      </c>
      <c r="BQ53" s="42">
        <v>0</v>
      </c>
      <c r="BR53" s="42">
        <v>0</v>
      </c>
      <c r="BS53" s="42">
        <v>0</v>
      </c>
      <c r="BT53" s="42">
        <v>0</v>
      </c>
      <c r="BU53" s="42">
        <v>0</v>
      </c>
      <c r="BV53" s="42">
        <v>0</v>
      </c>
      <c r="BW53" s="42">
        <v>0</v>
      </c>
      <c r="BX53" s="45">
        <f t="shared" si="4"/>
        <v>0</v>
      </c>
      <c r="BY53" s="45"/>
      <c r="BZ53" s="45">
        <v>0</v>
      </c>
      <c r="CA53" s="45">
        <v>0</v>
      </c>
      <c r="CB53" s="45">
        <v>0</v>
      </c>
      <c r="CC53" s="45">
        <v>0</v>
      </c>
      <c r="CD53" s="45">
        <v>0</v>
      </c>
      <c r="CE53" s="139">
        <v>0</v>
      </c>
      <c r="CF53" s="45">
        <v>0</v>
      </c>
      <c r="CG53" s="45">
        <v>0</v>
      </c>
      <c r="CH53" s="45">
        <v>0</v>
      </c>
      <c r="CI53" s="45">
        <v>0</v>
      </c>
      <c r="CJ53" s="45">
        <v>0</v>
      </c>
      <c r="CK53" s="45">
        <v>0</v>
      </c>
      <c r="CL53" s="45">
        <f t="shared" si="5"/>
        <v>0</v>
      </c>
      <c r="CM53" s="45"/>
      <c r="CN53" s="45">
        <v>0</v>
      </c>
      <c r="CO53" s="45">
        <v>0</v>
      </c>
      <c r="CP53" s="45">
        <v>0</v>
      </c>
      <c r="CQ53" s="45">
        <v>0</v>
      </c>
      <c r="CR53" s="45">
        <v>0</v>
      </c>
      <c r="CS53" s="45">
        <v>0</v>
      </c>
      <c r="CT53" s="45">
        <v>0</v>
      </c>
      <c r="CU53" s="45">
        <v>0</v>
      </c>
      <c r="CV53" s="45">
        <v>0</v>
      </c>
      <c r="CW53" s="45">
        <v>0</v>
      </c>
      <c r="CX53" s="45">
        <v>0</v>
      </c>
      <c r="CY53" s="45">
        <v>0</v>
      </c>
      <c r="CZ53" s="45">
        <f t="shared" si="9"/>
        <v>0</v>
      </c>
      <c r="DA53" s="45"/>
      <c r="DB53" s="45">
        <v>0</v>
      </c>
      <c r="DC53" s="45">
        <v>0</v>
      </c>
      <c r="DD53" s="45">
        <v>0</v>
      </c>
      <c r="DE53" s="45">
        <v>0</v>
      </c>
      <c r="DF53" s="45">
        <v>0</v>
      </c>
      <c r="DG53" s="45">
        <v>0</v>
      </c>
      <c r="DH53" s="45">
        <v>0</v>
      </c>
      <c r="DI53" s="45">
        <v>0</v>
      </c>
      <c r="DJ53" s="45">
        <v>0</v>
      </c>
      <c r="DK53" s="45">
        <v>0</v>
      </c>
      <c r="DL53" s="45">
        <v>0</v>
      </c>
      <c r="DM53" s="45">
        <v>0</v>
      </c>
      <c r="DN53" s="45">
        <f t="shared" si="20"/>
        <v>0</v>
      </c>
      <c r="DO53" s="45"/>
      <c r="DP53" s="42">
        <v>0</v>
      </c>
      <c r="DQ53" s="42">
        <v>0</v>
      </c>
      <c r="DR53" s="42">
        <v>0</v>
      </c>
      <c r="DS53" s="42">
        <v>0</v>
      </c>
      <c r="DT53" s="42">
        <v>0</v>
      </c>
      <c r="DU53" s="42">
        <v>0</v>
      </c>
      <c r="DV53" s="42">
        <v>0</v>
      </c>
      <c r="DW53" s="42">
        <v>0</v>
      </c>
      <c r="DX53" s="42">
        <v>0</v>
      </c>
      <c r="DY53" s="42">
        <v>0</v>
      </c>
      <c r="DZ53" s="42">
        <v>0</v>
      </c>
      <c r="EA53" s="42">
        <v>0</v>
      </c>
      <c r="EB53" s="42">
        <f t="shared" si="31"/>
        <v>0</v>
      </c>
      <c r="EC53" s="45"/>
      <c r="ED53" s="42">
        <v>0</v>
      </c>
      <c r="EF53" s="42">
        <v>0</v>
      </c>
      <c r="EG53" s="42">
        <v>0</v>
      </c>
      <c r="EH53" s="50">
        <v>0</v>
      </c>
      <c r="EI53" s="42">
        <v>0</v>
      </c>
      <c r="EJ53" s="42">
        <v>0</v>
      </c>
      <c r="EK53" s="42">
        <v>0</v>
      </c>
      <c r="EL53" s="42">
        <v>0</v>
      </c>
      <c r="EM53" s="42">
        <v>0</v>
      </c>
      <c r="EN53" s="42">
        <v>0</v>
      </c>
      <c r="EO53" s="42">
        <v>0</v>
      </c>
      <c r="EP53" s="50">
        <f t="shared" si="11"/>
        <v>0</v>
      </c>
      <c r="EQ53" s="50"/>
      <c r="ER53" s="42">
        <v>0</v>
      </c>
      <c r="ES53" s="42"/>
      <c r="ET53" s="179"/>
      <c r="EU53" s="42"/>
      <c r="EV53" s="195"/>
      <c r="EW53" s="195"/>
      <c r="EX53" s="195"/>
      <c r="EY53" s="195"/>
      <c r="EZ53" s="195"/>
      <c r="FA53" s="195"/>
      <c r="FB53" s="195"/>
      <c r="FC53" s="195"/>
      <c r="FD53" s="50">
        <f t="shared" si="12"/>
        <v>0</v>
      </c>
      <c r="FE53" s="85"/>
      <c r="FF53" s="205"/>
      <c r="FG53" s="205"/>
      <c r="FH53" s="205"/>
      <c r="FI53" s="205"/>
      <c r="FJ53" s="205"/>
      <c r="FK53" s="45"/>
      <c r="FL53" s="205"/>
      <c r="FM53" s="205"/>
      <c r="FN53" s="205"/>
      <c r="FO53" s="205"/>
      <c r="FP53" s="205"/>
      <c r="FQ53" s="205"/>
      <c r="FR53" s="50">
        <f t="shared" si="13"/>
        <v>0</v>
      </c>
      <c r="FS53" s="85"/>
      <c r="FT53" s="205"/>
      <c r="FU53" s="205"/>
      <c r="FV53" s="205"/>
      <c r="FW53" s="205"/>
      <c r="FX53" s="205"/>
      <c r="FY53" s="205"/>
      <c r="FZ53" s="205"/>
      <c r="GA53" s="205"/>
      <c r="GB53" s="205"/>
      <c r="GC53" s="205"/>
      <c r="GD53" s="205"/>
      <c r="GE53" s="205"/>
      <c r="GF53" s="50">
        <f t="shared" si="14"/>
        <v>0</v>
      </c>
      <c r="GG53" s="85"/>
      <c r="GH53" s="205"/>
      <c r="GI53" s="205"/>
      <c r="GJ53" s="205"/>
      <c r="GK53" s="205"/>
      <c r="GL53" s="205"/>
      <c r="GM53" s="205"/>
      <c r="GN53" s="205"/>
      <c r="GO53" s="205"/>
      <c r="GP53" s="205"/>
      <c r="GQ53" s="205"/>
      <c r="GR53" s="205"/>
      <c r="GS53" s="205"/>
      <c r="GT53" s="50">
        <f t="shared" si="15"/>
        <v>0</v>
      </c>
      <c r="GU53" s="85"/>
      <c r="GV53" s="205"/>
      <c r="GW53" s="205"/>
      <c r="GX53" s="205"/>
      <c r="GY53" s="205"/>
      <c r="GZ53" s="205"/>
      <c r="HA53" s="205"/>
      <c r="HB53" s="205"/>
      <c r="HC53" s="205"/>
      <c r="HD53" s="205"/>
      <c r="HE53" s="205"/>
      <c r="HF53" s="205"/>
      <c r="HG53" s="205"/>
      <c r="HH53" s="85">
        <f t="shared" si="6"/>
        <v>0</v>
      </c>
      <c r="HI53" s="205"/>
      <c r="HJ53" s="205"/>
      <c r="HK53" s="205"/>
      <c r="HL53" s="205"/>
      <c r="HM53" s="205"/>
      <c r="HN53" s="205"/>
      <c r="HO53" s="205"/>
      <c r="HP53" s="205"/>
      <c r="HQ53" s="205"/>
      <c r="HR53" s="205"/>
      <c r="HS53" s="205"/>
      <c r="HT53" s="205"/>
      <c r="HU53" s="276">
        <f t="shared" si="16"/>
        <v>0</v>
      </c>
      <c r="HV53" s="276">
        <f t="shared" si="17"/>
        <v>0</v>
      </c>
      <c r="HW53" s="280">
        <f t="shared" si="18"/>
        <v>0</v>
      </c>
      <c r="HX53" s="280"/>
    </row>
    <row r="54" spans="1:232" s="12" customFormat="1" ht="20.5">
      <c r="A54" s="314" t="s">
        <v>143</v>
      </c>
      <c r="B54" s="13" t="s">
        <v>144</v>
      </c>
      <c r="C54" s="46" t="s">
        <v>145</v>
      </c>
      <c r="D54" s="42">
        <v>0</v>
      </c>
      <c r="E54" s="42">
        <v>0</v>
      </c>
      <c r="F54" s="42">
        <v>18.324326554772071</v>
      </c>
      <c r="G54" s="42">
        <v>12.316736956534125</v>
      </c>
      <c r="H54" s="42">
        <v>6.798623798384841E-2</v>
      </c>
      <c r="I54" s="42">
        <v>0.10331187642642847</v>
      </c>
      <c r="J54" s="42">
        <v>0.37772408808145574</v>
      </c>
      <c r="K54" s="42">
        <v>0.65703382450867909</v>
      </c>
      <c r="L54" s="42">
        <v>1.3542908122321402</v>
      </c>
      <c r="M54" s="42">
        <v>-2.5768208490556384E-2</v>
      </c>
      <c r="N54" s="42">
        <v>8.3720354465830579E-2</v>
      </c>
      <c r="O54" s="42">
        <v>0.40893620411950532</v>
      </c>
      <c r="P54" s="42">
        <v>0.27497424602023118</v>
      </c>
      <c r="Q54" s="42">
        <v>-1.165901161632559E-2</v>
      </c>
      <c r="R54" s="42">
        <v>0.21201928275877202</v>
      </c>
      <c r="S54" s="42">
        <v>0.57237579751964962</v>
      </c>
      <c r="T54" s="42">
        <v>4.0749455040096594</v>
      </c>
      <c r="U54" s="42">
        <v>3.881726626484526</v>
      </c>
      <c r="V54" s="42">
        <v>0.19195109874161143</v>
      </c>
      <c r="W54" s="42">
        <v>0.97644862579040481</v>
      </c>
      <c r="X54" s="42">
        <v>-7.7758521579273113E-2</v>
      </c>
      <c r="Y54" s="42">
        <v>0.36172389457088666</v>
      </c>
      <c r="Z54" s="42">
        <v>-4.0551846603008148E-3</v>
      </c>
      <c r="AA54" s="42">
        <v>0.77309178661476374</v>
      </c>
      <c r="AB54" s="42">
        <v>8.1884849830093726E-2</v>
      </c>
      <c r="AC54" s="42">
        <v>-0.20555659899488321</v>
      </c>
      <c r="AD54" s="42">
        <v>0.30597293128668185</v>
      </c>
      <c r="AE54" s="42">
        <v>0.37310971479958743</v>
      </c>
      <c r="AF54" s="42">
        <v>0.43583132708407912</v>
      </c>
      <c r="AG54" s="42">
        <v>3.1322047114131344</v>
      </c>
      <c r="AH54" s="42">
        <v>6.3448486348967865</v>
      </c>
      <c r="AI54" s="42">
        <v>3.7701805908902055</v>
      </c>
      <c r="AJ54" s="42"/>
      <c r="AK54" s="42"/>
      <c r="AL54" s="42">
        <v>0.28787969334266522</v>
      </c>
      <c r="AM54" s="42">
        <v>-7.0692540167668891E-2</v>
      </c>
      <c r="AN54" s="42">
        <v>0.65286158018452256</v>
      </c>
      <c r="AO54" s="42">
        <v>0.86879017478557619</v>
      </c>
      <c r="AP54" s="42">
        <v>-0.19186288068935695</v>
      </c>
      <c r="AQ54" s="42">
        <v>0.20946108730172802</v>
      </c>
      <c r="AR54" s="42">
        <v>-0.10808845709472853</v>
      </c>
      <c r="AS54" s="42">
        <v>2.9249136316810946</v>
      </c>
      <c r="AT54" s="42">
        <v>0.25343481255087341</v>
      </c>
      <c r="AU54" s="42">
        <v>0.3347092503742074</v>
      </c>
      <c r="AV54" s="42">
        <v>5.1614063522689122</v>
      </c>
      <c r="AW54" s="42">
        <v>0</v>
      </c>
      <c r="AX54" s="42"/>
      <c r="AY54" s="42">
        <v>2.7205170000000001E-2</v>
      </c>
      <c r="AZ54" s="42">
        <v>3.9899999999999998E-2</v>
      </c>
      <c r="BA54" s="42">
        <v>-6.710515999999643E-2</v>
      </c>
      <c r="BB54" s="128"/>
      <c r="BC54" s="128"/>
      <c r="BD54" s="128"/>
      <c r="BE54" s="128"/>
      <c r="BF54" s="42">
        <f>BF55+BF56+BF57</f>
        <v>1.8300000000002561E-2</v>
      </c>
      <c r="BG54" s="42">
        <f>BG55+BG56+BG57</f>
        <v>-1.8299999999994789E-2</v>
      </c>
      <c r="BH54" s="42"/>
      <c r="BI54" s="42"/>
      <c r="BJ54" s="45">
        <f>SUM(AX54:BI54)</f>
        <v>1.0000011332889081E-8</v>
      </c>
      <c r="BK54" s="42">
        <f>BK55+BK56+BK57</f>
        <v>2.1808239999999999</v>
      </c>
      <c r="BL54" s="42"/>
      <c r="BM54" s="42">
        <v>-6.5192580223083495E-15</v>
      </c>
      <c r="BN54" s="42">
        <v>2.0489096641540527E-14</v>
      </c>
      <c r="BO54" s="42">
        <v>-5.5879354476928712E-15</v>
      </c>
      <c r="BP54" s="42">
        <v>-1.8626451492309569E-15</v>
      </c>
      <c r="BQ54" s="42">
        <v>8.3819031715393069E-15</v>
      </c>
      <c r="BR54" s="42">
        <v>-3.7252902984619139E-15</v>
      </c>
      <c r="BS54" s="42">
        <v>7.4505805969238278E-15</v>
      </c>
      <c r="BT54" s="42">
        <v>-1.0244548320770263E-14</v>
      </c>
      <c r="BU54" s="42">
        <v>-3.7252902984619139E-15</v>
      </c>
      <c r="BV54" s="42">
        <v>-2.7939677238464356E-15</v>
      </c>
      <c r="BW54" s="42">
        <v>9.3132257461547859E-15</v>
      </c>
      <c r="BX54" s="45">
        <f t="shared" si="4"/>
        <v>1.1175870895385742E-14</v>
      </c>
      <c r="BY54" s="45">
        <f>BY55+BY56+BY57</f>
        <v>0.15864400000000001</v>
      </c>
      <c r="BZ54" s="45">
        <v>8.3819031715393069E-15</v>
      </c>
      <c r="CA54" s="45">
        <v>3.7252902984619139E-15</v>
      </c>
      <c r="CB54" s="45">
        <v>-1.8626451492309569E-15</v>
      </c>
      <c r="CC54" s="45">
        <v>3.7252902984619139E-15</v>
      </c>
      <c r="CD54" s="45">
        <v>1.1175870895385742E-14</v>
      </c>
      <c r="CE54" s="139">
        <v>-1.6763806343078614E-14</v>
      </c>
      <c r="CF54" s="45">
        <v>-3.7252902984619139E-15</v>
      </c>
      <c r="CG54" s="45">
        <v>3.7252902984619139E-15</v>
      </c>
      <c r="CH54" s="45">
        <v>9.3132257461547859E-15</v>
      </c>
      <c r="CI54" s="45">
        <v>1.1175870895385742E-14</v>
      </c>
      <c r="CJ54" s="45">
        <v>-1.6763806343078614E-14</v>
      </c>
      <c r="CK54" s="45">
        <v>-1.4901161193847656E-14</v>
      </c>
      <c r="CL54" s="45">
        <f t="shared" si="5"/>
        <v>-2.793967723846434E-15</v>
      </c>
      <c r="CM54" s="45">
        <f>CM55+CM56+CM57</f>
        <v>0.769783</v>
      </c>
      <c r="CN54" s="45">
        <v>-2.2118911147117616E-15</v>
      </c>
      <c r="CO54" s="45">
        <v>-5.8207660913467412E-16</v>
      </c>
      <c r="CP54" s="45">
        <v>-5.5879354476928712E-15</v>
      </c>
      <c r="CQ54" s="45">
        <v>-7.4505805969238278E-15</v>
      </c>
      <c r="CR54" s="45">
        <v>0</v>
      </c>
      <c r="CS54" s="45">
        <v>-3.7252902984619139E-15</v>
      </c>
      <c r="CT54" s="45">
        <v>-1.3038516044616699E-14</v>
      </c>
      <c r="CU54" s="45">
        <v>-3.7252902984619139E-15</v>
      </c>
      <c r="CV54" s="45">
        <v>-7.4505805969238278E-15</v>
      </c>
      <c r="CW54" s="45">
        <v>-1.4901161193847656E-14</v>
      </c>
      <c r="CX54" s="45">
        <v>1.8626451492309569E-15</v>
      </c>
      <c r="CY54" s="45">
        <v>1.1175870895385742E-14</v>
      </c>
      <c r="CZ54" s="45">
        <f t="shared" si="9"/>
        <v>-4.5634806156158446E-14</v>
      </c>
      <c r="DA54" s="45">
        <f>DA55+DA56+DA57</f>
        <v>0.61568900000000004</v>
      </c>
      <c r="DB54" s="45">
        <v>2.6484485715627671E-15</v>
      </c>
      <c r="DC54" s="45">
        <v>-8.6147338151931758E-15</v>
      </c>
      <c r="DD54" s="45">
        <v>-2.2700987756252288E-15</v>
      </c>
      <c r="DE54" s="45">
        <v>-7.4505805969238278E-15</v>
      </c>
      <c r="DF54" s="45">
        <v>3.7252902984619139E-15</v>
      </c>
      <c r="DG54" s="45">
        <v>2.0489096641540527E-14</v>
      </c>
      <c r="DH54" s="45">
        <v>2.0489096641540527E-14</v>
      </c>
      <c r="DI54" s="45">
        <v>1.8626451492309569E-15</v>
      </c>
      <c r="DJ54" s="45">
        <v>1.1175870895385742E-14</v>
      </c>
      <c r="DK54" s="45">
        <v>1.8626451492309572E-14</v>
      </c>
      <c r="DL54" s="45">
        <v>-1.8626451492309569E-15</v>
      </c>
      <c r="DM54" s="45">
        <v>6.0500000000037251E-3</v>
      </c>
      <c r="DN54" s="45">
        <f t="shared" si="20"/>
        <v>6.0500000000625444E-3</v>
      </c>
      <c r="DO54" s="45">
        <f>DO55+DO56+DO57</f>
        <v>0</v>
      </c>
      <c r="DP54" s="42">
        <v>0.27204799999999629</v>
      </c>
      <c r="DQ54" s="42">
        <v>-0.27204600000000556</v>
      </c>
      <c r="DR54" s="42">
        <v>-7.7998265624046328E-15</v>
      </c>
      <c r="DS54" s="42">
        <v>7.0100000000186268E-4</v>
      </c>
      <c r="DT54" s="42">
        <v>1.1299999999992549E-2</v>
      </c>
      <c r="DU54" s="42">
        <v>-1.2001000000001863E-2</v>
      </c>
      <c r="DV54" s="42">
        <v>0</v>
      </c>
      <c r="DW54" s="42">
        <v>-5.5879354476928712E-15</v>
      </c>
      <c r="DX54" s="42">
        <v>4.4639999999962748E-3</v>
      </c>
      <c r="DY54" s="42">
        <v>-4.461000000003725E-3</v>
      </c>
      <c r="DZ54" s="42">
        <v>1.8626451492309569E-15</v>
      </c>
      <c r="EA54" s="42">
        <v>3.3699999998509884E-4</v>
      </c>
      <c r="EB54" s="42">
        <f t="shared" si="31"/>
        <v>3.4199999994940366E-4</v>
      </c>
      <c r="EC54" s="45">
        <f>EC55+EC56+EC57</f>
        <v>8.3820000000000006E-2</v>
      </c>
      <c r="ED54" s="42">
        <v>-3.1664967536926269E-14</v>
      </c>
      <c r="EE54" s="42">
        <v>-9.6042640507221229E-16</v>
      </c>
      <c r="EF54" s="42">
        <v>0</v>
      </c>
      <c r="EG54" s="42">
        <v>0</v>
      </c>
      <c r="EH54" s="50"/>
      <c r="EI54" s="42">
        <v>4.3000000715255739E-7</v>
      </c>
      <c r="EJ54" s="42"/>
      <c r="EK54" s="42"/>
      <c r="EL54" s="42">
        <v>1.3038516044616699E-14</v>
      </c>
      <c r="EM54" s="42">
        <v>0</v>
      </c>
      <c r="EN54" s="42">
        <v>1.0128132998943329E-14</v>
      </c>
      <c r="EO54" s="42">
        <v>4.8841779999003514E-2</v>
      </c>
      <c r="EP54" s="50">
        <f t="shared" si="11"/>
        <v>4.8842209999001206E-2</v>
      </c>
      <c r="EQ54" s="45">
        <f>EQ55+EQ56+EQ57</f>
        <v>0.37078699999999998</v>
      </c>
      <c r="ER54" s="42">
        <v>2.9750746100006631</v>
      </c>
      <c r="ES54" s="42">
        <v>-2.9750739999999851</v>
      </c>
      <c r="ET54" s="42">
        <v>0</v>
      </c>
      <c r="EU54" s="42"/>
      <c r="EV54" s="42">
        <v>0</v>
      </c>
      <c r="EW54" s="42">
        <v>2.4434299990057627E-3</v>
      </c>
      <c r="EX54" s="42">
        <v>2.1357999999986031E-2</v>
      </c>
      <c r="EY54" s="42">
        <v>-9.0229999999962753E-3</v>
      </c>
      <c r="EZ54" s="42">
        <v>-1.4296E-2</v>
      </c>
      <c r="FA54" s="42">
        <v>3.3397000000000003E-2</v>
      </c>
      <c r="FB54" s="42">
        <v>0.58401400000000003</v>
      </c>
      <c r="FC54" s="42">
        <v>-0.61789300000000003</v>
      </c>
      <c r="FD54" s="50">
        <f t="shared" si="12"/>
        <v>1.0399996734911099E-6</v>
      </c>
      <c r="FE54" s="45">
        <f>FE55+FE56+FE57</f>
        <v>0</v>
      </c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50">
        <f t="shared" si="13"/>
        <v>0</v>
      </c>
      <c r="FS54" s="45">
        <f>FS55+FS56+FS57</f>
        <v>0</v>
      </c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50">
        <f t="shared" si="14"/>
        <v>0</v>
      </c>
      <c r="GG54" s="50"/>
      <c r="GH54" s="45"/>
      <c r="GI54" s="45"/>
      <c r="GJ54" s="45"/>
      <c r="GK54" s="45"/>
      <c r="GL54" s="45"/>
      <c r="GM54" s="45">
        <v>4.0299999999999998E-4</v>
      </c>
      <c r="GN54" s="45">
        <v>-4.0299999999999998E-4</v>
      </c>
      <c r="GO54" s="45"/>
      <c r="GP54" s="45"/>
      <c r="GQ54" s="45"/>
      <c r="GR54" s="45">
        <v>-4.0299999999999998E-4</v>
      </c>
      <c r="GS54" s="45"/>
      <c r="GT54" s="50">
        <f t="shared" si="15"/>
        <v>-4.0299999999999998E-4</v>
      </c>
      <c r="GU54" s="50"/>
      <c r="GV54" s="45"/>
      <c r="GW54" s="45"/>
      <c r="GX54" s="45"/>
      <c r="GY54" s="45"/>
      <c r="GZ54" s="45"/>
      <c r="HA54" s="45">
        <v>0</v>
      </c>
      <c r="HB54" s="45"/>
      <c r="HC54" s="45"/>
      <c r="HD54" s="45"/>
      <c r="HE54" s="45"/>
      <c r="HF54" s="45"/>
      <c r="HG54" s="45"/>
      <c r="HH54" s="50">
        <f t="shared" si="6"/>
        <v>0</v>
      </c>
      <c r="HI54" s="45">
        <v>5.9880040000000001</v>
      </c>
      <c r="HJ54" s="45">
        <v>-5.9880040000000001</v>
      </c>
      <c r="HK54" s="45">
        <v>0.77675000000000005</v>
      </c>
      <c r="HL54" s="45">
        <v>-0.77675000000000005</v>
      </c>
      <c r="HM54" s="45"/>
      <c r="HN54" s="45"/>
      <c r="HO54" s="45"/>
      <c r="HP54" s="45"/>
      <c r="HQ54" s="45"/>
      <c r="HR54" s="45"/>
      <c r="HS54" s="45"/>
      <c r="HT54" s="45"/>
      <c r="HU54" s="276">
        <f t="shared" si="16"/>
        <v>0</v>
      </c>
      <c r="HV54" s="276">
        <f t="shared" si="17"/>
        <v>0</v>
      </c>
      <c r="HW54" s="280">
        <f t="shared" si="18"/>
        <v>0</v>
      </c>
      <c r="HX54" s="280" t="e">
        <f t="shared" si="19"/>
        <v>#DIV/0!</v>
      </c>
    </row>
    <row r="55" spans="1:232" s="12" customFormat="1" ht="21" hidden="1" customHeight="1">
      <c r="A55" s="314" t="s">
        <v>102</v>
      </c>
      <c r="B55" s="13" t="s">
        <v>146</v>
      </c>
      <c r="C55" s="313" t="s">
        <v>147</v>
      </c>
      <c r="D55" s="44" t="s">
        <v>46</v>
      </c>
      <c r="E55" s="44" t="s">
        <v>46</v>
      </c>
      <c r="F55" s="44" t="s">
        <v>46</v>
      </c>
      <c r="G55" s="44">
        <v>10.386392223151942</v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>
        <v>0</v>
      </c>
      <c r="U55" s="44">
        <v>4.0409559421716401E-4</v>
      </c>
      <c r="V55" s="44">
        <v>2.0062000000022862E-4</v>
      </c>
      <c r="W55" s="44">
        <v>0.88919669999999995</v>
      </c>
      <c r="X55" s="44">
        <v>-0.88939731999999982</v>
      </c>
      <c r="Y55" s="44"/>
      <c r="Z55" s="44"/>
      <c r="AA55" s="44"/>
      <c r="AB55" s="44"/>
      <c r="AC55" s="44"/>
      <c r="AD55" s="44"/>
      <c r="AE55" s="44"/>
      <c r="AF55" s="44"/>
      <c r="AG55" s="44"/>
      <c r="AH55" s="44">
        <v>0</v>
      </c>
      <c r="AI55" s="44">
        <v>8.3473272776532159E-2</v>
      </c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>
        <v>4.4254160000000757E-2</v>
      </c>
      <c r="AV55" s="44" t="s">
        <v>46</v>
      </c>
      <c r="AW55" s="44">
        <v>0</v>
      </c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50"/>
      <c r="BK55" s="44">
        <v>1.734302</v>
      </c>
      <c r="BL55" s="44"/>
      <c r="BM55" s="42">
        <v>-2.3283064365386965E-15</v>
      </c>
      <c r="BN55" s="42">
        <v>0</v>
      </c>
      <c r="BO55" s="42">
        <v>-9.3132257461547847E-16</v>
      </c>
      <c r="BP55" s="42">
        <v>0</v>
      </c>
      <c r="BQ55" s="42">
        <v>0</v>
      </c>
      <c r="BR55" s="42">
        <v>-1.1641532182693481E-16</v>
      </c>
      <c r="BS55" s="42">
        <v>2.2118911147117616E-15</v>
      </c>
      <c r="BT55" s="42">
        <v>-2.444721758365631E-15</v>
      </c>
      <c r="BU55" s="42">
        <v>0</v>
      </c>
      <c r="BV55" s="42">
        <v>-4.6566128730773924E-16</v>
      </c>
      <c r="BW55" s="42">
        <v>0</v>
      </c>
      <c r="BX55" s="45">
        <f t="shared" si="4"/>
        <v>-4.0745362639427189E-15</v>
      </c>
      <c r="BY55" s="45">
        <v>0.15864400000000001</v>
      </c>
      <c r="BZ55" s="45">
        <v>6.984919309616089E-16</v>
      </c>
      <c r="CA55" s="45">
        <v>0</v>
      </c>
      <c r="CB55" s="45">
        <v>5.8207660913467405E-17</v>
      </c>
      <c r="CC55" s="45">
        <v>1.7462298274040223E-15</v>
      </c>
      <c r="CD55" s="45">
        <v>0</v>
      </c>
      <c r="CE55" s="139">
        <v>0</v>
      </c>
      <c r="CF55" s="45">
        <v>-9.3132257461547847E-16</v>
      </c>
      <c r="CG55" s="45">
        <v>-1.1932570487260819E-15</v>
      </c>
      <c r="CH55" s="45">
        <v>2.2409949451684952E-15</v>
      </c>
      <c r="CI55" s="45">
        <v>9.749783203005791E-16</v>
      </c>
      <c r="CJ55" s="45">
        <v>-3.7252902984619139E-15</v>
      </c>
      <c r="CK55" s="45">
        <v>9.3132257461547847E-16</v>
      </c>
      <c r="CL55" s="45">
        <f t="shared" si="5"/>
        <v>8.0035533756017757E-16</v>
      </c>
      <c r="CM55" s="45">
        <v>0.769783</v>
      </c>
      <c r="CN55" s="45">
        <v>-1.191438059322536E-15</v>
      </c>
      <c r="CO55" s="45">
        <v>-1.5716068446636199E-15</v>
      </c>
      <c r="CP55" s="45">
        <v>1.9645085558295249E-16</v>
      </c>
      <c r="CQ55" s="45">
        <v>0</v>
      </c>
      <c r="CR55" s="45">
        <v>7.2759576141834263E-16</v>
      </c>
      <c r="CS55" s="45">
        <v>0</v>
      </c>
      <c r="CT55" s="45">
        <v>-1.4260876923799514E-15</v>
      </c>
      <c r="CU55" s="45">
        <v>-4.6566128730773924E-16</v>
      </c>
      <c r="CV55" s="45">
        <v>0</v>
      </c>
      <c r="CW55" s="45">
        <v>2.6775524020195007E-15</v>
      </c>
      <c r="CX55" s="45">
        <v>1.8626451492309569E-15</v>
      </c>
      <c r="CY55" s="45">
        <v>6.984919309616089E-16</v>
      </c>
      <c r="CZ55" s="45">
        <f t="shared" si="9"/>
        <v>1.5079422155395152E-15</v>
      </c>
      <c r="DA55" s="45">
        <v>0.61568900000000004</v>
      </c>
      <c r="DB55" s="45">
        <v>-2.3283064365386962E-16</v>
      </c>
      <c r="DC55" s="45">
        <v>-4.6566128730773924E-16</v>
      </c>
      <c r="DD55" s="45">
        <v>-2.2700987756252288E-15</v>
      </c>
      <c r="DE55" s="45">
        <v>-3.4924596548080445E-16</v>
      </c>
      <c r="DF55" s="45">
        <v>4.6566128730773924E-16</v>
      </c>
      <c r="DG55" s="45">
        <v>3.4924596548080445E-16</v>
      </c>
      <c r="DH55" s="45">
        <v>2.0954757928848267E-15</v>
      </c>
      <c r="DI55" s="45">
        <v>6.984919309616089E-16</v>
      </c>
      <c r="DJ55" s="45">
        <v>1.3969838619232178E-15</v>
      </c>
      <c r="DK55" s="45">
        <v>-4.6566128730773924E-16</v>
      </c>
      <c r="DL55" s="45">
        <v>-9.3132257461547847E-16</v>
      </c>
      <c r="DM55" s="45">
        <v>-4.6566128730773924E-16</v>
      </c>
      <c r="DN55" s="45">
        <f t="shared" si="20"/>
        <v>-1.7462298274040203E-16</v>
      </c>
      <c r="DO55" s="45">
        <v>0</v>
      </c>
      <c r="DP55" s="42">
        <v>2.0081643015146255E-15</v>
      </c>
      <c r="DQ55" s="42">
        <v>-6.984919309616089E-16</v>
      </c>
      <c r="DR55" s="42">
        <v>0</v>
      </c>
      <c r="DS55" s="42">
        <v>1.0477378964424134E-15</v>
      </c>
      <c r="DT55" s="42">
        <v>-1.7462298274040223E-15</v>
      </c>
      <c r="DU55" s="42">
        <v>-1.5133991837501525E-15</v>
      </c>
      <c r="DV55" s="42">
        <v>6.984919309616089E-16</v>
      </c>
      <c r="DW55" s="42">
        <v>1.1641532182693482E-15</v>
      </c>
      <c r="DX55" s="42"/>
      <c r="DY55" s="42">
        <v>1.1641532182693482E-15</v>
      </c>
      <c r="DZ55" s="42">
        <v>0</v>
      </c>
      <c r="EA55" s="42">
        <v>0</v>
      </c>
      <c r="EB55" s="42">
        <f t="shared" si="31"/>
        <v>2.1245796233415603E-15</v>
      </c>
      <c r="EC55" s="45"/>
      <c r="ED55" s="42">
        <v>4.6566128730773924E-16</v>
      </c>
      <c r="EE55" s="42">
        <v>2.7939677238464356E-15</v>
      </c>
      <c r="EF55" s="42">
        <v>0</v>
      </c>
      <c r="EG55" s="42">
        <v>0</v>
      </c>
      <c r="EH55" s="50">
        <v>-1.8626451492309569E-15</v>
      </c>
      <c r="EI55" s="42">
        <v>1.9208528101444246E-15</v>
      </c>
      <c r="EJ55" s="42">
        <v>0</v>
      </c>
      <c r="EK55" s="42">
        <v>0</v>
      </c>
      <c r="EL55" s="42">
        <v>-1.1641532182693481E-16</v>
      </c>
      <c r="EM55" s="42">
        <v>0</v>
      </c>
      <c r="EN55" s="42">
        <v>2.3283064365386965E-15</v>
      </c>
      <c r="EO55" s="42">
        <v>4.8838999999997905E-2</v>
      </c>
      <c r="EP55" s="50">
        <f t="shared" si="11"/>
        <v>4.8839000000003435E-2</v>
      </c>
      <c r="EQ55" s="50"/>
      <c r="ER55" s="42"/>
      <c r="ES55" s="42">
        <v>-4.6566128730773924E-16</v>
      </c>
      <c r="ET55" s="42">
        <v>-1.4901161193847656E-14</v>
      </c>
      <c r="EU55" s="42"/>
      <c r="EV55" s="42">
        <v>5.0058588385581972E-15</v>
      </c>
      <c r="EW55" s="42"/>
      <c r="EX55" s="42"/>
      <c r="EY55" s="42"/>
      <c r="EZ55" s="42"/>
      <c r="FA55" s="42"/>
      <c r="FB55" s="42"/>
      <c r="FC55" s="42"/>
      <c r="FD55" s="50">
        <f t="shared" si="12"/>
        <v>-1.0360963642597196E-14</v>
      </c>
      <c r="FE55" s="50"/>
      <c r="FF55" s="45"/>
      <c r="FG55" s="45"/>
      <c r="FH55" s="45"/>
      <c r="FI55" s="45"/>
      <c r="FJ55" s="45"/>
      <c r="FK55" s="205"/>
      <c r="FL55" s="45"/>
      <c r="FM55" s="45"/>
      <c r="FN55" s="45"/>
      <c r="FO55" s="45"/>
      <c r="FP55" s="45"/>
      <c r="FQ55" s="45"/>
      <c r="FR55" s="50">
        <f t="shared" si="13"/>
        <v>0</v>
      </c>
      <c r="FS55" s="50"/>
      <c r="FT55" s="45"/>
      <c r="FU55" s="45"/>
      <c r="FV55" s="45"/>
      <c r="FW55" s="45"/>
      <c r="FX55" s="45"/>
      <c r="FY55" s="45"/>
      <c r="FZ55" s="45"/>
      <c r="GA55" s="45"/>
      <c r="GB55" s="45"/>
      <c r="GC55" s="45"/>
      <c r="GD55" s="45"/>
      <c r="GE55" s="45"/>
      <c r="GF55" s="50">
        <f t="shared" si="14"/>
        <v>0</v>
      </c>
      <c r="GG55" s="50"/>
      <c r="GH55" s="45"/>
      <c r="GI55" s="45"/>
      <c r="GJ55" s="45"/>
      <c r="GK55" s="45"/>
      <c r="GL55" s="45"/>
      <c r="GM55" s="45">
        <v>4.0299999999999998E-4</v>
      </c>
      <c r="GN55" s="45">
        <v>-4.0299999999999998E-4</v>
      </c>
      <c r="GO55" s="45"/>
      <c r="GP55" s="45"/>
      <c r="GQ55" s="45"/>
      <c r="GR55" s="45">
        <v>-4.0299999999999998E-4</v>
      </c>
      <c r="GS55" s="45"/>
      <c r="GT55" s="50">
        <f t="shared" si="15"/>
        <v>-4.0299999999999998E-4</v>
      </c>
      <c r="GU55" s="50"/>
      <c r="GV55" s="45"/>
      <c r="GW55" s="45"/>
      <c r="GX55" s="45"/>
      <c r="GY55" s="45"/>
      <c r="GZ55" s="45"/>
      <c r="HA55" s="45"/>
      <c r="HB55" s="45"/>
      <c r="HC55" s="45"/>
      <c r="HD55" s="45"/>
      <c r="HE55" s="45"/>
      <c r="HF55" s="45"/>
      <c r="HG55" s="45"/>
      <c r="HH55" s="50">
        <f t="shared" si="6"/>
        <v>0</v>
      </c>
      <c r="HI55" s="45"/>
      <c r="HJ55" s="45"/>
      <c r="HK55" s="45"/>
      <c r="HL55" s="45"/>
      <c r="HM55" s="45"/>
      <c r="HN55" s="45"/>
      <c r="HO55" s="45"/>
      <c r="HP55" s="45"/>
      <c r="HQ55" s="45"/>
      <c r="HR55" s="45"/>
      <c r="HS55" s="45"/>
      <c r="HT55" s="45"/>
      <c r="HU55" s="276">
        <f t="shared" si="16"/>
        <v>0</v>
      </c>
      <c r="HV55" s="276">
        <f t="shared" si="17"/>
        <v>0</v>
      </c>
      <c r="HW55" s="277">
        <f t="shared" si="18"/>
        <v>0</v>
      </c>
      <c r="HX55" s="277"/>
    </row>
    <row r="56" spans="1:232" s="12" customFormat="1" ht="21" hidden="1" customHeight="1">
      <c r="A56" s="314" t="s">
        <v>108</v>
      </c>
      <c r="B56" s="13">
        <v>7800</v>
      </c>
      <c r="C56" s="313" t="s">
        <v>148</v>
      </c>
      <c r="D56" s="44" t="s">
        <v>46</v>
      </c>
      <c r="E56" s="44" t="s">
        <v>46</v>
      </c>
      <c r="F56" s="44" t="s">
        <v>46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>
        <v>0</v>
      </c>
      <c r="U56" s="44"/>
      <c r="V56" s="44"/>
      <c r="W56" s="44"/>
      <c r="X56" s="44">
        <v>1.3803959999997737E-2</v>
      </c>
      <c r="Y56" s="44">
        <v>-1.3803959999999962E-2</v>
      </c>
      <c r="Z56" s="44"/>
      <c r="AA56" s="44"/>
      <c r="AB56" s="44"/>
      <c r="AC56" s="44"/>
      <c r="AD56" s="44"/>
      <c r="AE56" s="44"/>
      <c r="AF56" s="44"/>
      <c r="AG56" s="44"/>
      <c r="AH56" s="44">
        <v>0</v>
      </c>
      <c r="AI56" s="44"/>
      <c r="AJ56" s="44"/>
      <c r="AK56" s="44"/>
      <c r="AL56" s="44"/>
      <c r="AM56" s="44"/>
      <c r="AN56" s="44">
        <v>2.8834499999997147E-2</v>
      </c>
      <c r="AO56" s="44">
        <v>-3.1445500000038882E-3</v>
      </c>
      <c r="AP56" s="44">
        <v>-5.0230219999996509E-2</v>
      </c>
      <c r="AQ56" s="44">
        <v>2.4540270000006983E-2</v>
      </c>
      <c r="AR56" s="44"/>
      <c r="AS56" s="44"/>
      <c r="AT56" s="44"/>
      <c r="AU56" s="44"/>
      <c r="AV56" s="44" t="s">
        <v>46</v>
      </c>
      <c r="AW56" s="44">
        <v>0</v>
      </c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50"/>
      <c r="BK56" s="44"/>
      <c r="BL56" s="44"/>
      <c r="BM56" s="42">
        <v>-5.8207660913467412E-16</v>
      </c>
      <c r="BN56" s="42">
        <v>-1.1641532182693481E-16</v>
      </c>
      <c r="BO56" s="42">
        <v>6.984919309616089E-16</v>
      </c>
      <c r="BP56" s="42">
        <v>3.4924596548080445E-16</v>
      </c>
      <c r="BQ56" s="42">
        <v>2.3283064365386962E-16</v>
      </c>
      <c r="BR56" s="42">
        <v>-9.3132257461547847E-16</v>
      </c>
      <c r="BS56" s="42">
        <v>-4.6566128730773924E-16</v>
      </c>
      <c r="BT56" s="42">
        <v>2.3283064365386962E-16</v>
      </c>
      <c r="BU56" s="42">
        <v>4.6566128730773924E-16</v>
      </c>
      <c r="BV56" s="42">
        <v>0</v>
      </c>
      <c r="BW56" s="42">
        <v>0</v>
      </c>
      <c r="BX56" s="45">
        <f t="shared" si="4"/>
        <v>-1.1641532182693478E-16</v>
      </c>
      <c r="BY56" s="45">
        <v>0</v>
      </c>
      <c r="BZ56" s="45">
        <v>2.3283064365386962E-16</v>
      </c>
      <c r="CA56" s="45">
        <v>0</v>
      </c>
      <c r="CB56" s="45">
        <v>4.6566128730773924E-16</v>
      </c>
      <c r="CC56" s="45">
        <v>2.3283064365386965E-15</v>
      </c>
      <c r="CD56" s="45">
        <v>0</v>
      </c>
      <c r="CE56" s="139">
        <v>0</v>
      </c>
      <c r="CF56" s="45">
        <v>1.4551915228366853E-15</v>
      </c>
      <c r="CG56" s="45">
        <v>-9.3132257461547847E-16</v>
      </c>
      <c r="CH56" s="45">
        <v>-2.3283064365386962E-16</v>
      </c>
      <c r="CI56" s="45">
        <v>-1.9790604710578918E-15</v>
      </c>
      <c r="CJ56" s="45">
        <v>0</v>
      </c>
      <c r="CK56" s="45">
        <v>-1.3969838619232178E-15</v>
      </c>
      <c r="CL56" s="45">
        <f t="shared" si="5"/>
        <v>-5.8207660913467244E-17</v>
      </c>
      <c r="CM56" s="45"/>
      <c r="CN56" s="45">
        <v>0</v>
      </c>
      <c r="CO56" s="45">
        <v>-9.3132257461547847E-16</v>
      </c>
      <c r="CP56" s="45">
        <v>0</v>
      </c>
      <c r="CQ56" s="45">
        <v>0</v>
      </c>
      <c r="CR56" s="45">
        <v>1.8626451492309569E-15</v>
      </c>
      <c r="CS56" s="45">
        <v>1.1641532182693481E-16</v>
      </c>
      <c r="CT56" s="45">
        <v>1.8626451492309569E-15</v>
      </c>
      <c r="CU56" s="45">
        <v>1.2805685400962829E-15</v>
      </c>
      <c r="CV56" s="45">
        <v>-9.3132257461547847E-16</v>
      </c>
      <c r="CW56" s="45">
        <v>3.2596290111541748E-15</v>
      </c>
      <c r="CX56" s="45">
        <v>-6.984919309616089E-16</v>
      </c>
      <c r="CY56" s="45">
        <v>-4.6566128730773924E-16</v>
      </c>
      <c r="CZ56" s="45">
        <f t="shared" si="9"/>
        <v>5.3551048040390007E-15</v>
      </c>
      <c r="DA56" s="45"/>
      <c r="DB56" s="45">
        <v>0</v>
      </c>
      <c r="DC56" s="45">
        <v>1.8626451492309569E-15</v>
      </c>
      <c r="DD56" s="45">
        <v>0</v>
      </c>
      <c r="DE56" s="45">
        <v>3.1432136893272399E-15</v>
      </c>
      <c r="DF56" s="45">
        <v>9.3132257461547847E-16</v>
      </c>
      <c r="DG56" s="45">
        <v>9.3132257461547847E-16</v>
      </c>
      <c r="DH56" s="45">
        <v>4.656612873077393E-15</v>
      </c>
      <c r="DI56" s="45">
        <v>1.1641532182693481E-16</v>
      </c>
      <c r="DJ56" s="45">
        <v>-1.3969838619232178E-15</v>
      </c>
      <c r="DK56" s="45">
        <v>-2.3283064365386962E-16</v>
      </c>
      <c r="DL56" s="45">
        <v>9.3132257461547847E-16</v>
      </c>
      <c r="DM56" s="45">
        <v>-9.3132257461547847E-16</v>
      </c>
      <c r="DN56" s="45">
        <f t="shared" si="20"/>
        <v>1.0011717677116394E-14</v>
      </c>
      <c r="DO56" s="45">
        <v>0</v>
      </c>
      <c r="DP56" s="42">
        <v>-7.5669959187507625E-16</v>
      </c>
      <c r="DQ56" s="42">
        <v>0</v>
      </c>
      <c r="DR56" s="42">
        <v>0</v>
      </c>
      <c r="DS56" s="42">
        <v>-1.6298145055770874E-15</v>
      </c>
      <c r="DT56" s="42">
        <v>0</v>
      </c>
      <c r="DU56" s="42">
        <v>9.3132257461547847E-16</v>
      </c>
      <c r="DV56" s="42">
        <v>0</v>
      </c>
      <c r="DW56" s="42">
        <v>-9.8953023552894592E-16</v>
      </c>
      <c r="DX56" s="42">
        <v>1.3969838619232178E-15</v>
      </c>
      <c r="DY56" s="42">
        <v>-4.6566128730773924E-16</v>
      </c>
      <c r="DZ56" s="42">
        <v>-9.3132257461547847E-16</v>
      </c>
      <c r="EA56" s="42">
        <v>2.3283064365386962E-16</v>
      </c>
      <c r="EB56" s="42">
        <f t="shared" si="31"/>
        <v>-2.2118911147117616E-15</v>
      </c>
      <c r="EC56" s="45"/>
      <c r="ED56" s="42">
        <v>0</v>
      </c>
      <c r="EE56" s="42">
        <v>-8.7311491370201113E-16</v>
      </c>
      <c r="EF56" s="42">
        <v>0</v>
      </c>
      <c r="EG56" s="42">
        <v>0</v>
      </c>
      <c r="EH56" s="50">
        <v>-3.7834979593753812E-16</v>
      </c>
      <c r="EI56" s="42">
        <v>-3.2014213502407073E-16</v>
      </c>
      <c r="EJ56" s="42">
        <v>4.6566128730773924E-16</v>
      </c>
      <c r="EK56" s="42">
        <v>0</v>
      </c>
      <c r="EL56" s="42">
        <v>9.3132257461547847E-16</v>
      </c>
      <c r="EM56" s="42">
        <v>0</v>
      </c>
      <c r="EN56" s="42">
        <v>0</v>
      </c>
      <c r="EO56" s="42">
        <v>-1.8626451492309569E-15</v>
      </c>
      <c r="EP56" s="50">
        <f t="shared" si="11"/>
        <v>-2.0372681319713591E-15</v>
      </c>
      <c r="EQ56" s="50"/>
      <c r="ER56" s="42">
        <v>2.97507461000066</v>
      </c>
      <c r="ES56" s="42">
        <v>-2.9750740000000002</v>
      </c>
      <c r="ET56" s="42">
        <v>0</v>
      </c>
      <c r="EU56" s="42"/>
      <c r="EV56" s="42">
        <v>1.8626451492309569E-15</v>
      </c>
      <c r="EW56" s="42">
        <v>-3.7252902984619139E-15</v>
      </c>
      <c r="EX56" s="42">
        <v>1.9790604710578918E-15</v>
      </c>
      <c r="EY56" s="42">
        <v>1.9790604710578918E-15</v>
      </c>
      <c r="EZ56" s="42">
        <v>2.2118911147117616E-15</v>
      </c>
      <c r="FA56" s="42">
        <v>3.2596290111541748E-15</v>
      </c>
      <c r="FB56" s="42"/>
      <c r="FC56" s="42"/>
      <c r="FD56" s="50">
        <f t="shared" si="12"/>
        <v>6.1000066732901827E-7</v>
      </c>
      <c r="FE56" s="50">
        <v>0</v>
      </c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50">
        <f t="shared" si="13"/>
        <v>0</v>
      </c>
      <c r="FS56" s="50">
        <v>0</v>
      </c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50">
        <f t="shared" si="14"/>
        <v>0</v>
      </c>
      <c r="GG56" s="50"/>
      <c r="GH56" s="45"/>
      <c r="GI56" s="45"/>
      <c r="GJ56" s="45"/>
      <c r="GK56" s="45"/>
      <c r="GL56" s="45"/>
      <c r="GM56" s="45"/>
      <c r="GN56" s="45"/>
      <c r="GO56" s="45"/>
      <c r="GP56" s="45"/>
      <c r="GQ56" s="45"/>
      <c r="GR56" s="45"/>
      <c r="GS56" s="45"/>
      <c r="GT56" s="50">
        <f t="shared" si="15"/>
        <v>0</v>
      </c>
      <c r="GU56" s="50"/>
      <c r="GV56" s="45"/>
      <c r="GW56" s="45"/>
      <c r="GX56" s="45"/>
      <c r="GY56" s="45"/>
      <c r="GZ56" s="45"/>
      <c r="HA56" s="45">
        <v>0</v>
      </c>
      <c r="HB56" s="45"/>
      <c r="HC56" s="45"/>
      <c r="HD56" s="45"/>
      <c r="HE56" s="45"/>
      <c r="HF56" s="45"/>
      <c r="HG56" s="45"/>
      <c r="HH56" s="50">
        <f t="shared" si="6"/>
        <v>0</v>
      </c>
      <c r="HI56" s="45">
        <v>5.9880040000000001</v>
      </c>
      <c r="HJ56" s="45">
        <v>-5.9880040000000001</v>
      </c>
      <c r="HK56" s="45"/>
      <c r="HL56" s="45"/>
      <c r="HM56" s="45"/>
      <c r="HN56" s="45"/>
      <c r="HO56" s="45"/>
      <c r="HP56" s="45"/>
      <c r="HQ56" s="45"/>
      <c r="HR56" s="45"/>
      <c r="HS56" s="45"/>
      <c r="HT56" s="45"/>
      <c r="HU56" s="276">
        <f t="shared" si="16"/>
        <v>0</v>
      </c>
      <c r="HV56" s="276">
        <f t="shared" si="17"/>
        <v>0</v>
      </c>
      <c r="HW56" s="277">
        <f t="shared" si="18"/>
        <v>0</v>
      </c>
      <c r="HX56" s="277"/>
    </row>
    <row r="57" spans="1:232" s="12" customFormat="1" ht="21" hidden="1" customHeight="1">
      <c r="A57" s="314" t="s">
        <v>105</v>
      </c>
      <c r="B57" s="13">
        <v>7200</v>
      </c>
      <c r="C57" s="313" t="s">
        <v>149</v>
      </c>
      <c r="D57" s="44" t="s">
        <v>46</v>
      </c>
      <c r="E57" s="44" t="s">
        <v>46</v>
      </c>
      <c r="F57" s="44" t="s">
        <v>46</v>
      </c>
      <c r="G57" s="44">
        <v>1.9303447333821833</v>
      </c>
      <c r="H57" s="44">
        <v>6.798623798384841E-2</v>
      </c>
      <c r="I57" s="44">
        <v>0.10331187642642847</v>
      </c>
      <c r="J57" s="44">
        <v>0.37772408808145574</v>
      </c>
      <c r="K57" s="44">
        <v>0.65703382450867909</v>
      </c>
      <c r="L57" s="44">
        <v>1.3542908122321402</v>
      </c>
      <c r="M57" s="44">
        <v>-2.5768208490556384E-2</v>
      </c>
      <c r="N57" s="44">
        <v>8.3720354465830579E-2</v>
      </c>
      <c r="O57" s="44">
        <v>0.40893620411950532</v>
      </c>
      <c r="P57" s="44">
        <v>0.27497424602023118</v>
      </c>
      <c r="Q57" s="44">
        <v>-1.165901161632559E-2</v>
      </c>
      <c r="R57" s="44">
        <v>0.21201928275877202</v>
      </c>
      <c r="S57" s="44">
        <v>0.57237579751964962</v>
      </c>
      <c r="T57" s="44">
        <v>0</v>
      </c>
      <c r="U57" s="44">
        <v>3.881322530890309</v>
      </c>
      <c r="V57" s="44">
        <v>0.19175047874161119</v>
      </c>
      <c r="W57" s="44">
        <v>8.7251925790404861E-2</v>
      </c>
      <c r="X57" s="44">
        <v>0.797834838420729</v>
      </c>
      <c r="Y57" s="44">
        <v>0.37552785457088661</v>
      </c>
      <c r="Z57" s="44">
        <v>-4.0551846603008148E-3</v>
      </c>
      <c r="AA57" s="44">
        <v>0.77309178661476374</v>
      </c>
      <c r="AB57" s="44">
        <v>8.1884849830093726E-2</v>
      </c>
      <c r="AC57" s="44">
        <v>-0.20555659899488321</v>
      </c>
      <c r="AD57" s="44">
        <v>0.30597293128668185</v>
      </c>
      <c r="AE57" s="44">
        <v>0.37310971479958743</v>
      </c>
      <c r="AF57" s="44">
        <v>0.43583132708407912</v>
      </c>
      <c r="AG57" s="44">
        <v>3.1322047114131344</v>
      </c>
      <c r="AH57" s="44">
        <v>0</v>
      </c>
      <c r="AI57" s="44">
        <v>3.6867073181136734</v>
      </c>
      <c r="AJ57" s="44"/>
      <c r="AK57" s="44"/>
      <c r="AL57" s="42">
        <v>0.28787969334266522</v>
      </c>
      <c r="AM57" s="42">
        <v>-7.0692540167668891E-2</v>
      </c>
      <c r="AN57" s="42">
        <v>0.62402708018452546</v>
      </c>
      <c r="AO57" s="42">
        <v>0.8719347247855801</v>
      </c>
      <c r="AP57" s="42">
        <v>-0.14163266068936042</v>
      </c>
      <c r="AQ57" s="42">
        <v>0.18492081730172105</v>
      </c>
      <c r="AR57" s="42">
        <v>-0.10808845709472853</v>
      </c>
      <c r="AS57" s="42">
        <v>2.9249136316810946</v>
      </c>
      <c r="AT57" s="42">
        <v>0.25343481255087341</v>
      </c>
      <c r="AU57" s="42">
        <v>0.29045509037420664</v>
      </c>
      <c r="AV57" s="44" t="s">
        <v>46</v>
      </c>
      <c r="AW57" s="44">
        <v>0</v>
      </c>
      <c r="AX57" s="44"/>
      <c r="AY57" s="44">
        <v>2.7205170000000001E-2</v>
      </c>
      <c r="AZ57" s="44">
        <v>3.9899999999999998E-2</v>
      </c>
      <c r="BA57" s="44">
        <v>-6.710515999999643E-2</v>
      </c>
      <c r="BB57" s="44"/>
      <c r="BC57" s="44"/>
      <c r="BD57" s="44"/>
      <c r="BE57" s="44"/>
      <c r="BF57" s="44">
        <v>1.8300000000002561E-2</v>
      </c>
      <c r="BG57" s="44">
        <v>-1.8299999999994789E-2</v>
      </c>
      <c r="BH57" s="44"/>
      <c r="BI57" s="44"/>
      <c r="BJ57" s="50">
        <f t="shared" ref="BJ57:BJ66" si="34">SUM(AX57:BI57)</f>
        <v>1.0000011332889081E-8</v>
      </c>
      <c r="BK57" s="44">
        <v>0.44652199999999997</v>
      </c>
      <c r="BL57" s="44"/>
      <c r="BM57" s="42">
        <v>-6.5192580223083495E-15</v>
      </c>
      <c r="BN57" s="42">
        <v>2.0489096641540527E-14</v>
      </c>
      <c r="BO57" s="42">
        <v>-5.5879354476928712E-15</v>
      </c>
      <c r="BP57" s="42">
        <v>-1.8626451492309569E-15</v>
      </c>
      <c r="BQ57" s="42">
        <v>-6.5192580223083495E-15</v>
      </c>
      <c r="BR57" s="42">
        <v>0</v>
      </c>
      <c r="BS57" s="42">
        <v>3.7252902984619139E-15</v>
      </c>
      <c r="BT57" s="42">
        <v>-1.0244548320770263E-14</v>
      </c>
      <c r="BU57" s="42">
        <v>-3.7252902984619139E-15</v>
      </c>
      <c r="BV57" s="42">
        <v>-2.7939677238464356E-15</v>
      </c>
      <c r="BW57" s="42">
        <v>9.3132257461547859E-15</v>
      </c>
      <c r="BX57" s="45">
        <f t="shared" si="4"/>
        <v>-3.7252902984619131E-15</v>
      </c>
      <c r="BY57" s="45">
        <v>0</v>
      </c>
      <c r="BZ57" s="45">
        <v>8.3819031715393069E-15</v>
      </c>
      <c r="CA57" s="45">
        <v>3.7252902984619139E-15</v>
      </c>
      <c r="CB57" s="45">
        <v>-1.8626451492309569E-15</v>
      </c>
      <c r="CC57" s="45">
        <v>3.7252902984619139E-15</v>
      </c>
      <c r="CD57" s="45">
        <v>1.1175870895385742E-14</v>
      </c>
      <c r="CE57" s="139">
        <v>-1.6763806343078614E-14</v>
      </c>
      <c r="CF57" s="45">
        <v>-3.7252902984619139E-15</v>
      </c>
      <c r="CG57" s="45">
        <v>7.4505805969238278E-15</v>
      </c>
      <c r="CH57" s="45">
        <v>-5.5879354476928712E-15</v>
      </c>
      <c r="CI57" s="45">
        <v>1.1175870895385742E-14</v>
      </c>
      <c r="CJ57" s="45">
        <v>-1.6763806343078614E-14</v>
      </c>
      <c r="CK57" s="45">
        <v>-1.4901161193847656E-14</v>
      </c>
      <c r="CL57" s="45">
        <f t="shared" si="5"/>
        <v>-1.3969838619232177E-14</v>
      </c>
      <c r="CM57" s="45"/>
      <c r="CN57" s="45">
        <v>-2.2118911147117616E-15</v>
      </c>
      <c r="CO57" s="45">
        <v>-5.8207660913467412E-16</v>
      </c>
      <c r="CP57" s="45">
        <v>-5.5879354476928712E-15</v>
      </c>
      <c r="CQ57" s="45">
        <v>-7.4505805969238278E-15</v>
      </c>
      <c r="CR57" s="45">
        <v>0</v>
      </c>
      <c r="CS57" s="45">
        <v>-3.7252902984619139E-15</v>
      </c>
      <c r="CT57" s="45">
        <v>-9.3132257461547859E-15</v>
      </c>
      <c r="CU57" s="45">
        <v>0</v>
      </c>
      <c r="CV57" s="45">
        <v>-7.4505805969238278E-15</v>
      </c>
      <c r="CW57" s="45">
        <v>-1.4901161193847656E-14</v>
      </c>
      <c r="CX57" s="45">
        <v>1.8626451492309569E-15</v>
      </c>
      <c r="CY57" s="45">
        <v>1.1175870895385742E-14</v>
      </c>
      <c r="CZ57" s="45">
        <f t="shared" si="9"/>
        <v>-3.8184225559234613E-14</v>
      </c>
      <c r="DA57" s="45"/>
      <c r="DB57" s="45">
        <v>2.6484485715627671E-15</v>
      </c>
      <c r="DC57" s="45">
        <v>-8.6147338151931758E-15</v>
      </c>
      <c r="DD57" s="45">
        <v>5.1804818212985989E-15</v>
      </c>
      <c r="DE57" s="45">
        <v>-7.4505805969238278E-15</v>
      </c>
      <c r="DF57" s="45">
        <v>3.7252902984619139E-15</v>
      </c>
      <c r="DG57" s="45">
        <v>2.0489096641540527E-14</v>
      </c>
      <c r="DH57" s="45">
        <v>2.0489096641540527E-14</v>
      </c>
      <c r="DI57" s="45">
        <v>-1.8626451492309569E-15</v>
      </c>
      <c r="DJ57" s="45">
        <v>1.1175870895385742E-14</v>
      </c>
      <c r="DK57" s="45">
        <v>1.8626451492309572E-14</v>
      </c>
      <c r="DL57" s="45">
        <v>-1.8626451492309569E-15</v>
      </c>
      <c r="DM57" s="45">
        <v>6.0500000000037251E-3</v>
      </c>
      <c r="DN57" s="45">
        <f t="shared" si="20"/>
        <v>6.0500000000662689E-3</v>
      </c>
      <c r="DO57" s="45">
        <v>0</v>
      </c>
      <c r="DP57" s="42">
        <v>0.27204799999999629</v>
      </c>
      <c r="DQ57" s="42">
        <v>-0.27204600000000556</v>
      </c>
      <c r="DR57" s="42">
        <v>-7.7998265624046328E-15</v>
      </c>
      <c r="DS57" s="42">
        <v>7.0100000000186268E-4</v>
      </c>
      <c r="DT57" s="42">
        <v>1.1299999999992549E-2</v>
      </c>
      <c r="DU57" s="42">
        <v>-1.2001000000001863E-2</v>
      </c>
      <c r="DV57" s="42">
        <v>0</v>
      </c>
      <c r="DW57" s="42">
        <v>-5.5879354476928712E-15</v>
      </c>
      <c r="DX57" s="42">
        <v>4.4640000000000001E-3</v>
      </c>
      <c r="DY57" s="42">
        <v>-4.461000000003725E-3</v>
      </c>
      <c r="DZ57" s="42">
        <v>1.8626451492309569E-15</v>
      </c>
      <c r="EA57" s="42">
        <v>3.3699999998509884E-4</v>
      </c>
      <c r="EB57" s="42">
        <f t="shared" si="31"/>
        <v>3.4199999995312898E-4</v>
      </c>
      <c r="EC57" s="45">
        <v>8.3820000000000006E-2</v>
      </c>
      <c r="ED57" s="42">
        <v>-3.1664967536926269E-14</v>
      </c>
      <c r="EF57" s="42">
        <v>0</v>
      </c>
      <c r="EG57" s="42">
        <v>0</v>
      </c>
      <c r="EH57" s="50"/>
      <c r="EI57" s="42"/>
      <c r="EK57" s="42"/>
      <c r="EL57" s="42">
        <v>1.3038516044616699E-14</v>
      </c>
      <c r="EM57" s="42">
        <v>0</v>
      </c>
      <c r="EN57" s="42">
        <v>1.0128132998943329E-14</v>
      </c>
      <c r="EO57" s="42">
        <v>2.7799990035127848E-6</v>
      </c>
      <c r="EP57" s="50">
        <f t="shared" si="11"/>
        <v>2.7799989950144664E-6</v>
      </c>
      <c r="EQ57" s="50">
        <v>0.37078699999999998</v>
      </c>
      <c r="ER57" s="42">
        <v>1.4551915228366853E-15</v>
      </c>
      <c r="ES57" s="183"/>
      <c r="ET57" s="42">
        <v>2.0456241145438979E-15</v>
      </c>
      <c r="EU57" s="42"/>
      <c r="EV57" s="42">
        <v>-3.0559021979570387E-16</v>
      </c>
      <c r="EW57" s="42">
        <v>2.4434299990057627E-3</v>
      </c>
      <c r="EX57" s="42">
        <v>2.1357999999986031E-2</v>
      </c>
      <c r="EY57" s="42">
        <v>-9.0229999999962753E-3</v>
      </c>
      <c r="EZ57" s="42">
        <v>-1.4296E-2</v>
      </c>
      <c r="FA57" s="42">
        <v>3.3397000000000003E-2</v>
      </c>
      <c r="FB57" s="42">
        <v>0.58401400000000003</v>
      </c>
      <c r="FC57" s="42">
        <v>-0.61789300000000003</v>
      </c>
      <c r="FD57" s="50">
        <f t="shared" si="12"/>
        <v>4.2999899874107683E-7</v>
      </c>
      <c r="FE57" s="50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50">
        <f t="shared" si="13"/>
        <v>0</v>
      </c>
      <c r="FS57" s="50"/>
      <c r="FT57" s="45"/>
      <c r="FU57" s="45"/>
      <c r="FV57" s="45"/>
      <c r="FW57" s="45"/>
      <c r="FX57" s="45"/>
      <c r="FY57" s="45"/>
      <c r="FZ57" s="45"/>
      <c r="GA57" s="45"/>
      <c r="GB57" s="45"/>
      <c r="GC57" s="45"/>
      <c r="GD57" s="45"/>
      <c r="GE57" s="45"/>
      <c r="GF57" s="50">
        <f t="shared" si="14"/>
        <v>0</v>
      </c>
      <c r="GG57" s="50"/>
      <c r="GH57" s="45"/>
      <c r="GI57" s="45"/>
      <c r="GJ57" s="45"/>
      <c r="GK57" s="45"/>
      <c r="GL57" s="45"/>
      <c r="GM57" s="45"/>
      <c r="GN57" s="45"/>
      <c r="GO57" s="45"/>
      <c r="GP57" s="45"/>
      <c r="GQ57" s="45"/>
      <c r="GR57" s="45"/>
      <c r="GS57" s="45"/>
      <c r="GT57" s="50">
        <f t="shared" si="15"/>
        <v>0</v>
      </c>
      <c r="GU57" s="50"/>
      <c r="GV57" s="45"/>
      <c r="GW57" s="45"/>
      <c r="GX57" s="45"/>
      <c r="GY57" s="45"/>
      <c r="GZ57" s="45"/>
      <c r="HA57" s="45">
        <v>0</v>
      </c>
      <c r="HB57" s="45"/>
      <c r="HC57" s="45"/>
      <c r="HD57" s="45"/>
      <c r="HE57" s="45"/>
      <c r="HF57" s="45"/>
      <c r="HG57" s="45"/>
      <c r="HH57" s="50">
        <f t="shared" si="6"/>
        <v>0</v>
      </c>
      <c r="HI57" s="45"/>
      <c r="HJ57" s="45"/>
      <c r="HK57" s="45">
        <v>0.77675000000000005</v>
      </c>
      <c r="HL57" s="45">
        <v>-0.77675000000000005</v>
      </c>
      <c r="HM57" s="45"/>
      <c r="HN57" s="45"/>
      <c r="HO57" s="45"/>
      <c r="HP57" s="45"/>
      <c r="HQ57" s="45"/>
      <c r="HR57" s="45"/>
      <c r="HS57" s="45"/>
      <c r="HT57" s="45"/>
      <c r="HU57" s="276">
        <f t="shared" si="16"/>
        <v>0</v>
      </c>
      <c r="HV57" s="276">
        <f t="shared" si="17"/>
        <v>0</v>
      </c>
      <c r="HW57" s="277">
        <f t="shared" si="18"/>
        <v>0</v>
      </c>
      <c r="HX57" s="277" t="e">
        <f t="shared" si="19"/>
        <v>#DIV/0!</v>
      </c>
    </row>
    <row r="58" spans="1:232" s="12" customFormat="1" ht="20.5">
      <c r="A58" s="314" t="s">
        <v>150</v>
      </c>
      <c r="B58" s="13">
        <v>6000</v>
      </c>
      <c r="C58" s="46" t="s">
        <v>151</v>
      </c>
      <c r="D58" s="42">
        <v>1548.7715579308031</v>
      </c>
      <c r="E58" s="42">
        <v>1970.1223740900732</v>
      </c>
      <c r="F58" s="42">
        <v>2344.330227204171</v>
      </c>
      <c r="G58" s="42">
        <v>2481.9280069549977</v>
      </c>
      <c r="H58" s="42">
        <v>181.21820746609296</v>
      </c>
      <c r="I58" s="42">
        <v>195.57566358472633</v>
      </c>
      <c r="J58" s="42">
        <v>201.64684116766551</v>
      </c>
      <c r="K58" s="42">
        <v>195.01832310288501</v>
      </c>
      <c r="L58" s="42">
        <v>191.86828265063943</v>
      </c>
      <c r="M58" s="42">
        <v>191.99466084427522</v>
      </c>
      <c r="N58" s="42">
        <v>183.31411887240256</v>
      </c>
      <c r="O58" s="42">
        <v>192.24938389650598</v>
      </c>
      <c r="P58" s="42">
        <v>187.34445449940523</v>
      </c>
      <c r="Q58" s="42">
        <v>185.91244248752145</v>
      </c>
      <c r="R58" s="42">
        <v>197.68077973375222</v>
      </c>
      <c r="S58" s="42">
        <v>186.73395780331359</v>
      </c>
      <c r="T58" s="42">
        <v>2290.5571161091898</v>
      </c>
      <c r="U58" s="42">
        <v>2289.7535557566548</v>
      </c>
      <c r="V58" s="42">
        <v>197.98662642785186</v>
      </c>
      <c r="W58" s="42">
        <v>191.66516274807773</v>
      </c>
      <c r="X58" s="42">
        <v>215.20268252599584</v>
      </c>
      <c r="Y58" s="42">
        <v>204.45831311432491</v>
      </c>
      <c r="Z58" s="42">
        <v>170.783156584197</v>
      </c>
      <c r="AA58" s="42">
        <v>173.45920057370191</v>
      </c>
      <c r="AB58" s="42">
        <v>190.56752238177356</v>
      </c>
      <c r="AC58" s="42">
        <v>186.59312411426231</v>
      </c>
      <c r="AD58" s="42">
        <v>182.19057233595711</v>
      </c>
      <c r="AE58" s="42">
        <v>195.01323087233428</v>
      </c>
      <c r="AF58" s="42">
        <v>190.64372712733564</v>
      </c>
      <c r="AG58" s="42">
        <v>193.32915578169735</v>
      </c>
      <c r="AH58" s="42">
        <v>2291.8924745875097</v>
      </c>
      <c r="AI58" s="42">
        <v>2291.1487697850325</v>
      </c>
      <c r="AJ58" s="42">
        <v>192.73161791907845</v>
      </c>
      <c r="AK58" s="42">
        <v>195.73991753034989</v>
      </c>
      <c r="AL58" s="42">
        <v>199.88765712773406</v>
      </c>
      <c r="AM58" s="42">
        <v>220.91987417544576</v>
      </c>
      <c r="AN58" s="42">
        <v>174.61733570099202</v>
      </c>
      <c r="AO58" s="42">
        <v>189.97562378700178</v>
      </c>
      <c r="AP58" s="42">
        <v>197.55224216139919</v>
      </c>
      <c r="AQ58" s="42">
        <v>188.21300025327119</v>
      </c>
      <c r="AR58" s="42">
        <v>198.58883842436867</v>
      </c>
      <c r="AS58" s="42">
        <v>202.09030398233364</v>
      </c>
      <c r="AT58" s="42">
        <v>209.38851230214968</v>
      </c>
      <c r="AU58" s="42">
        <v>231.24077409917987</v>
      </c>
      <c r="AV58" s="42">
        <v>2400.9456974633044</v>
      </c>
      <c r="AW58" s="42">
        <v>2400.2283182793499</v>
      </c>
      <c r="AX58" s="42">
        <f>AX59+AX60</f>
        <v>164.911159</v>
      </c>
      <c r="AY58" s="42">
        <f>AY59+AY60</f>
        <v>204.99016599999999</v>
      </c>
      <c r="AZ58" s="42">
        <f t="shared" ref="AZ58:BG58" si="35">AZ59+AZ60</f>
        <v>201.94507447000001</v>
      </c>
      <c r="BA58" s="42">
        <f t="shared" si="35"/>
        <v>245.69543164000001</v>
      </c>
      <c r="BB58" s="42">
        <f t="shared" si="35"/>
        <v>160.45518342</v>
      </c>
      <c r="BC58" s="42">
        <f t="shared" si="35"/>
        <v>204.25894953</v>
      </c>
      <c r="BD58" s="42">
        <f t="shared" si="35"/>
        <v>203.02236854</v>
      </c>
      <c r="BE58" s="42">
        <f t="shared" si="35"/>
        <v>194.40152824</v>
      </c>
      <c r="BF58" s="42">
        <f t="shared" si="35"/>
        <v>209.94551497999998</v>
      </c>
      <c r="BG58" s="42">
        <f t="shared" si="35"/>
        <v>205.97596096000001</v>
      </c>
      <c r="BH58" s="42">
        <f>BH59+BH60</f>
        <v>201.65267914999998</v>
      </c>
      <c r="BI58" s="42">
        <f>BI59+BI60</f>
        <v>250.30592691000001</v>
      </c>
      <c r="BJ58" s="45">
        <f t="shared" si="34"/>
        <v>2447.5599428400005</v>
      </c>
      <c r="BK58" s="42">
        <f>BK59+BK60</f>
        <v>2446.5738430000001</v>
      </c>
      <c r="BL58" s="42">
        <f>BL59+BL60</f>
        <v>175.91050240999999</v>
      </c>
      <c r="BM58" s="42">
        <v>216.49760507999997</v>
      </c>
      <c r="BN58" s="42">
        <v>256.47759437000002</v>
      </c>
      <c r="BO58" s="42">
        <v>218.02770988999998</v>
      </c>
      <c r="BP58" s="42">
        <v>174.9091597</v>
      </c>
      <c r="BQ58" s="42">
        <v>235.85854334999999</v>
      </c>
      <c r="BR58" s="42">
        <v>212.96552068</v>
      </c>
      <c r="BS58" s="42">
        <v>197.94439211000002</v>
      </c>
      <c r="BT58" s="42">
        <v>233.86808277999995</v>
      </c>
      <c r="BU58" s="42">
        <v>201.96800000000002</v>
      </c>
      <c r="BV58" s="42">
        <v>219.97644354999997</v>
      </c>
      <c r="BW58" s="42">
        <v>243.70240376999999</v>
      </c>
      <c r="BX58" s="45">
        <f t="shared" si="4"/>
        <v>2588.1059576899997</v>
      </c>
      <c r="BY58" s="45">
        <f>BY59+BY60</f>
        <v>2587.252191</v>
      </c>
      <c r="BZ58" s="45">
        <v>201.77921328999997</v>
      </c>
      <c r="CA58" s="45">
        <v>228.18286668000002</v>
      </c>
      <c r="CB58" s="45">
        <v>245.69942108999999</v>
      </c>
      <c r="CC58" s="45">
        <v>229.46383191999999</v>
      </c>
      <c r="CD58" s="45">
        <v>224.54844578999999</v>
      </c>
      <c r="CE58" s="139">
        <v>225.63041743000002</v>
      </c>
      <c r="CF58" s="45">
        <v>202.77889171999999</v>
      </c>
      <c r="CG58" s="45">
        <v>241.31070590000007</v>
      </c>
      <c r="CH58" s="45">
        <v>227.36492086999988</v>
      </c>
      <c r="CI58" s="45">
        <v>209.96155898000001</v>
      </c>
      <c r="CJ58" s="45">
        <v>246.71125462999998</v>
      </c>
      <c r="CK58" s="45">
        <v>219.05819652</v>
      </c>
      <c r="CL58" s="45">
        <f t="shared" si="5"/>
        <v>2702.48972482</v>
      </c>
      <c r="CM58" s="45">
        <v>2701.3097579999999</v>
      </c>
      <c r="CN58" s="45">
        <v>248.07213278</v>
      </c>
      <c r="CO58" s="45">
        <v>233.38261858000001</v>
      </c>
      <c r="CP58" s="45">
        <v>241.12104454000001</v>
      </c>
      <c r="CQ58" s="45">
        <v>255.02205257999998</v>
      </c>
      <c r="CR58" s="45">
        <v>211.67604711999996</v>
      </c>
      <c r="CS58" s="45">
        <v>235.16259741000002</v>
      </c>
      <c r="CT58" s="45">
        <v>212.25868881000002</v>
      </c>
      <c r="CU58" s="45">
        <v>248.02327688000003</v>
      </c>
      <c r="CV58" s="45">
        <v>219.11697987999997</v>
      </c>
      <c r="CW58" s="45">
        <v>255.47719774999999</v>
      </c>
      <c r="CX58" s="45">
        <v>239.94600356000001</v>
      </c>
      <c r="CY58" s="45">
        <v>230.81971967999999</v>
      </c>
      <c r="CZ58" s="45">
        <f t="shared" si="9"/>
        <v>2830.0783595700004</v>
      </c>
      <c r="DA58" s="45">
        <v>2829.1041530000002</v>
      </c>
      <c r="DB58" s="45">
        <v>255.77996230000002</v>
      </c>
      <c r="DC58" s="45">
        <v>245.16592337999995</v>
      </c>
      <c r="DD58" s="45">
        <v>253.28116783999997</v>
      </c>
      <c r="DE58" s="45">
        <v>269.09176269999983</v>
      </c>
      <c r="DF58" s="45">
        <v>234.49941312000001</v>
      </c>
      <c r="DG58" s="45">
        <v>237.22882486999995</v>
      </c>
      <c r="DH58" s="45">
        <v>259.34063256000002</v>
      </c>
      <c r="DI58" s="45">
        <v>248.87268661000004</v>
      </c>
      <c r="DJ58" s="45">
        <v>233.21539958999992</v>
      </c>
      <c r="DK58" s="45">
        <v>279.63438153000004</v>
      </c>
      <c r="DL58" s="45">
        <v>264.22530654999997</v>
      </c>
      <c r="DM58" s="45">
        <v>285.44127133000018</v>
      </c>
      <c r="DN58" s="45">
        <f t="shared" si="20"/>
        <v>3065.7767323799999</v>
      </c>
      <c r="DO58" s="45">
        <v>3064.8869319999999</v>
      </c>
      <c r="DP58" s="42">
        <v>247.91882658000003</v>
      </c>
      <c r="DQ58" s="42">
        <v>267.42480172999996</v>
      </c>
      <c r="DR58" s="42">
        <v>254.46356440999998</v>
      </c>
      <c r="DS58" s="42">
        <v>301.65166927000001</v>
      </c>
      <c r="DT58" s="42">
        <v>249.24012657000009</v>
      </c>
      <c r="DU58" s="42">
        <v>248.46372968</v>
      </c>
      <c r="DV58" s="42">
        <v>281.24564548000006</v>
      </c>
      <c r="DW58" s="42">
        <v>245.56457671000007</v>
      </c>
      <c r="DX58" s="42">
        <v>271.36750043000001</v>
      </c>
      <c r="DY58" s="42">
        <v>300.85614126000013</v>
      </c>
      <c r="DZ58" s="42">
        <v>267.25240164000007</v>
      </c>
      <c r="EA58" s="42">
        <v>324.46664115999999</v>
      </c>
      <c r="EB58" s="42">
        <f t="shared" si="31"/>
        <v>3259.9156249200005</v>
      </c>
      <c r="EC58" s="45">
        <v>3258.7450469999999</v>
      </c>
      <c r="ED58" s="42">
        <v>278.78794234999998</v>
      </c>
      <c r="EE58" s="42">
        <v>271.96978899999999</v>
      </c>
      <c r="EF58" s="42">
        <v>314.49756833000015</v>
      </c>
      <c r="EG58" s="42">
        <v>321.03695696000017</v>
      </c>
      <c r="EH58" s="50">
        <v>284.34111496999998</v>
      </c>
      <c r="EI58" s="42">
        <v>336.23065858000007</v>
      </c>
      <c r="EJ58" s="42">
        <v>301.45579207999998</v>
      </c>
      <c r="EK58" s="42">
        <v>272.79075381000007</v>
      </c>
      <c r="EL58" s="42">
        <v>313.38489649000007</v>
      </c>
      <c r="EM58" s="42">
        <v>282.78630476000001</v>
      </c>
      <c r="EN58" s="42">
        <v>303.96776499999993</v>
      </c>
      <c r="EO58" s="42">
        <v>340.66803255000013</v>
      </c>
      <c r="EP58" s="50">
        <f t="shared" si="11"/>
        <v>3621.9175748799998</v>
      </c>
      <c r="EQ58" s="50">
        <v>3620.2792039999999</v>
      </c>
      <c r="ER58" s="42">
        <v>325.76677776000008</v>
      </c>
      <c r="ES58" s="42">
        <v>373.06600750999979</v>
      </c>
      <c r="ET58" s="42">
        <v>691.02712386999974</v>
      </c>
      <c r="EU58" s="42">
        <v>543.25552500000015</v>
      </c>
      <c r="EV58" s="42">
        <v>380.06435900000002</v>
      </c>
      <c r="EW58" s="42">
        <v>460.33526000000001</v>
      </c>
      <c r="EX58" s="42">
        <v>361.62424099999998</v>
      </c>
      <c r="EY58" s="42">
        <v>336.74263300000001</v>
      </c>
      <c r="EZ58" s="42">
        <v>310.65252800000002</v>
      </c>
      <c r="FA58" s="42">
        <v>299.00849199999999</v>
      </c>
      <c r="FB58" s="42">
        <v>341.92734301000007</v>
      </c>
      <c r="FC58" s="42">
        <v>-130.16610733999653</v>
      </c>
      <c r="FD58" s="50">
        <f t="shared" si="12"/>
        <v>4293.3041828100031</v>
      </c>
      <c r="FE58" s="50">
        <v>4291.3386479999999</v>
      </c>
      <c r="FF58" s="45">
        <v>383.5096223299999</v>
      </c>
      <c r="FG58" s="45">
        <v>409.08911817000001</v>
      </c>
      <c r="FH58" s="45">
        <v>425.39452443999983</v>
      </c>
      <c r="FI58" s="45">
        <v>392.28160534000011</v>
      </c>
      <c r="FJ58" s="45">
        <v>350.31445953999997</v>
      </c>
      <c r="FK58" s="45">
        <v>282.80779634000004</v>
      </c>
      <c r="FL58" s="45">
        <v>307.21017898000002</v>
      </c>
      <c r="FM58" s="45">
        <v>360.25287352999999</v>
      </c>
      <c r="FN58" s="45">
        <v>430.82849354999991</v>
      </c>
      <c r="FO58" s="45">
        <v>366.38250438</v>
      </c>
      <c r="FP58" s="45">
        <v>432.145893</v>
      </c>
      <c r="FQ58" s="45">
        <v>383.4091943900001</v>
      </c>
      <c r="FR58" s="50">
        <f t="shared" si="13"/>
        <v>4523.6262639900006</v>
      </c>
      <c r="FS58" s="50">
        <v>4521.7501519999996</v>
      </c>
      <c r="FT58" s="45">
        <v>432.30248856999998</v>
      </c>
      <c r="FU58" s="45">
        <v>407.20436828000004</v>
      </c>
      <c r="FV58" s="45">
        <v>417.87009900000004</v>
      </c>
      <c r="FW58" s="45">
        <v>418.77990200999989</v>
      </c>
      <c r="FX58" s="45">
        <v>377.39191765999993</v>
      </c>
      <c r="FY58" s="45">
        <v>394.41979609999993</v>
      </c>
      <c r="FZ58" s="45">
        <v>353.26149054000001</v>
      </c>
      <c r="GA58" s="45">
        <v>420.58463162999988</v>
      </c>
      <c r="GB58" s="45">
        <v>361.26473378999992</v>
      </c>
      <c r="GC58" s="45">
        <v>447.41549118000012</v>
      </c>
      <c r="GD58" s="45">
        <v>416.53452030000005</v>
      </c>
      <c r="GE58" s="45">
        <v>385.55475544000001</v>
      </c>
      <c r="GF58" s="50">
        <f t="shared" si="14"/>
        <v>4832.5841944999993</v>
      </c>
      <c r="GG58" s="50">
        <v>4829.4985779999997</v>
      </c>
      <c r="GH58" s="45">
        <v>456.5058405900001</v>
      </c>
      <c r="GI58" s="45">
        <v>425.00042990999998</v>
      </c>
      <c r="GJ58" s="45">
        <v>397.7404895300001</v>
      </c>
      <c r="GK58" s="45">
        <v>454.89811764000007</v>
      </c>
      <c r="GL58" s="45">
        <v>418.94379788000009</v>
      </c>
      <c r="GM58" s="45">
        <v>415.2980798000001</v>
      </c>
      <c r="GN58" s="45">
        <v>439.50390919000012</v>
      </c>
      <c r="GO58" s="45">
        <v>414.53357164999994</v>
      </c>
      <c r="GP58" s="45">
        <v>422.48791127000015</v>
      </c>
      <c r="GQ58" s="45">
        <v>467.97406731000012</v>
      </c>
      <c r="GR58" s="45">
        <v>443.99365180000007</v>
      </c>
      <c r="GS58" s="45">
        <v>450.46079344999993</v>
      </c>
      <c r="GT58" s="50">
        <f t="shared" si="15"/>
        <v>5207.3406600200015</v>
      </c>
      <c r="GU58" s="50">
        <v>5204.1112869999997</v>
      </c>
      <c r="GV58" s="45">
        <v>474.90863200000001</v>
      </c>
      <c r="GW58" s="45">
        <v>458.54806121000007</v>
      </c>
      <c r="GX58" s="45">
        <v>460.59358500000002</v>
      </c>
      <c r="GY58" s="45">
        <v>526.54642099999978</v>
      </c>
      <c r="GZ58" s="45">
        <v>388.67234893000006</v>
      </c>
      <c r="HA58" s="45">
        <v>447.96679919999997</v>
      </c>
      <c r="HB58" s="45">
        <v>454.64622028999992</v>
      </c>
      <c r="HC58" s="45">
        <v>445.64097085999992</v>
      </c>
      <c r="HD58" s="45">
        <v>472.54926355999993</v>
      </c>
      <c r="HE58" s="45">
        <v>481.57274553999997</v>
      </c>
      <c r="HF58" s="45">
        <v>478.02158820000022</v>
      </c>
      <c r="HG58" s="45">
        <v>541.89744393000012</v>
      </c>
      <c r="HH58" s="50">
        <f t="shared" si="6"/>
        <v>5631.5640797200003</v>
      </c>
      <c r="HI58" s="45">
        <v>436.11928618999968</v>
      </c>
      <c r="HJ58" s="45">
        <v>498.05983393999986</v>
      </c>
      <c r="HK58" s="45">
        <v>517.26828373000012</v>
      </c>
      <c r="HL58" s="45">
        <v>566.2305306400001</v>
      </c>
      <c r="HM58" s="45"/>
      <c r="HN58" s="45"/>
      <c r="HO58" s="45"/>
      <c r="HP58" s="45"/>
      <c r="HQ58" s="45"/>
      <c r="HR58" s="45"/>
      <c r="HS58" s="45"/>
      <c r="HT58" s="45"/>
      <c r="HU58" s="276">
        <f t="shared" si="16"/>
        <v>1920.5966989999999</v>
      </c>
      <c r="HV58" s="276">
        <f t="shared" si="17"/>
        <v>2017.6779349999999</v>
      </c>
      <c r="HW58" s="280">
        <f t="shared" si="18"/>
        <v>97.08123599999999</v>
      </c>
      <c r="HX58" s="280">
        <f t="shared" si="19"/>
        <v>5.0547434581423261</v>
      </c>
    </row>
    <row r="59" spans="1:232" s="12" customFormat="1" ht="20.5">
      <c r="A59" s="316" t="s">
        <v>152</v>
      </c>
      <c r="B59" s="13">
        <v>6210</v>
      </c>
      <c r="C59" s="47" t="s">
        <v>153</v>
      </c>
      <c r="D59" s="166">
        <v>1094.0155263771978</v>
      </c>
      <c r="E59" s="166">
        <v>1357.6767576735476</v>
      </c>
      <c r="F59" s="166">
        <v>1541.1718914519554</v>
      </c>
      <c r="G59" s="166">
        <v>1781.787109749052</v>
      </c>
      <c r="H59" s="166">
        <v>131.49712052008812</v>
      </c>
      <c r="I59" s="166">
        <v>143.50769723849041</v>
      </c>
      <c r="J59" s="166">
        <v>147.7444700940803</v>
      </c>
      <c r="K59" s="166">
        <v>144.08225249144854</v>
      </c>
      <c r="L59" s="166">
        <v>143.10195851190375</v>
      </c>
      <c r="M59" s="166">
        <v>145.50947182998391</v>
      </c>
      <c r="N59" s="166">
        <v>138.90044703786546</v>
      </c>
      <c r="O59" s="166">
        <v>149.87080323959452</v>
      </c>
      <c r="P59" s="166">
        <v>143.85406419143885</v>
      </c>
      <c r="Q59" s="166">
        <v>141.85108064268275</v>
      </c>
      <c r="R59" s="166">
        <v>149.69103479775299</v>
      </c>
      <c r="S59" s="166">
        <v>137.11132079498694</v>
      </c>
      <c r="T59" s="166">
        <v>1716.7217213903164</v>
      </c>
      <c r="U59" s="166">
        <v>1716.7217204227638</v>
      </c>
      <c r="V59" s="166">
        <v>152.36899240755602</v>
      </c>
      <c r="W59" s="166">
        <v>145.98019859021417</v>
      </c>
      <c r="X59" s="166">
        <v>165.92108622034584</v>
      </c>
      <c r="Y59" s="166">
        <v>157.76351904656207</v>
      </c>
      <c r="Z59" s="166">
        <v>126.044602051212</v>
      </c>
      <c r="AA59" s="166">
        <v>131.48883241984962</v>
      </c>
      <c r="AB59" s="166">
        <v>149.82205528141557</v>
      </c>
      <c r="AC59" s="166">
        <v>146.1674537282087</v>
      </c>
      <c r="AD59" s="166">
        <v>142.93974302935101</v>
      </c>
      <c r="AE59" s="166">
        <v>150.56165135656599</v>
      </c>
      <c r="AF59" s="166">
        <v>146.64915108622034</v>
      </c>
      <c r="AG59" s="166">
        <v>147.780386693872</v>
      </c>
      <c r="AH59" s="166">
        <v>1763.4876734480738</v>
      </c>
      <c r="AI59" s="95">
        <v>1763.4876722386327</v>
      </c>
      <c r="AJ59" s="166">
        <v>145.74215713057981</v>
      </c>
      <c r="AK59" s="166">
        <v>146.44861255769746</v>
      </c>
      <c r="AL59" s="166">
        <v>146.64903865088985</v>
      </c>
      <c r="AM59" s="166">
        <v>167.93486724606007</v>
      </c>
      <c r="AN59" s="166">
        <v>126.09768662386669</v>
      </c>
      <c r="AO59" s="166">
        <v>144.86428059299229</v>
      </c>
      <c r="AP59" s="166">
        <v>149.79768087700771</v>
      </c>
      <c r="AQ59" s="166">
        <v>143.01764954000001</v>
      </c>
      <c r="AR59" s="166">
        <v>153.74238551999997</v>
      </c>
      <c r="AS59" s="166">
        <v>152.20759745999999</v>
      </c>
      <c r="AT59" s="166">
        <v>160.52144028776161</v>
      </c>
      <c r="AU59" s="166">
        <v>179.43229590326749</v>
      </c>
      <c r="AV59" s="166">
        <v>1816.4556936784652</v>
      </c>
      <c r="AW59" s="166">
        <v>1816.4556931946888</v>
      </c>
      <c r="AX59" s="166">
        <v>113.727723</v>
      </c>
      <c r="AY59" s="166">
        <v>150.502601</v>
      </c>
      <c r="AZ59" s="166">
        <v>150.636965</v>
      </c>
      <c r="BA59" s="166">
        <v>189.25725800000001</v>
      </c>
      <c r="BB59" s="166">
        <v>109.37343300000001</v>
      </c>
      <c r="BC59" s="166">
        <v>154.53280599999999</v>
      </c>
      <c r="BD59" s="166">
        <v>150.95038099999999</v>
      </c>
      <c r="BE59" s="166">
        <v>146.68552600000001</v>
      </c>
      <c r="BF59" s="166">
        <v>156.22581936</v>
      </c>
      <c r="BG59" s="166">
        <v>153.34734967000003</v>
      </c>
      <c r="BH59" s="166">
        <v>150.30949533999998</v>
      </c>
      <c r="BI59" s="166">
        <v>190.71731797999999</v>
      </c>
      <c r="BJ59" s="96">
        <f t="shared" si="34"/>
        <v>1816.2666753500002</v>
      </c>
      <c r="BK59" s="166">
        <v>1816.2666750000001</v>
      </c>
      <c r="BL59" s="166">
        <v>118.36564506000001</v>
      </c>
      <c r="BM59" s="166">
        <v>153.18288351999999</v>
      </c>
      <c r="BN59" s="166">
        <v>189.05526725000001</v>
      </c>
      <c r="BO59" s="166">
        <v>153.86502927000001</v>
      </c>
      <c r="BP59" s="166">
        <v>116.59076707000001</v>
      </c>
      <c r="BQ59" s="166">
        <v>171.06360339</v>
      </c>
      <c r="BR59" s="166">
        <v>152.05444046</v>
      </c>
      <c r="BS59" s="166">
        <v>139.38955684000001</v>
      </c>
      <c r="BT59" s="166">
        <v>168.81656106999995</v>
      </c>
      <c r="BU59" s="166">
        <v>139.60458032</v>
      </c>
      <c r="BV59" s="166">
        <v>157.22323426</v>
      </c>
      <c r="BW59" s="166">
        <v>173.59575143999999</v>
      </c>
      <c r="BX59" s="96">
        <f t="shared" si="4"/>
        <v>1832.80731995</v>
      </c>
      <c r="BY59" s="96">
        <v>1832.807319</v>
      </c>
      <c r="BZ59" s="96">
        <v>137.51502657</v>
      </c>
      <c r="CA59" s="96">
        <v>156.80738156999999</v>
      </c>
      <c r="CB59" s="96">
        <v>170.23337071</v>
      </c>
      <c r="CC59" s="96">
        <v>155.81369694</v>
      </c>
      <c r="CD59" s="96">
        <v>153.36068569</v>
      </c>
      <c r="CE59" s="267">
        <v>158.54984250000004</v>
      </c>
      <c r="CF59" s="96">
        <v>140.04310182999998</v>
      </c>
      <c r="CG59" s="96">
        <v>169.93364151000006</v>
      </c>
      <c r="CH59" s="96">
        <v>158.31431420999991</v>
      </c>
      <c r="CI59" s="96">
        <v>144.19861784</v>
      </c>
      <c r="CJ59" s="96">
        <v>171.77720648999997</v>
      </c>
      <c r="CK59" s="96">
        <v>146.68195936000001</v>
      </c>
      <c r="CL59" s="96">
        <f t="shared" si="5"/>
        <v>1863.22884522</v>
      </c>
      <c r="CM59" s="96">
        <v>1863.2288450000001</v>
      </c>
      <c r="CN59" s="96">
        <v>172.15440140000001</v>
      </c>
      <c r="CO59" s="96">
        <v>158.42221799000001</v>
      </c>
      <c r="CP59" s="96">
        <v>162.82428308999999</v>
      </c>
      <c r="CQ59" s="96">
        <v>179.18626571999999</v>
      </c>
      <c r="CR59" s="96">
        <v>138.56122581</v>
      </c>
      <c r="CS59" s="96">
        <v>162.98145506000003</v>
      </c>
      <c r="CT59" s="96">
        <v>145.39972759</v>
      </c>
      <c r="CU59" s="96">
        <v>173.91594259000001</v>
      </c>
      <c r="CV59" s="96">
        <v>148.13273993999999</v>
      </c>
      <c r="CW59" s="96">
        <v>180.67511696</v>
      </c>
      <c r="CX59" s="96">
        <v>166.05210149000001</v>
      </c>
      <c r="CY59" s="96">
        <v>156.62854137999997</v>
      </c>
      <c r="CZ59" s="96">
        <f t="shared" si="9"/>
        <v>1944.9340190199998</v>
      </c>
      <c r="DA59" s="96">
        <v>1944.934019</v>
      </c>
      <c r="DB59" s="96">
        <v>178.52012210000004</v>
      </c>
      <c r="DC59" s="96">
        <v>167.34412676000002</v>
      </c>
      <c r="DD59" s="96">
        <v>172.60340416999998</v>
      </c>
      <c r="DE59" s="96">
        <v>181.12404145999997</v>
      </c>
      <c r="DF59" s="96">
        <v>152.00645030999999</v>
      </c>
      <c r="DG59" s="96">
        <v>159.15544715000001</v>
      </c>
      <c r="DH59" s="96">
        <v>181.54897007</v>
      </c>
      <c r="DI59" s="96">
        <v>170.48161776000003</v>
      </c>
      <c r="DJ59" s="96">
        <v>158.38820873</v>
      </c>
      <c r="DK59" s="96">
        <v>196.32062837999996</v>
      </c>
      <c r="DL59" s="96">
        <v>180.63245975000004</v>
      </c>
      <c r="DM59" s="96">
        <v>204.05592656000005</v>
      </c>
      <c r="DN59" s="96">
        <f t="shared" si="20"/>
        <v>2102.1814032000002</v>
      </c>
      <c r="DO59" s="96">
        <v>2102.1806259999998</v>
      </c>
      <c r="DP59" s="166">
        <v>159.70138733999997</v>
      </c>
      <c r="DQ59" s="166">
        <v>179.9877415</v>
      </c>
      <c r="DR59" s="166">
        <v>167.60477600999999</v>
      </c>
      <c r="DS59" s="166">
        <v>210.53240745000002</v>
      </c>
      <c r="DT59" s="166">
        <v>163.80145772999998</v>
      </c>
      <c r="DU59" s="166">
        <v>167.98831148000002</v>
      </c>
      <c r="DV59" s="166">
        <v>194.88897958999999</v>
      </c>
      <c r="DW59" s="166">
        <v>164.20660803999999</v>
      </c>
      <c r="DX59" s="166">
        <v>186.01768200000001</v>
      </c>
      <c r="DY59" s="166">
        <v>210.06659807</v>
      </c>
      <c r="DZ59" s="166">
        <v>178.96145187999997</v>
      </c>
      <c r="EA59" s="166">
        <v>229.92414063999999</v>
      </c>
      <c r="EB59" s="166">
        <f t="shared" si="31"/>
        <v>2213.6815417299999</v>
      </c>
      <c r="EC59" s="96">
        <f>60.639248+2153.041778</f>
        <v>2213.6810259999997</v>
      </c>
      <c r="ED59" s="166">
        <v>180.70021392999999</v>
      </c>
      <c r="EE59" s="166">
        <v>178.97542180999997</v>
      </c>
      <c r="EF59" s="166">
        <v>215.37651894000004</v>
      </c>
      <c r="EG59" s="166">
        <v>211.28037897000002</v>
      </c>
      <c r="EH59" s="94">
        <v>161.18190478</v>
      </c>
      <c r="EI59" s="166">
        <v>214.58503568999996</v>
      </c>
      <c r="EJ59" s="166">
        <v>194.67006347000003</v>
      </c>
      <c r="EK59" s="166">
        <v>181.02515662000002</v>
      </c>
      <c r="EL59" s="166">
        <v>214.49989728</v>
      </c>
      <c r="EM59" s="166">
        <v>187.31181210000003</v>
      </c>
      <c r="EN59" s="166">
        <v>206.87406326999999</v>
      </c>
      <c r="EO59" s="166">
        <v>226.33440849000002</v>
      </c>
      <c r="EP59" s="94">
        <f t="shared" si="11"/>
        <v>2372.81487535</v>
      </c>
      <c r="EQ59" s="96">
        <v>2543.3672260000003</v>
      </c>
      <c r="ER59" s="166">
        <v>183.67904076000002</v>
      </c>
      <c r="ES59" s="166">
        <v>203.92760779</v>
      </c>
      <c r="ET59" s="166">
        <v>239.96976933999997</v>
      </c>
      <c r="EU59" s="166">
        <v>206.53383371000001</v>
      </c>
      <c r="EV59" s="166">
        <v>190.60127035999997</v>
      </c>
      <c r="EW59" s="166">
        <v>226.52784394999998</v>
      </c>
      <c r="EX59" s="166">
        <v>190.82006145</v>
      </c>
      <c r="EY59" s="166">
        <v>225.84752624000001</v>
      </c>
      <c r="EZ59" s="166">
        <v>213.42840065000001</v>
      </c>
      <c r="FA59" s="166">
        <v>200.11591919999998</v>
      </c>
      <c r="FB59" s="166">
        <v>227.46014859000002</v>
      </c>
      <c r="FC59" s="166">
        <v>230.98521169999998</v>
      </c>
      <c r="FD59" s="94">
        <f t="shared" si="12"/>
        <v>2539.8966337399997</v>
      </c>
      <c r="FE59" s="94">
        <v>2539.8966337399997</v>
      </c>
      <c r="FF59" s="96">
        <v>199.67506903999998</v>
      </c>
      <c r="FG59" s="96">
        <v>236.80471292999999</v>
      </c>
      <c r="FH59" s="96">
        <v>234.55484083999997</v>
      </c>
      <c r="FI59" s="96">
        <v>211.95786282999998</v>
      </c>
      <c r="FJ59" s="96">
        <v>207.59215391000001</v>
      </c>
      <c r="FK59" s="96">
        <v>219.51086128000003</v>
      </c>
      <c r="FL59" s="96">
        <v>198.59049376000002</v>
      </c>
      <c r="FM59" s="96">
        <v>244.93774289999999</v>
      </c>
      <c r="FN59" s="96">
        <v>310.94625744000001</v>
      </c>
      <c r="FO59" s="96">
        <v>241.72581769999999</v>
      </c>
      <c r="FP59" s="96">
        <v>289.07714670000001</v>
      </c>
      <c r="FQ59" s="96">
        <v>247.96113253999999</v>
      </c>
      <c r="FR59" s="94">
        <f t="shared" si="13"/>
        <v>2843.3340918700001</v>
      </c>
      <c r="FS59" s="94">
        <v>2843.3340918700001</v>
      </c>
      <c r="FT59" s="96">
        <v>296.69633961</v>
      </c>
      <c r="FU59" s="96">
        <v>273.84795714000001</v>
      </c>
      <c r="FV59" s="96">
        <v>281.94971131</v>
      </c>
      <c r="FW59" s="96">
        <v>287.89347168</v>
      </c>
      <c r="FX59" s="96">
        <v>252.09700933999997</v>
      </c>
      <c r="FY59" s="96">
        <v>270.45872860000003</v>
      </c>
      <c r="FZ59" s="96">
        <v>236.94962819</v>
      </c>
      <c r="GA59" s="96">
        <v>292.96864664000003</v>
      </c>
      <c r="GB59" s="96">
        <v>238.09099056999997</v>
      </c>
      <c r="GC59" s="96">
        <v>268.91763724999998</v>
      </c>
      <c r="GD59" s="96">
        <v>284.56140607999998</v>
      </c>
      <c r="GE59" s="96">
        <v>258.47236467000005</v>
      </c>
      <c r="GF59" s="94">
        <f t="shared" si="14"/>
        <v>3242.90389108</v>
      </c>
      <c r="GG59" s="94">
        <v>3242.90389108</v>
      </c>
      <c r="GH59" s="96">
        <v>309.85686454</v>
      </c>
      <c r="GI59" s="96">
        <v>284.15821564999999</v>
      </c>
      <c r="GJ59" s="96">
        <v>257.99201388</v>
      </c>
      <c r="GK59" s="96">
        <v>287.60255996999996</v>
      </c>
      <c r="GL59" s="96">
        <v>280.41298405999999</v>
      </c>
      <c r="GM59" s="96">
        <v>284.58720986999998</v>
      </c>
      <c r="GN59" s="96">
        <v>286.38148494999996</v>
      </c>
      <c r="GO59" s="96">
        <v>284.37171117000003</v>
      </c>
      <c r="GP59" s="96">
        <v>290.84282946000002</v>
      </c>
      <c r="GQ59" s="96">
        <v>307.91938995999999</v>
      </c>
      <c r="GR59" s="96">
        <v>307.91416902000003</v>
      </c>
      <c r="GS59" s="96">
        <v>318.03117877</v>
      </c>
      <c r="GT59" s="94">
        <f t="shared" si="15"/>
        <v>3500.0706112999997</v>
      </c>
      <c r="GU59" s="94">
        <v>3500.0706112999997</v>
      </c>
      <c r="GV59" s="96">
        <v>305.52805554999998</v>
      </c>
      <c r="GW59" s="96">
        <v>312.79030360000007</v>
      </c>
      <c r="GX59" s="96">
        <v>307.27332147999994</v>
      </c>
      <c r="GY59" s="96">
        <v>372.95501451000007</v>
      </c>
      <c r="GZ59" s="96">
        <v>245.96428803000003</v>
      </c>
      <c r="HA59" s="96">
        <v>311.14307095999999</v>
      </c>
      <c r="HB59" s="96">
        <v>311.08047534000002</v>
      </c>
      <c r="HC59" s="96">
        <v>311.37348753999999</v>
      </c>
      <c r="HD59" s="96">
        <v>326.77358941</v>
      </c>
      <c r="HE59" s="96">
        <v>334.68245585999995</v>
      </c>
      <c r="HF59" s="96">
        <v>336.07625160999999</v>
      </c>
      <c r="HG59" s="96">
        <v>396.81330215000003</v>
      </c>
      <c r="HH59" s="94">
        <f t="shared" si="6"/>
        <v>3872.4536160400003</v>
      </c>
      <c r="HI59" s="96">
        <v>279.12545592999999</v>
      </c>
      <c r="HJ59" s="96">
        <v>342.08152014000001</v>
      </c>
      <c r="HK59" s="96">
        <v>349.55276898</v>
      </c>
      <c r="HL59" s="96">
        <v>393.17787674000004</v>
      </c>
      <c r="HM59" s="96"/>
      <c r="HN59" s="96"/>
      <c r="HO59" s="96"/>
      <c r="HP59" s="96"/>
      <c r="HQ59" s="96"/>
      <c r="HR59" s="96"/>
      <c r="HS59" s="96"/>
      <c r="HT59" s="96"/>
      <c r="HU59" s="276">
        <f t="shared" si="16"/>
        <v>1298.546695</v>
      </c>
      <c r="HV59" s="276">
        <f t="shared" si="17"/>
        <v>1363.9376219999999</v>
      </c>
      <c r="HW59" s="281">
        <f t="shared" si="18"/>
        <v>65.39092699999992</v>
      </c>
      <c r="HX59" s="281">
        <f t="shared" si="19"/>
        <v>5.0357008532527061</v>
      </c>
    </row>
    <row r="60" spans="1:232" s="12" customFormat="1" ht="20.5">
      <c r="A60" s="314" t="s">
        <v>154</v>
      </c>
      <c r="B60" s="13"/>
      <c r="C60" s="47" t="s">
        <v>155</v>
      </c>
      <c r="D60" s="42">
        <v>454.75603155360534</v>
      </c>
      <c r="E60" s="42">
        <v>612.4456164165257</v>
      </c>
      <c r="F60" s="42">
        <v>803.15833575221563</v>
      </c>
      <c r="G60" s="42">
        <v>700.14089720594552</v>
      </c>
      <c r="H60" s="42">
        <v>49.721086946004853</v>
      </c>
      <c r="I60" s="42">
        <v>52.067966346235941</v>
      </c>
      <c r="J60" s="42">
        <v>53.902371073585229</v>
      </c>
      <c r="K60" s="42">
        <v>50.936070611436463</v>
      </c>
      <c r="L60" s="42">
        <v>48.76632413873569</v>
      </c>
      <c r="M60" s="42">
        <v>46.485189014291322</v>
      </c>
      <c r="N60" s="42">
        <v>44.413671834537077</v>
      </c>
      <c r="O60" s="42">
        <v>42.37858065691146</v>
      </c>
      <c r="P60" s="42">
        <v>43.490390307966372</v>
      </c>
      <c r="Q60" s="42">
        <v>44.061361844838686</v>
      </c>
      <c r="R60" s="42">
        <v>47.989744935999227</v>
      </c>
      <c r="S60" s="42">
        <v>49.622637008326642</v>
      </c>
      <c r="T60" s="42">
        <v>573.83539471886888</v>
      </c>
      <c r="U60" s="42">
        <v>573.03183533389108</v>
      </c>
      <c r="V60" s="42">
        <v>45.617634020295839</v>
      </c>
      <c r="W60" s="42">
        <v>45.684964157863533</v>
      </c>
      <c r="X60" s="42">
        <v>49.281596305650019</v>
      </c>
      <c r="Y60" s="42">
        <v>46.694794067762842</v>
      </c>
      <c r="Z60" s="42">
        <v>44.738554532985013</v>
      </c>
      <c r="AA60" s="42">
        <v>41.970368153852291</v>
      </c>
      <c r="AB60" s="42">
        <v>40.745467100357999</v>
      </c>
      <c r="AC60" s="42">
        <v>40.425670386053596</v>
      </c>
      <c r="AD60" s="42">
        <v>39.250829306606128</v>
      </c>
      <c r="AE60" s="42">
        <v>44.45157951576828</v>
      </c>
      <c r="AF60" s="42">
        <v>43.994576041115309</v>
      </c>
      <c r="AG60" s="42">
        <v>45.548769087825342</v>
      </c>
      <c r="AH60" s="42">
        <v>528.40480113943579</v>
      </c>
      <c r="AI60" s="44">
        <f>AI58-AI59</f>
        <v>527.66109754639979</v>
      </c>
      <c r="AJ60" s="42">
        <v>46.989460788498633</v>
      </c>
      <c r="AK60" s="42">
        <v>49.291304972652405</v>
      </c>
      <c r="AL60" s="42">
        <v>53.238618476844209</v>
      </c>
      <c r="AM60" s="42">
        <v>52.985006929385719</v>
      </c>
      <c r="AN60" s="42">
        <v>48.519649077125337</v>
      </c>
      <c r="AO60" s="42">
        <v>45.111343194009493</v>
      </c>
      <c r="AP60" s="42">
        <v>47.754561284391499</v>
      </c>
      <c r="AQ60" s="42">
        <v>45.195350713271168</v>
      </c>
      <c r="AR60" s="42">
        <v>44.846452904368711</v>
      </c>
      <c r="AS60" s="42">
        <v>49.882706522333628</v>
      </c>
      <c r="AT60" s="42">
        <v>48.867072014388086</v>
      </c>
      <c r="AU60" s="42">
        <v>51.808478195912372</v>
      </c>
      <c r="AV60" s="42">
        <v>584.49000378483902</v>
      </c>
      <c r="AW60" s="42">
        <v>583.77262508466094</v>
      </c>
      <c r="AX60" s="42">
        <v>51.183436</v>
      </c>
      <c r="AY60" s="42">
        <v>54.487564999999996</v>
      </c>
      <c r="AZ60" s="42">
        <v>51.308109470000005</v>
      </c>
      <c r="BA60" s="42">
        <v>56.438173639999995</v>
      </c>
      <c r="BB60" s="42">
        <v>51.081750419999999</v>
      </c>
      <c r="BC60" s="42">
        <v>49.726143530000002</v>
      </c>
      <c r="BD60" s="42">
        <v>52.071987540000002</v>
      </c>
      <c r="BE60" s="42">
        <v>47.716002240000002</v>
      </c>
      <c r="BF60" s="42">
        <v>53.719695619999996</v>
      </c>
      <c r="BG60" s="42">
        <v>52.628611289999995</v>
      </c>
      <c r="BH60" s="42">
        <v>51.343183809999992</v>
      </c>
      <c r="BI60" s="42">
        <v>59.588608930000014</v>
      </c>
      <c r="BJ60" s="45">
        <f t="shared" si="34"/>
        <v>631.29326749000006</v>
      </c>
      <c r="BK60" s="42">
        <v>630.30716800000005</v>
      </c>
      <c r="BL60" s="42">
        <v>57.544857350000001</v>
      </c>
      <c r="BM60" s="42">
        <v>63.314721559999995</v>
      </c>
      <c r="BN60" s="42">
        <v>67.422327120000006</v>
      </c>
      <c r="BO60" s="42">
        <v>64.162680619999989</v>
      </c>
      <c r="BP60" s="42">
        <v>58.318392629999991</v>
      </c>
      <c r="BQ60" s="42">
        <v>64.794939960000008</v>
      </c>
      <c r="BR60" s="42">
        <v>60.911080220000002</v>
      </c>
      <c r="BS60" s="42">
        <v>58.554835270000005</v>
      </c>
      <c r="BT60" s="42">
        <v>65.051521710000003</v>
      </c>
      <c r="BU60" s="42">
        <v>62.363419680000007</v>
      </c>
      <c r="BV60" s="42">
        <v>62.75320928999998</v>
      </c>
      <c r="BW60" s="42">
        <v>70.106652330000003</v>
      </c>
      <c r="BX60" s="45">
        <f t="shared" si="4"/>
        <v>755.29863774</v>
      </c>
      <c r="BY60" s="45">
        <v>754.44487200000003</v>
      </c>
      <c r="BZ60" s="45">
        <v>64.264186719999984</v>
      </c>
      <c r="CA60" s="45">
        <v>71.375485110000014</v>
      </c>
      <c r="CB60" s="45">
        <v>75.466050379999999</v>
      </c>
      <c r="CC60" s="45">
        <v>73.65013497999999</v>
      </c>
      <c r="CD60" s="45">
        <v>71.187760099999991</v>
      </c>
      <c r="CE60" s="139">
        <v>67.080574929999997</v>
      </c>
      <c r="CF60" s="45">
        <v>62.73578989</v>
      </c>
      <c r="CG60" s="45">
        <v>71.377064390000015</v>
      </c>
      <c r="CH60" s="45">
        <v>69.050606659999971</v>
      </c>
      <c r="CI60" s="45">
        <v>65.762941140000009</v>
      </c>
      <c r="CJ60" s="45">
        <v>74.934048140000016</v>
      </c>
      <c r="CK60" s="45">
        <v>72.376237159999988</v>
      </c>
      <c r="CL60" s="45">
        <f t="shared" si="5"/>
        <v>839.26087959999984</v>
      </c>
      <c r="CM60" s="45">
        <f>CM58-CM59</f>
        <v>838.08091299999978</v>
      </c>
      <c r="CN60" s="45">
        <v>75.917731379999978</v>
      </c>
      <c r="CO60" s="45">
        <v>74.960400590000006</v>
      </c>
      <c r="CP60" s="45">
        <v>78.296761450000005</v>
      </c>
      <c r="CQ60" s="45">
        <v>75.835786859999999</v>
      </c>
      <c r="CR60" s="45">
        <v>73.114821309999982</v>
      </c>
      <c r="CS60" s="45">
        <v>72.181142349999988</v>
      </c>
      <c r="CT60" s="45">
        <v>66.858961220000012</v>
      </c>
      <c r="CU60" s="45">
        <v>74.107334290000011</v>
      </c>
      <c r="CV60" s="45">
        <v>70.984239939999995</v>
      </c>
      <c r="CW60" s="45">
        <v>74.802080789999991</v>
      </c>
      <c r="CX60" s="45">
        <v>73.893902069999996</v>
      </c>
      <c r="CY60" s="45">
        <v>74.191178300000018</v>
      </c>
      <c r="CZ60" s="45">
        <f t="shared" si="9"/>
        <v>885.14434054999992</v>
      </c>
      <c r="DA60" s="45">
        <f>DA58-DA59</f>
        <v>884.17013400000019</v>
      </c>
      <c r="DB60" s="45">
        <v>77.259840200000014</v>
      </c>
      <c r="DC60" s="45">
        <v>77.821796619999986</v>
      </c>
      <c r="DD60" s="45">
        <v>80.67776366999999</v>
      </c>
      <c r="DE60" s="45">
        <v>87.967721239999975</v>
      </c>
      <c r="DF60" s="45">
        <v>82.492962809999995</v>
      </c>
      <c r="DG60" s="45">
        <v>78.073377720000011</v>
      </c>
      <c r="DH60" s="45">
        <v>77.791662489999979</v>
      </c>
      <c r="DI60" s="45">
        <v>78.391068850000025</v>
      </c>
      <c r="DJ60" s="45">
        <v>74.827190859999988</v>
      </c>
      <c r="DK60" s="45">
        <v>83.313753150000011</v>
      </c>
      <c r="DL60" s="45">
        <v>83.592846800000004</v>
      </c>
      <c r="DM60" s="45">
        <v>81.385344769999989</v>
      </c>
      <c r="DN60" s="45">
        <f t="shared" si="20"/>
        <v>963.59532917999991</v>
      </c>
      <c r="DO60" s="45">
        <f>DO58-DO59</f>
        <v>962.70630600000004</v>
      </c>
      <c r="DP60" s="42">
        <v>88.217439240000004</v>
      </c>
      <c r="DQ60" s="42">
        <v>87.437060230000014</v>
      </c>
      <c r="DR60" s="42">
        <v>86.858788400000009</v>
      </c>
      <c r="DS60" s="42">
        <v>91.119261820000006</v>
      </c>
      <c r="DT60" s="42">
        <v>85.438668840000005</v>
      </c>
      <c r="DU60" s="42">
        <v>80.475418200000007</v>
      </c>
      <c r="DV60" s="42">
        <v>86.356665889999988</v>
      </c>
      <c r="DW60" s="42">
        <v>81.357968670000005</v>
      </c>
      <c r="DX60" s="42">
        <v>85.349818429999971</v>
      </c>
      <c r="DY60" s="42">
        <v>90.789543190000018</v>
      </c>
      <c r="DZ60" s="42">
        <v>88.290949760000032</v>
      </c>
      <c r="EA60" s="42">
        <v>94.542500520000004</v>
      </c>
      <c r="EB60" s="42">
        <f t="shared" si="31"/>
        <v>1046.2340831899999</v>
      </c>
      <c r="EC60" s="45">
        <f>EC58-EC59</f>
        <v>1045.0640210000001</v>
      </c>
      <c r="ED60" s="42">
        <v>98.087728419999991</v>
      </c>
      <c r="EE60" s="42">
        <v>92.994367189999963</v>
      </c>
      <c r="EF60" s="42">
        <v>99.121049389999996</v>
      </c>
      <c r="EG60" s="42">
        <v>109.75657799</v>
      </c>
      <c r="EH60" s="50">
        <v>123.15921019000001</v>
      </c>
      <c r="EI60" s="42">
        <v>121.64562288999997</v>
      </c>
      <c r="EJ60" s="42">
        <v>106.78572860999998</v>
      </c>
      <c r="EK60" s="42">
        <v>91.765597190000008</v>
      </c>
      <c r="EL60" s="42">
        <v>98.884999210000004</v>
      </c>
      <c r="EM60" s="42">
        <v>95.474492659999981</v>
      </c>
      <c r="EN60" s="42">
        <v>97.093701730000006</v>
      </c>
      <c r="EO60" s="42">
        <v>114.33362405999999</v>
      </c>
      <c r="EP60" s="50">
        <f t="shared" si="11"/>
        <v>1249.1026995299997</v>
      </c>
      <c r="EQ60" s="45">
        <f>EQ58-EQ59</f>
        <v>1076.9119779999996</v>
      </c>
      <c r="ER60" s="42">
        <v>142.087737</v>
      </c>
      <c r="ES60" s="42">
        <v>169.13839972000002</v>
      </c>
      <c r="ET60" s="42">
        <v>451.05735453000011</v>
      </c>
      <c r="EU60" s="42">
        <v>336.72169128999985</v>
      </c>
      <c r="EV60" s="42">
        <v>189.46308864000031</v>
      </c>
      <c r="EW60" s="42">
        <v>233.80741605000003</v>
      </c>
      <c r="EX60" s="42">
        <v>170.80417955000019</v>
      </c>
      <c r="EY60" s="42">
        <v>110.89510675999995</v>
      </c>
      <c r="EZ60" s="42">
        <v>97.224127349999961</v>
      </c>
      <c r="FA60" s="42">
        <v>98.892572800000238</v>
      </c>
      <c r="FB60" s="42">
        <v>114.46719442</v>
      </c>
      <c r="FC60" s="42">
        <v>-361.15131903999668</v>
      </c>
      <c r="FD60" s="50">
        <f t="shared" si="12"/>
        <v>1753.4075490700036</v>
      </c>
      <c r="FE60" s="45">
        <f>FE58-FE59</f>
        <v>1751.4420142600002</v>
      </c>
      <c r="FF60" s="45">
        <v>183.83455328999997</v>
      </c>
      <c r="FG60" s="45">
        <v>172.28440523999998</v>
      </c>
      <c r="FH60" s="45">
        <v>190.83968360000006</v>
      </c>
      <c r="FI60" s="45">
        <v>180.32374251000002</v>
      </c>
      <c r="FJ60" s="45">
        <v>142.72230563000005</v>
      </c>
      <c r="FK60" s="45">
        <v>63.296935060000017</v>
      </c>
      <c r="FL60" s="45">
        <v>108.61968522000002</v>
      </c>
      <c r="FM60" s="45">
        <v>115.31513062999994</v>
      </c>
      <c r="FN60" s="45">
        <v>119.88223610999999</v>
      </c>
      <c r="FO60" s="45">
        <v>124.65668668000005</v>
      </c>
      <c r="FP60" s="45">
        <v>143.06874629999999</v>
      </c>
      <c r="FQ60" s="45">
        <v>135.4480618499999</v>
      </c>
      <c r="FR60" s="50">
        <f t="shared" si="13"/>
        <v>1680.2921721199998</v>
      </c>
      <c r="FS60" s="45">
        <f>FS58-FS59</f>
        <v>1678.4160601299996</v>
      </c>
      <c r="FT60" s="45">
        <v>135.60614895999998</v>
      </c>
      <c r="FU60" s="45">
        <v>133.35641114000001</v>
      </c>
      <c r="FV60" s="45">
        <v>135.9203876900001</v>
      </c>
      <c r="FW60" s="45">
        <v>130.88643033000002</v>
      </c>
      <c r="FX60" s="45">
        <v>125.29490831999999</v>
      </c>
      <c r="FY60" s="45">
        <v>123.96106750000001</v>
      </c>
      <c r="FZ60" s="45">
        <v>116.31186234999994</v>
      </c>
      <c r="GA60" s="45">
        <v>127.61598498999997</v>
      </c>
      <c r="GB60" s="45">
        <v>123.17374322000003</v>
      </c>
      <c r="GC60" s="45">
        <v>178.49785393000016</v>
      </c>
      <c r="GD60" s="45">
        <v>131.97311422000001</v>
      </c>
      <c r="GE60" s="45">
        <v>127.08239077</v>
      </c>
      <c r="GF60" s="50">
        <f t="shared" si="14"/>
        <v>1589.6803034200004</v>
      </c>
      <c r="GG60" s="45">
        <f>GG58-GG59</f>
        <v>1586.5946869199997</v>
      </c>
      <c r="GH60" s="45">
        <v>146.64897604999993</v>
      </c>
      <c r="GI60" s="45">
        <v>140.84221425999999</v>
      </c>
      <c r="GJ60" s="45">
        <v>139.74847564999999</v>
      </c>
      <c r="GK60" s="45">
        <v>167.29555767000002</v>
      </c>
      <c r="GL60" s="45">
        <v>138.53081382000002</v>
      </c>
      <c r="GM60" s="45">
        <v>130.71086992999994</v>
      </c>
      <c r="GN60" s="45">
        <v>153.12242424000002</v>
      </c>
      <c r="GO60" s="45">
        <v>130.16186048</v>
      </c>
      <c r="GP60" s="45">
        <v>131.64508180999997</v>
      </c>
      <c r="GQ60" s="45">
        <v>160.05467735000002</v>
      </c>
      <c r="GR60" s="45">
        <v>136.07948278000006</v>
      </c>
      <c r="GS60" s="45">
        <v>132.42961467999996</v>
      </c>
      <c r="GT60" s="50">
        <f t="shared" si="15"/>
        <v>1707.27004872</v>
      </c>
      <c r="GU60" s="45">
        <f>GU58-GU59</f>
        <v>1704.0406757000001</v>
      </c>
      <c r="GV60" s="45">
        <v>169.38057645000004</v>
      </c>
      <c r="GW60" s="45">
        <v>145.75775761</v>
      </c>
      <c r="GX60" s="45">
        <v>153.32026351999974</v>
      </c>
      <c r="GY60" s="45">
        <v>153.59140649000003</v>
      </c>
      <c r="GZ60" s="45">
        <v>142.70806090000002</v>
      </c>
      <c r="HA60" s="45">
        <v>136.82372823999998</v>
      </c>
      <c r="HB60" s="45">
        <v>143.56574494999995</v>
      </c>
      <c r="HC60" s="45">
        <v>134.26748332000003</v>
      </c>
      <c r="HD60" s="45">
        <v>145.77567415000013</v>
      </c>
      <c r="HE60" s="45">
        <v>146.89028967999994</v>
      </c>
      <c r="HF60" s="45">
        <v>141.94533659000004</v>
      </c>
      <c r="HG60" s="45">
        <v>145.08414178000001</v>
      </c>
      <c r="HH60" s="45">
        <f t="shared" si="6"/>
        <v>1759.1104636800003</v>
      </c>
      <c r="HI60" s="45">
        <v>156.99383026000007</v>
      </c>
      <c r="HJ60" s="45">
        <v>155.97831380000014</v>
      </c>
      <c r="HK60" s="45">
        <v>167.71551474999995</v>
      </c>
      <c r="HL60" s="45">
        <v>173.05265390000002</v>
      </c>
      <c r="HM60" s="45"/>
      <c r="HN60" s="45"/>
      <c r="HO60" s="45"/>
      <c r="HP60" s="45"/>
      <c r="HQ60" s="45"/>
      <c r="HR60" s="45"/>
      <c r="HS60" s="45"/>
      <c r="HT60" s="45"/>
      <c r="HU60" s="276">
        <f t="shared" si="16"/>
        <v>622.05000399999994</v>
      </c>
      <c r="HV60" s="276">
        <f t="shared" si="17"/>
        <v>653.74031300000001</v>
      </c>
      <c r="HW60" s="280">
        <f t="shared" si="18"/>
        <v>31.69030900000007</v>
      </c>
      <c r="HX60" s="280">
        <f t="shared" si="19"/>
        <v>5.0944954258050501</v>
      </c>
    </row>
    <row r="61" spans="1:232" s="12" customFormat="1" ht="20.5">
      <c r="A61" s="314" t="s">
        <v>156</v>
      </c>
      <c r="B61" s="13">
        <v>7700</v>
      </c>
      <c r="C61" s="46" t="s">
        <v>157</v>
      </c>
      <c r="D61" s="42">
        <v>16.317634788646622</v>
      </c>
      <c r="E61" s="42">
        <v>17.041523668049699</v>
      </c>
      <c r="F61" s="42">
        <v>18.653365660980871</v>
      </c>
      <c r="G61" s="42">
        <v>20.706351984337029</v>
      </c>
      <c r="H61" s="42">
        <v>2.8553979914741521</v>
      </c>
      <c r="I61" s="42">
        <v>2.4386686899903816</v>
      </c>
      <c r="J61" s="42">
        <v>2.3287772551095332</v>
      </c>
      <c r="K61" s="42">
        <v>1.6016123983358088</v>
      </c>
      <c r="L61" s="42">
        <v>1.1678049356577367</v>
      </c>
      <c r="M61" s="42">
        <v>0.78695657679808373</v>
      </c>
      <c r="N61" s="42">
        <v>2.9911152611538916</v>
      </c>
      <c r="O61" s="42">
        <v>0.98292980688783793</v>
      </c>
      <c r="P61" s="42">
        <v>3.0862132258780544</v>
      </c>
      <c r="Q61" s="42">
        <v>0.450606726768772</v>
      </c>
      <c r="R61" s="42">
        <v>1.5783376304062013</v>
      </c>
      <c r="S61" s="42">
        <v>5.7508972487350674</v>
      </c>
      <c r="T61" s="42">
        <v>26.019317747195519</v>
      </c>
      <c r="U61" s="42">
        <v>26.02391989800855</v>
      </c>
      <c r="V61" s="42">
        <v>4.2610841714048293</v>
      </c>
      <c r="W61" s="42">
        <v>3.4780365507310713</v>
      </c>
      <c r="X61" s="42">
        <v>2.6288282366065072</v>
      </c>
      <c r="Y61" s="42">
        <v>1.8221212172952914</v>
      </c>
      <c r="Z61" s="42">
        <v>0.78981899647696951</v>
      </c>
      <c r="AA61" s="42">
        <v>1.9714458085042204</v>
      </c>
      <c r="AB61" s="42">
        <v>1.5751788549865964</v>
      </c>
      <c r="AC61" s="42">
        <v>3.6623667480549345</v>
      </c>
      <c r="AD61" s="42">
        <v>4.7740266133943461</v>
      </c>
      <c r="AE61" s="42">
        <v>1.3743709626012373</v>
      </c>
      <c r="AF61" s="42">
        <v>8.2666476001844043</v>
      </c>
      <c r="AG61" s="42">
        <v>4.4226398825277036</v>
      </c>
      <c r="AH61" s="42">
        <v>39.026565642768112</v>
      </c>
      <c r="AI61" s="42">
        <v>39.024776466838553</v>
      </c>
      <c r="AJ61" s="42">
        <v>4.3314522967996769</v>
      </c>
      <c r="AK61" s="42">
        <v>1.7466647884758766</v>
      </c>
      <c r="AL61" s="42">
        <v>1.511769995617555</v>
      </c>
      <c r="AM61" s="42">
        <v>1.8567368853905217</v>
      </c>
      <c r="AN61" s="42">
        <v>3.8516657844861442</v>
      </c>
      <c r="AO61" s="42">
        <v>2.8974365968321178</v>
      </c>
      <c r="AP61" s="42">
        <v>4.6564248353737314</v>
      </c>
      <c r="AQ61" s="42">
        <v>2.1466604487168541</v>
      </c>
      <c r="AR61" s="42">
        <v>7.304060591573184</v>
      </c>
      <c r="AS61" s="42">
        <v>1.3055631442052122</v>
      </c>
      <c r="AT61" s="42">
        <v>7.1697372240340123</v>
      </c>
      <c r="AU61" s="42">
        <v>7.3210169549404958</v>
      </c>
      <c r="AV61" s="42">
        <v>46.099189546445388</v>
      </c>
      <c r="AW61" s="42">
        <v>46.099135747662224</v>
      </c>
      <c r="AX61" s="42">
        <v>4.4946970000000004</v>
      </c>
      <c r="AY61" s="42">
        <v>1.3096085799999999</v>
      </c>
      <c r="AZ61" s="42">
        <v>2.3337306099999999</v>
      </c>
      <c r="BA61" s="42">
        <v>1.7665501199999998</v>
      </c>
      <c r="BB61" s="42">
        <v>3.2359411800000002</v>
      </c>
      <c r="BC61" s="42">
        <v>7.5100725800000001</v>
      </c>
      <c r="BD61" s="42">
        <v>2.04306543</v>
      </c>
      <c r="BE61" s="42">
        <v>1.5550736999999999</v>
      </c>
      <c r="BF61" s="42">
        <v>1.46688606</v>
      </c>
      <c r="BG61" s="42">
        <v>2.6763636000000002</v>
      </c>
      <c r="BH61" s="42">
        <v>5.6924942399999994</v>
      </c>
      <c r="BI61" s="42">
        <v>6.9961579799999996</v>
      </c>
      <c r="BJ61" s="45">
        <f t="shared" si="34"/>
        <v>41.080641079999999</v>
      </c>
      <c r="BK61" s="42">
        <v>41.082194999999999</v>
      </c>
      <c r="BL61" s="42">
        <v>4.6960143800000012</v>
      </c>
      <c r="BM61" s="42">
        <v>1.3127775400000001</v>
      </c>
      <c r="BN61" s="42">
        <v>3.8389819699999999</v>
      </c>
      <c r="BO61" s="42">
        <v>1.3703588999999998</v>
      </c>
      <c r="BP61" s="42">
        <v>1.8895433700000002</v>
      </c>
      <c r="BQ61" s="42">
        <v>4.5367775299999993</v>
      </c>
      <c r="BR61" s="42">
        <v>2.5872912599999998</v>
      </c>
      <c r="BS61" s="42">
        <v>1.4637340599999999</v>
      </c>
      <c r="BT61" s="42">
        <v>3.9451637500000003</v>
      </c>
      <c r="BU61" s="42">
        <v>2.7854676299999999</v>
      </c>
      <c r="BV61" s="42">
        <v>2.5338884199999998</v>
      </c>
      <c r="BW61" s="42">
        <v>7.8446728000000006</v>
      </c>
      <c r="BX61" s="45">
        <f t="shared" si="4"/>
        <v>38.80467161</v>
      </c>
      <c r="BY61" s="45">
        <v>38.831828999999999</v>
      </c>
      <c r="BZ61" s="45">
        <v>5.7367555000000001</v>
      </c>
      <c r="CA61" s="45">
        <v>1.8591200299999999</v>
      </c>
      <c r="CB61" s="45">
        <v>1.9106806799999998</v>
      </c>
      <c r="CC61" s="45">
        <v>1.4134248200000001</v>
      </c>
      <c r="CD61" s="45">
        <v>0.62709344999999994</v>
      </c>
      <c r="CE61" s="139">
        <v>1.0795043499999999</v>
      </c>
      <c r="CF61" s="45">
        <v>5.1136333299999999</v>
      </c>
      <c r="CG61" s="45">
        <v>1.9549424600000003</v>
      </c>
      <c r="CH61" s="45">
        <v>2.10922995</v>
      </c>
      <c r="CI61" s="45">
        <v>2.65018704</v>
      </c>
      <c r="CJ61" s="45">
        <v>1.5064667800000002</v>
      </c>
      <c r="CK61" s="45">
        <v>7.0402758100000016</v>
      </c>
      <c r="CL61" s="45">
        <f t="shared" si="5"/>
        <v>33.001314200000003</v>
      </c>
      <c r="CM61" s="45">
        <v>33.070656</v>
      </c>
      <c r="CN61" s="45">
        <v>5.7032807500000002</v>
      </c>
      <c r="CO61" s="45">
        <v>2.65910621</v>
      </c>
      <c r="CP61" s="45">
        <v>3.6357540199999998</v>
      </c>
      <c r="CQ61" s="45">
        <v>1.82077175</v>
      </c>
      <c r="CR61" s="45">
        <v>1.8808156499999997</v>
      </c>
      <c r="CS61" s="45">
        <v>2.86559103</v>
      </c>
      <c r="CT61" s="45">
        <v>2.5911156399999999</v>
      </c>
      <c r="CU61" s="45">
        <v>1.24341564</v>
      </c>
      <c r="CV61" s="45">
        <v>1.9808872899999999</v>
      </c>
      <c r="CW61" s="45">
        <v>0.64621384999999987</v>
      </c>
      <c r="CX61" s="45">
        <v>3.5990067300000002</v>
      </c>
      <c r="CY61" s="45">
        <v>3.6467249800000001</v>
      </c>
      <c r="CZ61" s="45">
        <f t="shared" si="9"/>
        <v>32.272683539999996</v>
      </c>
      <c r="DA61" s="45">
        <v>32.311371999999999</v>
      </c>
      <c r="DB61" s="45">
        <v>6.673568630000001</v>
      </c>
      <c r="DC61" s="45">
        <v>3.0478765600000002</v>
      </c>
      <c r="DD61" s="45">
        <v>5.0033561000000004</v>
      </c>
      <c r="DE61" s="45">
        <v>2.3815456200000003</v>
      </c>
      <c r="DF61" s="45">
        <v>1.7917366000000001</v>
      </c>
      <c r="DG61" s="45">
        <v>1.2868312299999998</v>
      </c>
      <c r="DH61" s="45">
        <v>5.2784178099999997</v>
      </c>
      <c r="DI61" s="45">
        <v>2.6494824300000004</v>
      </c>
      <c r="DJ61" s="45">
        <v>1.9356954799999999</v>
      </c>
      <c r="DK61" s="45">
        <v>2.1200748700000003</v>
      </c>
      <c r="DL61" s="45">
        <v>4.1277854600000001</v>
      </c>
      <c r="DM61" s="45">
        <v>12.25049656</v>
      </c>
      <c r="DN61" s="45">
        <f t="shared" si="20"/>
        <v>48.546867350000007</v>
      </c>
      <c r="DO61" s="45">
        <v>48.546864999999997</v>
      </c>
      <c r="DP61" s="42">
        <v>10.470999039999999</v>
      </c>
      <c r="DQ61" s="42">
        <v>4.3895403399999999</v>
      </c>
      <c r="DR61" s="42">
        <v>2.4092612199999999</v>
      </c>
      <c r="DS61" s="42">
        <v>2.5039282900000002</v>
      </c>
      <c r="DT61" s="42">
        <v>1.9828283400000002</v>
      </c>
      <c r="DU61" s="42">
        <v>1.00095369</v>
      </c>
      <c r="DV61" s="42">
        <v>7.8060541000000008</v>
      </c>
      <c r="DW61" s="42">
        <v>3.7562654900000001</v>
      </c>
      <c r="DX61" s="42">
        <v>9.815678999999998E-2</v>
      </c>
      <c r="DY61" s="42">
        <v>2.9182857900000001</v>
      </c>
      <c r="DZ61" s="42">
        <v>5.4139404200000003</v>
      </c>
      <c r="EA61" s="42">
        <v>13.080144070000003</v>
      </c>
      <c r="EB61" s="42">
        <f t="shared" si="31"/>
        <v>55.830357580000005</v>
      </c>
      <c r="EC61" s="45">
        <v>55.852564000000001</v>
      </c>
      <c r="ED61" s="42">
        <v>7.7777031499999998</v>
      </c>
      <c r="EE61" s="42">
        <v>1.9268103699999997</v>
      </c>
      <c r="EF61" s="42">
        <v>2.5393470699999998</v>
      </c>
      <c r="EG61" s="42">
        <v>1.9285883899999998</v>
      </c>
      <c r="EH61" s="50">
        <v>2.1252347499999997</v>
      </c>
      <c r="EI61" s="42">
        <v>2.0584941200000002</v>
      </c>
      <c r="EJ61" s="42">
        <v>7.2886993899999988</v>
      </c>
      <c r="EK61" s="42">
        <v>1.6507505499999997</v>
      </c>
      <c r="EL61" s="42">
        <v>2.1120420099999997</v>
      </c>
      <c r="EM61" s="42">
        <v>7.6331957599999996</v>
      </c>
      <c r="EN61" s="42">
        <v>4.9964614999999988</v>
      </c>
      <c r="EO61" s="42">
        <v>6.9723343600000014</v>
      </c>
      <c r="EP61" s="50">
        <f t="shared" si="11"/>
        <v>49.00966142</v>
      </c>
      <c r="EQ61" s="50">
        <v>49.029493000000002</v>
      </c>
      <c r="ER61" s="42">
        <v>9.2439090599999982</v>
      </c>
      <c r="ES61" s="42">
        <v>1.95613616</v>
      </c>
      <c r="ET61" s="42">
        <v>2.0481968699999999</v>
      </c>
      <c r="EU61" s="42">
        <v>5.8269847799999992</v>
      </c>
      <c r="EV61" s="42">
        <v>1.20880283</v>
      </c>
      <c r="EW61" s="42">
        <v>3.76478169</v>
      </c>
      <c r="EX61" s="42">
        <v>3.9089385800000001</v>
      </c>
      <c r="EY61" s="42">
        <v>3.2053197099999999</v>
      </c>
      <c r="EZ61" s="42">
        <v>5.687894</v>
      </c>
      <c r="FA61" s="42">
        <v>2.6487370000000001</v>
      </c>
      <c r="FB61" s="42">
        <v>4.6659560300000011</v>
      </c>
      <c r="FC61" s="42">
        <v>13.605902329999997</v>
      </c>
      <c r="FD61" s="50">
        <f t="shared" si="12"/>
        <v>57.77155904</v>
      </c>
      <c r="FE61" s="50">
        <v>57.780382000000003</v>
      </c>
      <c r="FF61" s="45">
        <v>8.8182925000000001</v>
      </c>
      <c r="FG61" s="45">
        <v>3.4647139900000004</v>
      </c>
      <c r="FH61" s="45">
        <v>9.4668394399999993</v>
      </c>
      <c r="FI61" s="45">
        <v>4.1315139200000015</v>
      </c>
      <c r="FJ61" s="45">
        <v>1.2642940300000001</v>
      </c>
      <c r="FK61" s="45">
        <v>3.8472209899999998</v>
      </c>
      <c r="FL61" s="45">
        <v>4.0084645600000002</v>
      </c>
      <c r="FM61" s="45">
        <v>5.8541865899999994</v>
      </c>
      <c r="FN61" s="45">
        <v>1.1491769699999999</v>
      </c>
      <c r="FO61" s="45">
        <v>3.3334406699999999</v>
      </c>
      <c r="FP61" s="45">
        <v>4.2434748699999991</v>
      </c>
      <c r="FQ61" s="45">
        <v>8.2295291199999969</v>
      </c>
      <c r="FR61" s="50">
        <f t="shared" si="13"/>
        <v>57.811147649999995</v>
      </c>
      <c r="FS61" s="50">
        <v>57.811185999999999</v>
      </c>
      <c r="FT61" s="45">
        <v>7.3837094400000005</v>
      </c>
      <c r="FU61" s="45">
        <v>2.5535217800000001</v>
      </c>
      <c r="FV61" s="45">
        <v>5.6574573200000016</v>
      </c>
      <c r="FW61" s="45">
        <v>5.256399459999999</v>
      </c>
      <c r="FX61" s="45">
        <v>2.3503845100000005</v>
      </c>
      <c r="FY61" s="45">
        <v>12.522422839999997</v>
      </c>
      <c r="FZ61" s="45">
        <v>7.69189978</v>
      </c>
      <c r="GA61" s="45">
        <v>4.4162390999999985</v>
      </c>
      <c r="GB61" s="45">
        <v>3.73777727</v>
      </c>
      <c r="GC61" s="45">
        <v>5.5817860899999987</v>
      </c>
      <c r="GD61" s="45">
        <v>21.217203649999998</v>
      </c>
      <c r="GE61" s="45">
        <v>28.20949272</v>
      </c>
      <c r="GF61" s="50">
        <f t="shared" si="14"/>
        <v>106.57829396000001</v>
      </c>
      <c r="GG61" s="50">
        <v>106.598744</v>
      </c>
      <c r="GH61" s="45">
        <v>12.390118690000001</v>
      </c>
      <c r="GI61" s="45">
        <v>4.6493045500000001</v>
      </c>
      <c r="GJ61" s="45">
        <v>7.0275239700000007</v>
      </c>
      <c r="GK61" s="45">
        <v>4.9929879199999991</v>
      </c>
      <c r="GL61" s="45">
        <v>4.2049368899999999</v>
      </c>
      <c r="GM61" s="45">
        <v>7.6356939399999986</v>
      </c>
      <c r="GN61" s="45">
        <v>20.871086999999999</v>
      </c>
      <c r="GO61" s="45">
        <v>2.5170230800000004</v>
      </c>
      <c r="GP61" s="45">
        <v>3.2654985899999995</v>
      </c>
      <c r="GQ61" s="45">
        <v>13.52904071</v>
      </c>
      <c r="GR61" s="45">
        <v>12.108106520000002</v>
      </c>
      <c r="GS61" s="45">
        <v>25.545289999999987</v>
      </c>
      <c r="GT61" s="50">
        <f t="shared" si="15"/>
        <v>118.73661185999998</v>
      </c>
      <c r="GU61" s="50">
        <v>118.738394</v>
      </c>
      <c r="GV61" s="45">
        <v>9.712200450000001</v>
      </c>
      <c r="GW61" s="45">
        <v>2.9059335999999996</v>
      </c>
      <c r="GX61" s="45">
        <v>6.3364419999999999</v>
      </c>
      <c r="GY61" s="45">
        <v>5.1053450000000007</v>
      </c>
      <c r="GZ61" s="45">
        <v>9.0902461299999988</v>
      </c>
      <c r="HA61" s="45">
        <v>2.6828691000000005</v>
      </c>
      <c r="HB61" s="45">
        <v>4.4350614999999998</v>
      </c>
      <c r="HC61" s="45">
        <v>11.368292410000002</v>
      </c>
      <c r="HD61" s="45">
        <v>12.46285724</v>
      </c>
      <c r="HE61" s="45">
        <v>16.08197698</v>
      </c>
      <c r="HF61" s="45">
        <v>8.2708257100000004</v>
      </c>
      <c r="HG61" s="45">
        <v>61.259098459999997</v>
      </c>
      <c r="HH61" s="50">
        <f t="shared" si="6"/>
        <v>149.71114857999999</v>
      </c>
      <c r="HI61" s="45">
        <v>12.820583220000003</v>
      </c>
      <c r="HJ61" s="45">
        <v>4.7147279199999996</v>
      </c>
      <c r="HK61" s="45">
        <v>20.463616440000006</v>
      </c>
      <c r="HL61" s="45">
        <v>8.4148145199999984</v>
      </c>
      <c r="HM61" s="45"/>
      <c r="HN61" s="45"/>
      <c r="HO61" s="45"/>
      <c r="HP61" s="45"/>
      <c r="HQ61" s="45"/>
      <c r="HR61" s="45"/>
      <c r="HS61" s="45"/>
      <c r="HT61" s="45"/>
      <c r="HU61" s="276">
        <f t="shared" si="16"/>
        <v>24.059920999999999</v>
      </c>
      <c r="HV61" s="276">
        <f t="shared" si="17"/>
        <v>46.413741999999999</v>
      </c>
      <c r="HW61" s="280">
        <f t="shared" si="18"/>
        <v>22.353821</v>
      </c>
      <c r="HX61" s="280">
        <f t="shared" si="19"/>
        <v>92.908954272958766</v>
      </c>
    </row>
    <row r="62" spans="1:232" s="12" customFormat="1" ht="20.5">
      <c r="A62" s="314" t="s">
        <v>158</v>
      </c>
      <c r="B62" s="13">
        <v>7600</v>
      </c>
      <c r="C62" s="46" t="s">
        <v>159</v>
      </c>
      <c r="D62" s="42">
        <v>197.93325735197865</v>
      </c>
      <c r="E62" s="42">
        <v>218.457659603531</v>
      </c>
      <c r="F62" s="42">
        <v>210.83014894622113</v>
      </c>
      <c r="G62" s="42">
        <v>172.60785226037416</v>
      </c>
      <c r="H62" s="42">
        <v>15.355727898532166</v>
      </c>
      <c r="I62" s="42">
        <v>37.450145758988278</v>
      </c>
      <c r="J62" s="42">
        <v>10.18009483440618</v>
      </c>
      <c r="K62" s="42">
        <v>8.3203798071724115</v>
      </c>
      <c r="L62" s="42">
        <v>11.983943418079578</v>
      </c>
      <c r="M62" s="42">
        <v>9.6647327135303769</v>
      </c>
      <c r="N62" s="42">
        <v>13.907997379070121</v>
      </c>
      <c r="O62" s="42">
        <v>10.646339519979966</v>
      </c>
      <c r="P62" s="42">
        <v>15.088919528061878</v>
      </c>
      <c r="Q62" s="42">
        <v>14.802682682511765</v>
      </c>
      <c r="R62" s="42">
        <v>22.066234682784959</v>
      </c>
      <c r="S62" s="42">
        <v>17.303421195667642</v>
      </c>
      <c r="T62" s="42">
        <v>186.77061941878534</v>
      </c>
      <c r="U62" s="42">
        <v>186.77062025827968</v>
      </c>
      <c r="V62" s="42">
        <v>15.121375234062414</v>
      </c>
      <c r="W62" s="42">
        <v>43.666034911582749</v>
      </c>
      <c r="X62" s="44">
        <v>16.022526906505938</v>
      </c>
      <c r="Y62" s="44">
        <v>16.280462362194868</v>
      </c>
      <c r="Z62" s="44">
        <v>14.669210761464079</v>
      </c>
      <c r="AA62" s="44">
        <v>8.7231902493440554</v>
      </c>
      <c r="AB62" s="44">
        <v>9.0387704110961238</v>
      </c>
      <c r="AC62" s="44">
        <v>14.143526502410346</v>
      </c>
      <c r="AD62" s="44">
        <v>15.650098747303657</v>
      </c>
      <c r="AE62" s="44">
        <v>13.273209216225291</v>
      </c>
      <c r="AF62" s="44">
        <v>10.628626188809397</v>
      </c>
      <c r="AG62" s="44">
        <v>43.576588920950933</v>
      </c>
      <c r="AH62" s="44">
        <v>220.79362041194986</v>
      </c>
      <c r="AI62" s="44">
        <v>220.7936209810986</v>
      </c>
      <c r="AJ62" s="42">
        <v>29.837213504760928</v>
      </c>
      <c r="AK62" s="42">
        <v>44.589605352274603</v>
      </c>
      <c r="AL62" s="44">
        <v>18.136367194836684</v>
      </c>
      <c r="AM62" s="44">
        <v>17.924134737423238</v>
      </c>
      <c r="AN62" s="44">
        <v>17.973253823256556</v>
      </c>
      <c r="AO62" s="44">
        <v>17.896895606740998</v>
      </c>
      <c r="AP62" s="44">
        <v>17.856578790103644</v>
      </c>
      <c r="AQ62" s="44">
        <v>17.777242844377664</v>
      </c>
      <c r="AR62" s="44">
        <v>17.918613155303614</v>
      </c>
      <c r="AS62" s="44">
        <v>11.525162065099233</v>
      </c>
      <c r="AT62" s="44">
        <v>10.304671003579946</v>
      </c>
      <c r="AU62" s="44">
        <v>47.543053255246136</v>
      </c>
      <c r="AV62" s="44">
        <v>269.28279133300322</v>
      </c>
      <c r="AW62" s="44">
        <v>269.282790080876</v>
      </c>
      <c r="AX62" s="42">
        <v>31.457446000000001</v>
      </c>
      <c r="AY62" s="42">
        <v>54.498999070000004</v>
      </c>
      <c r="AZ62" s="42">
        <v>20.91582365</v>
      </c>
      <c r="BA62" s="42">
        <v>20.939420940000002</v>
      </c>
      <c r="BB62" s="42">
        <v>21.143403579999998</v>
      </c>
      <c r="BC62" s="42">
        <v>19.159150440000001</v>
      </c>
      <c r="BD62" s="42">
        <v>15.552700310000001</v>
      </c>
      <c r="BE62" s="42">
        <v>13.173210559999999</v>
      </c>
      <c r="BF62" s="42">
        <v>9.8155298799999997</v>
      </c>
      <c r="BG62" s="42">
        <v>11.85181397</v>
      </c>
      <c r="BH62" s="42">
        <v>19.325406869999998</v>
      </c>
      <c r="BI62" s="42">
        <v>47.724524629999998</v>
      </c>
      <c r="BJ62" s="45">
        <f t="shared" si="34"/>
        <v>285.55742989999999</v>
      </c>
      <c r="BK62" s="42">
        <v>285.55743100000001</v>
      </c>
      <c r="BL62" s="42">
        <v>22.438066980000002</v>
      </c>
      <c r="BM62" s="42">
        <v>55.75181984999999</v>
      </c>
      <c r="BN62" s="42">
        <v>22.794104299999997</v>
      </c>
      <c r="BO62" s="42">
        <v>22.704341980000006</v>
      </c>
      <c r="BP62" s="42">
        <v>22.98824471</v>
      </c>
      <c r="BQ62" s="42">
        <v>16.42724458</v>
      </c>
      <c r="BR62" s="42">
        <v>10.23774976</v>
      </c>
      <c r="BS62" s="42">
        <v>16.580263850000001</v>
      </c>
      <c r="BT62" s="42">
        <v>9.9608090600000008</v>
      </c>
      <c r="BU62" s="42">
        <v>18.529523670000003</v>
      </c>
      <c r="BV62" s="42">
        <v>6.1270363799999998</v>
      </c>
      <c r="BW62" s="42">
        <v>21.749183070000001</v>
      </c>
      <c r="BX62" s="45">
        <f t="shared" si="4"/>
        <v>246.28838818999998</v>
      </c>
      <c r="BY62" s="45">
        <v>246.288387</v>
      </c>
      <c r="BZ62" s="45">
        <v>5.4521731400000002</v>
      </c>
      <c r="CA62" s="45">
        <v>46.238611699999993</v>
      </c>
      <c r="CB62" s="45">
        <v>20.890251920000001</v>
      </c>
      <c r="CC62" s="45">
        <v>12.224980829999998</v>
      </c>
      <c r="CD62" s="45">
        <v>18.080635280000003</v>
      </c>
      <c r="CE62" s="139">
        <v>11.606597200000001</v>
      </c>
      <c r="CF62" s="45">
        <v>19.28755048</v>
      </c>
      <c r="CG62" s="45">
        <v>19.810887090000001</v>
      </c>
      <c r="CH62" s="45">
        <v>21.638975720000005</v>
      </c>
      <c r="CI62" s="45">
        <v>21.611418439999998</v>
      </c>
      <c r="CJ62" s="45">
        <v>21.707204670000003</v>
      </c>
      <c r="CK62" s="45">
        <v>40.045416320000001</v>
      </c>
      <c r="CL62" s="45">
        <f t="shared" si="5"/>
        <v>258.59470278999999</v>
      </c>
      <c r="CM62" s="45">
        <v>258.59468500000003</v>
      </c>
      <c r="CN62" s="45">
        <v>5.7427615099999993</v>
      </c>
      <c r="CO62" s="45">
        <v>23.843085840000001</v>
      </c>
      <c r="CP62" s="45">
        <v>16.871223960000002</v>
      </c>
      <c r="CQ62" s="45">
        <v>20.733724420000001</v>
      </c>
      <c r="CR62" s="45">
        <v>22.336788049999996</v>
      </c>
      <c r="CS62" s="45">
        <v>19.041685480000002</v>
      </c>
      <c r="CT62" s="45">
        <v>20.771252570000001</v>
      </c>
      <c r="CU62" s="45">
        <v>13.51284776</v>
      </c>
      <c r="CV62" s="45">
        <v>20.611636109999999</v>
      </c>
      <c r="CW62" s="45">
        <v>20.360572540000003</v>
      </c>
      <c r="CX62" s="45">
        <v>20.590417930000001</v>
      </c>
      <c r="CY62" s="45">
        <v>21.001171840000001</v>
      </c>
      <c r="CZ62" s="45">
        <f t="shared" si="9"/>
        <v>225.41716801000001</v>
      </c>
      <c r="DA62" s="45">
        <v>225.41716600000001</v>
      </c>
      <c r="DB62" s="45">
        <v>3.3117478300000003</v>
      </c>
      <c r="DC62" s="45">
        <v>36.978075109999999</v>
      </c>
      <c r="DD62" s="45">
        <v>22.912808740000003</v>
      </c>
      <c r="DE62" s="45">
        <v>21.106801979999997</v>
      </c>
      <c r="DF62" s="45">
        <v>16.923801100000002</v>
      </c>
      <c r="DG62" s="45">
        <v>13.375346260000002</v>
      </c>
      <c r="DH62" s="45">
        <v>21.196015620000001</v>
      </c>
      <c r="DI62" s="45">
        <v>22.203527050000002</v>
      </c>
      <c r="DJ62" s="45">
        <v>22.535592810000001</v>
      </c>
      <c r="DK62" s="45">
        <v>23.908485089999999</v>
      </c>
      <c r="DL62" s="45">
        <v>23.202270400000003</v>
      </c>
      <c r="DM62" s="45">
        <v>30.90882925</v>
      </c>
      <c r="DN62" s="45">
        <f t="shared" si="20"/>
        <v>258.56330123999999</v>
      </c>
      <c r="DO62" s="45">
        <v>258.56330200000002</v>
      </c>
      <c r="DP62" s="42">
        <v>24.956088350000002</v>
      </c>
      <c r="DQ62" s="42">
        <v>59.878525079999996</v>
      </c>
      <c r="DR62" s="42">
        <v>24.79897476</v>
      </c>
      <c r="DS62" s="42">
        <v>17.83487573</v>
      </c>
      <c r="DT62" s="42">
        <v>16.146069900000001</v>
      </c>
      <c r="DU62" s="42">
        <v>21.434251360000001</v>
      </c>
      <c r="DV62" s="42">
        <v>24.202757460000001</v>
      </c>
      <c r="DW62" s="42">
        <v>24.3340493</v>
      </c>
      <c r="DX62" s="42">
        <v>26.05029154</v>
      </c>
      <c r="DY62" s="42">
        <v>25.497658659999999</v>
      </c>
      <c r="DZ62" s="42">
        <v>12.323131010000001</v>
      </c>
      <c r="EA62" s="42">
        <v>14.431545119999999</v>
      </c>
      <c r="EB62" s="42">
        <f t="shared" si="31"/>
        <v>291.88821826999998</v>
      </c>
      <c r="EC62" s="45">
        <v>291.88821899999999</v>
      </c>
      <c r="ED62" s="42">
        <v>48.433049400000002</v>
      </c>
      <c r="EE62" s="42">
        <v>29.964908259999998</v>
      </c>
      <c r="EF62" s="42">
        <v>17.156668259999996</v>
      </c>
      <c r="EG62" s="42">
        <v>25.905971090000001</v>
      </c>
      <c r="EH62" s="50">
        <v>37.998668359999996</v>
      </c>
      <c r="EI62" s="42">
        <v>19.607424689999998</v>
      </c>
      <c r="EJ62" s="42">
        <v>16.88417565</v>
      </c>
      <c r="EK62" s="42">
        <v>13.63102301</v>
      </c>
      <c r="EL62" s="42">
        <v>21.237409890000002</v>
      </c>
      <c r="EM62" s="42">
        <v>25.977500520000003</v>
      </c>
      <c r="EN62" s="42">
        <v>36.78361847</v>
      </c>
      <c r="EO62" s="42">
        <v>27.992020289999999</v>
      </c>
      <c r="EP62" s="50">
        <f t="shared" si="11"/>
        <v>321.57243789000006</v>
      </c>
      <c r="EQ62" s="50">
        <v>321.57228300000185</v>
      </c>
      <c r="ER62" s="42">
        <v>41.927839440000007</v>
      </c>
      <c r="ES62" s="42">
        <v>56.992398690000002</v>
      </c>
      <c r="ET62" s="42">
        <v>21.695020750000001</v>
      </c>
      <c r="EU62" s="42">
        <v>23.749111650000003</v>
      </c>
      <c r="EV62" s="42">
        <v>27.280129139999996</v>
      </c>
      <c r="EW62" s="42">
        <v>30.038816000000008</v>
      </c>
      <c r="EX62" s="42">
        <v>17.029966399999999</v>
      </c>
      <c r="EY62" s="42">
        <v>27.585524750000076</v>
      </c>
      <c r="EZ62" s="42">
        <v>30.128511170000003</v>
      </c>
      <c r="FA62" s="42">
        <v>33.468718000000003</v>
      </c>
      <c r="FB62" s="42">
        <v>41.653382610000008</v>
      </c>
      <c r="FC62" s="42">
        <v>46.872018059999995</v>
      </c>
      <c r="FD62" s="50">
        <f t="shared" si="12"/>
        <v>398.4214366600001</v>
      </c>
      <c r="FE62" s="50">
        <v>398.42143700000003</v>
      </c>
      <c r="FF62" s="45">
        <v>33.453234030000004</v>
      </c>
      <c r="FG62" s="45">
        <v>41.957182659999994</v>
      </c>
      <c r="FH62" s="45">
        <v>25.910527940000001</v>
      </c>
      <c r="FI62" s="45">
        <v>32.861477299999997</v>
      </c>
      <c r="FJ62" s="45">
        <v>33.893717500000001</v>
      </c>
      <c r="FK62" s="45">
        <v>33.005234989999998</v>
      </c>
      <c r="FL62" s="45">
        <v>34.479315040000003</v>
      </c>
      <c r="FM62" s="45">
        <v>34.069575919999998</v>
      </c>
      <c r="FN62" s="45">
        <v>32.037391520000007</v>
      </c>
      <c r="FO62" s="45">
        <v>26.119908169999999</v>
      </c>
      <c r="FP62" s="45">
        <v>31.475123</v>
      </c>
      <c r="FQ62" s="45">
        <v>32.657164999999999</v>
      </c>
      <c r="FR62" s="50">
        <f t="shared" si="13"/>
        <v>391.91985306999999</v>
      </c>
      <c r="FS62" s="50">
        <v>391.91985299999999</v>
      </c>
      <c r="FT62" s="45">
        <v>24.117835999999997</v>
      </c>
      <c r="FU62" s="45">
        <v>39.743732999999999</v>
      </c>
      <c r="FV62" s="45">
        <v>26.797046999999999</v>
      </c>
      <c r="FW62" s="45">
        <v>28.575953000000002</v>
      </c>
      <c r="FX62" s="45">
        <v>28.053387999999998</v>
      </c>
      <c r="FY62" s="45">
        <v>30.463971000000001</v>
      </c>
      <c r="FZ62" s="45">
        <v>31.077442000000005</v>
      </c>
      <c r="GA62" s="45">
        <v>27.236025999999999</v>
      </c>
      <c r="GB62" s="45">
        <v>30.735962999999991</v>
      </c>
      <c r="GC62" s="45">
        <v>30.981662</v>
      </c>
      <c r="GD62" s="45">
        <v>30.554483999999999</v>
      </c>
      <c r="GE62" s="45">
        <v>56.655026000000014</v>
      </c>
      <c r="GF62" s="50">
        <f t="shared" si="14"/>
        <v>384.9925310000001</v>
      </c>
      <c r="GG62" s="50">
        <v>384.99252000000001</v>
      </c>
      <c r="GH62" s="45">
        <v>21.046340999999998</v>
      </c>
      <c r="GI62" s="45">
        <v>31.847451999999997</v>
      </c>
      <c r="GJ62" s="45">
        <v>46.343046999999991</v>
      </c>
      <c r="GK62" s="45">
        <v>26.930332</v>
      </c>
      <c r="GL62" s="45">
        <v>27.682043999999998</v>
      </c>
      <c r="GM62" s="45">
        <v>35.24388900000001</v>
      </c>
      <c r="GN62" s="45">
        <v>30.654565999999999</v>
      </c>
      <c r="GO62" s="45">
        <v>31.12448800000001</v>
      </c>
      <c r="GP62" s="45">
        <v>30.276744000000001</v>
      </c>
      <c r="GQ62" s="45">
        <v>30.036814</v>
      </c>
      <c r="GR62" s="45">
        <v>30.187743000000001</v>
      </c>
      <c r="GS62" s="45">
        <v>19.507985999999999</v>
      </c>
      <c r="GT62" s="50">
        <f t="shared" si="15"/>
        <v>360.88144599999998</v>
      </c>
      <c r="GU62" s="50">
        <v>360.88144599999998</v>
      </c>
      <c r="GV62" s="45">
        <v>32.570366969999995</v>
      </c>
      <c r="GW62" s="45">
        <v>32.385190609999995</v>
      </c>
      <c r="GX62" s="45">
        <v>41.437353280000004</v>
      </c>
      <c r="GY62" s="45">
        <v>31.875073340000004</v>
      </c>
      <c r="GZ62" s="45">
        <v>32.032676709999997</v>
      </c>
      <c r="HA62" s="45">
        <v>30.944794030000001</v>
      </c>
      <c r="HB62" s="45">
        <v>32.00811345000001</v>
      </c>
      <c r="HC62" s="45">
        <v>30.699220390000008</v>
      </c>
      <c r="HD62" s="45">
        <v>32.539105450000008</v>
      </c>
      <c r="HE62" s="45">
        <v>30.753405269999998</v>
      </c>
      <c r="HF62" s="45">
        <v>21.869126260000005</v>
      </c>
      <c r="HG62" s="45">
        <v>31.071342030000004</v>
      </c>
      <c r="HH62" s="50">
        <f t="shared" si="6"/>
        <v>380.18576779</v>
      </c>
      <c r="HI62" s="45">
        <v>37.757250039999995</v>
      </c>
      <c r="HJ62" s="45">
        <v>50.408987310000001</v>
      </c>
      <c r="HK62" s="45">
        <v>4.86075137</v>
      </c>
      <c r="HL62" s="45">
        <v>3.9296907499999998</v>
      </c>
      <c r="HM62" s="45"/>
      <c r="HN62" s="45"/>
      <c r="HO62" s="45"/>
      <c r="HP62" s="45"/>
      <c r="HQ62" s="45"/>
      <c r="HR62" s="45"/>
      <c r="HS62" s="45"/>
      <c r="HT62" s="45"/>
      <c r="HU62" s="276">
        <f t="shared" si="16"/>
        <v>138.26798400000001</v>
      </c>
      <c r="HV62" s="276">
        <f t="shared" si="17"/>
        <v>96.956678999999994</v>
      </c>
      <c r="HW62" s="280">
        <f t="shared" si="18"/>
        <v>-41.311305000000019</v>
      </c>
      <c r="HX62" s="280">
        <f t="shared" si="19"/>
        <v>-29.877708349316805</v>
      </c>
    </row>
    <row r="63" spans="1:232" s="12" customFormat="1" ht="20.5">
      <c r="A63" s="42" t="s">
        <v>160</v>
      </c>
      <c r="B63" s="13" t="s">
        <v>91</v>
      </c>
      <c r="C63" s="42" t="s">
        <v>161</v>
      </c>
      <c r="D63" s="42">
        <v>1081.8725889437167</v>
      </c>
      <c r="E63" s="42">
        <v>1057.6413964633095</v>
      </c>
      <c r="F63" s="42">
        <v>618.95652984331321</v>
      </c>
      <c r="G63" s="42">
        <v>553.80672989908999</v>
      </c>
      <c r="H63" s="42">
        <v>61.033967991075748</v>
      </c>
      <c r="I63" s="42">
        <v>21.876374337653171</v>
      </c>
      <c r="J63" s="42">
        <v>28.554092364300715</v>
      </c>
      <c r="K63" s="42">
        <v>32.174468699665915</v>
      </c>
      <c r="L63" s="42">
        <v>54.007392473577269</v>
      </c>
      <c r="M63" s="42">
        <v>65.055908446736211</v>
      </c>
      <c r="N63" s="42">
        <v>64.837569180027444</v>
      </c>
      <c r="O63" s="42">
        <v>81.605379309167276</v>
      </c>
      <c r="P63" s="42">
        <v>103.42654851139152</v>
      </c>
      <c r="Q63" s="42">
        <v>87.106662284221485</v>
      </c>
      <c r="R63" s="42">
        <v>77.280503653934815</v>
      </c>
      <c r="S63" s="42">
        <v>156.94486290630104</v>
      </c>
      <c r="T63" s="42">
        <v>833.90373015805267</v>
      </c>
      <c r="U63" s="42">
        <v>834.01774036573511</v>
      </c>
      <c r="V63" s="42">
        <v>30.778269617133656</v>
      </c>
      <c r="W63" s="42">
        <v>23.560736250789695</v>
      </c>
      <c r="X63" s="42">
        <v>28.844093417222201</v>
      </c>
      <c r="Y63" s="42">
        <v>35.236447152159677</v>
      </c>
      <c r="Z63" s="42">
        <v>47.634854021423209</v>
      </c>
      <c r="AA63" s="42">
        <v>69.021047119822867</v>
      </c>
      <c r="AB63" s="42">
        <v>79.294309651054903</v>
      </c>
      <c r="AC63" s="42">
        <v>88.510314397757142</v>
      </c>
      <c r="AD63" s="42">
        <v>104.39933751088313</v>
      </c>
      <c r="AE63" s="42">
        <v>101.3359386116186</v>
      </c>
      <c r="AF63" s="42">
        <v>96.154371631350983</v>
      </c>
      <c r="AG63" s="42">
        <v>129.53984183356954</v>
      </c>
      <c r="AH63" s="42">
        <v>834.3095623530885</v>
      </c>
      <c r="AI63" s="42">
        <v>834.58190050142002</v>
      </c>
      <c r="AJ63" s="42">
        <v>41.589135804577097</v>
      </c>
      <c r="AK63" s="42">
        <v>33.636910674953469</v>
      </c>
      <c r="AL63" s="42">
        <v>36.757457484590304</v>
      </c>
      <c r="AM63" s="42">
        <v>35.667403600434824</v>
      </c>
      <c r="AN63" s="42">
        <v>44.825331443759573</v>
      </c>
      <c r="AO63" s="42">
        <v>75.76593321893445</v>
      </c>
      <c r="AP63" s="42">
        <v>88.199412638516591</v>
      </c>
      <c r="AQ63" s="42">
        <v>97.651627623064186</v>
      </c>
      <c r="AR63" s="42">
        <v>96.430884001798518</v>
      </c>
      <c r="AS63" s="42">
        <v>97.96204062583594</v>
      </c>
      <c r="AT63" s="42">
        <v>82.250453896107601</v>
      </c>
      <c r="AU63" s="42">
        <v>132.84383981878301</v>
      </c>
      <c r="AV63" s="42">
        <v>863.58043083135567</v>
      </c>
      <c r="AW63" s="42">
        <v>863.59640810240137</v>
      </c>
      <c r="AX63" s="42">
        <f>AX64+AX68</f>
        <v>43.465008999999995</v>
      </c>
      <c r="AY63" s="42">
        <f t="shared" ref="AY63:BG63" si="36">AY64+AY68</f>
        <v>29.607384360000001</v>
      </c>
      <c r="AZ63" s="42">
        <f t="shared" si="36"/>
        <v>34.744840000000003</v>
      </c>
      <c r="BA63" s="42">
        <f t="shared" si="36"/>
        <v>48.932805259999995</v>
      </c>
      <c r="BB63" s="42">
        <f t="shared" si="36"/>
        <v>47.442715</v>
      </c>
      <c r="BC63" s="42">
        <f t="shared" si="36"/>
        <v>69.077545999999998</v>
      </c>
      <c r="BD63" s="42">
        <f t="shared" si="36"/>
        <v>83.403925000000001</v>
      </c>
      <c r="BE63" s="42">
        <f t="shared" si="36"/>
        <v>91.518590689999996</v>
      </c>
      <c r="BF63" s="42">
        <f t="shared" si="36"/>
        <v>83.510107259999984</v>
      </c>
      <c r="BG63" s="42">
        <f t="shared" si="36"/>
        <v>99.29577371000002</v>
      </c>
      <c r="BH63" s="42">
        <f>BH64+BH68</f>
        <v>87.873866220000011</v>
      </c>
      <c r="BI63" s="42">
        <f>BI64+BI68</f>
        <v>158.44714445000002</v>
      </c>
      <c r="BJ63" s="45">
        <f t="shared" si="34"/>
        <v>877.31970695000007</v>
      </c>
      <c r="BK63" s="42">
        <f>BK64+BK68</f>
        <v>877.06557700000008</v>
      </c>
      <c r="BL63" s="42">
        <f>BL64+BL68</f>
        <v>47.977480330000013</v>
      </c>
      <c r="BM63" s="42">
        <v>39.10123815</v>
      </c>
      <c r="BN63" s="42">
        <v>40.802969009999991</v>
      </c>
      <c r="BO63" s="42">
        <v>42.235180150000005</v>
      </c>
      <c r="BP63" s="42">
        <v>66.20283735000001</v>
      </c>
      <c r="BQ63" s="42">
        <v>73.096392249999994</v>
      </c>
      <c r="BR63" s="42">
        <v>88.784906529999986</v>
      </c>
      <c r="BS63" s="42">
        <v>93.828224109999951</v>
      </c>
      <c r="BT63" s="42">
        <v>73.151567490000005</v>
      </c>
      <c r="BU63" s="42">
        <v>81.87505090999997</v>
      </c>
      <c r="BV63" s="42">
        <v>95.18628742999995</v>
      </c>
      <c r="BW63" s="42">
        <v>177.66620680000011</v>
      </c>
      <c r="BX63" s="45">
        <f t="shared" si="4"/>
        <v>919.90834051000002</v>
      </c>
      <c r="BY63" s="45">
        <f>BY64+BY68</f>
        <v>919.89129500000001</v>
      </c>
      <c r="BZ63" s="45">
        <v>28.427809060000012</v>
      </c>
      <c r="CA63" s="45">
        <v>23.211633309999996</v>
      </c>
      <c r="CB63" s="45">
        <v>21.914907500000002</v>
      </c>
      <c r="CC63" s="45">
        <v>24.169285149999993</v>
      </c>
      <c r="CD63" s="45">
        <v>37.945398279999999</v>
      </c>
      <c r="CE63" s="139">
        <v>45.423976029999999</v>
      </c>
      <c r="CF63" s="45">
        <v>59.485652499999972</v>
      </c>
      <c r="CG63" s="45">
        <v>77.521699389999981</v>
      </c>
      <c r="CH63" s="45">
        <v>69.063108530000036</v>
      </c>
      <c r="CI63" s="45">
        <v>91.155102330000005</v>
      </c>
      <c r="CJ63" s="45">
        <v>75.462638379999987</v>
      </c>
      <c r="CK63" s="45">
        <v>109.75566872</v>
      </c>
      <c r="CL63" s="45">
        <f t="shared" si="5"/>
        <v>663.53687918000003</v>
      </c>
      <c r="CM63" s="45">
        <f>CM64+CM68</f>
        <v>662.64145800000006</v>
      </c>
      <c r="CN63" s="45">
        <v>31.627995390000002</v>
      </c>
      <c r="CO63" s="45">
        <v>35.160939649999989</v>
      </c>
      <c r="CP63" s="45">
        <v>37.115269720000001</v>
      </c>
      <c r="CQ63" s="45">
        <v>38.477683260000006</v>
      </c>
      <c r="CR63" s="45">
        <v>57.173339599999984</v>
      </c>
      <c r="CS63" s="45">
        <v>69.660312020000006</v>
      </c>
      <c r="CT63" s="45">
        <v>78.778378509999996</v>
      </c>
      <c r="CU63" s="45">
        <v>107.83231701999999</v>
      </c>
      <c r="CV63" s="45">
        <v>104.10152897999998</v>
      </c>
      <c r="CW63" s="45">
        <v>97.207502179999963</v>
      </c>
      <c r="CX63" s="45">
        <v>110.81633928000001</v>
      </c>
      <c r="CY63" s="45">
        <v>189.08332725999998</v>
      </c>
      <c r="CZ63" s="45">
        <f t="shared" si="9"/>
        <v>957.03493286999992</v>
      </c>
      <c r="DA63" s="45">
        <f>DA64+DA68</f>
        <v>957.12029800000005</v>
      </c>
      <c r="DB63" s="45">
        <v>40.550526500000032</v>
      </c>
      <c r="DC63" s="45">
        <v>41.528164759999981</v>
      </c>
      <c r="DD63" s="45">
        <v>47.527858599999981</v>
      </c>
      <c r="DE63" s="45">
        <v>45.853491049999995</v>
      </c>
      <c r="DF63" s="45">
        <v>60.093258480000017</v>
      </c>
      <c r="DG63" s="45">
        <v>97.688697590000004</v>
      </c>
      <c r="DH63" s="45">
        <v>104.65332756999996</v>
      </c>
      <c r="DI63" s="45">
        <v>123.39285273000002</v>
      </c>
      <c r="DJ63" s="45">
        <v>126.68016412999999</v>
      </c>
      <c r="DK63" s="45">
        <v>118.03566746999999</v>
      </c>
      <c r="DL63" s="45">
        <v>145.65159528000001</v>
      </c>
      <c r="DM63" s="45">
        <v>236.4343690900001</v>
      </c>
      <c r="DN63" s="45">
        <f t="shared" si="20"/>
        <v>1188.08997325</v>
      </c>
      <c r="DO63" s="45">
        <f>DO64+DO68</f>
        <v>1188.0656489999999</v>
      </c>
      <c r="DP63" s="42">
        <v>75.218922420000013</v>
      </c>
      <c r="DQ63" s="42">
        <v>46.450170299999996</v>
      </c>
      <c r="DR63" s="42">
        <v>52.54145660999999</v>
      </c>
      <c r="DS63" s="42">
        <v>56.729660630000005</v>
      </c>
      <c r="DT63" s="42">
        <v>83.206692219999994</v>
      </c>
      <c r="DU63" s="42">
        <v>92.374054060000006</v>
      </c>
      <c r="DV63" s="42">
        <v>117.71525318999997</v>
      </c>
      <c r="DW63" s="42">
        <v>127.26291717000002</v>
      </c>
      <c r="DX63" s="42">
        <v>119.13004741999998</v>
      </c>
      <c r="DY63" s="42">
        <v>107.21071046999998</v>
      </c>
      <c r="DZ63" s="42">
        <v>112.44475836999997</v>
      </c>
      <c r="EA63" s="42">
        <v>219.09321524999993</v>
      </c>
      <c r="EB63" s="42">
        <f t="shared" si="31"/>
        <v>1209.3778581099998</v>
      </c>
      <c r="EC63" s="45">
        <f>EC64+EC68</f>
        <v>1208.6202519999999</v>
      </c>
      <c r="ED63" s="42">
        <v>86.589233460000017</v>
      </c>
      <c r="EE63" s="42">
        <v>44.551967999999981</v>
      </c>
      <c r="EF63" s="42">
        <v>51.862647129999992</v>
      </c>
      <c r="EG63" s="42">
        <v>62.854357959999994</v>
      </c>
      <c r="EH63" s="50">
        <v>63.29048250999999</v>
      </c>
      <c r="EI63" s="42">
        <v>77.273206829999978</v>
      </c>
      <c r="EJ63" s="42">
        <v>110.66109078999996</v>
      </c>
      <c r="EK63" s="42">
        <v>96.40326017999989</v>
      </c>
      <c r="EL63" s="42">
        <v>124.33516227</v>
      </c>
      <c r="EM63" s="42">
        <v>146.09298100000004</v>
      </c>
      <c r="EN63" s="42">
        <v>119.34955775999991</v>
      </c>
      <c r="EO63" s="42">
        <v>268.64086099999986</v>
      </c>
      <c r="EP63" s="50">
        <f t="shared" si="11"/>
        <v>1251.9048088899995</v>
      </c>
      <c r="EQ63" s="45">
        <f>EQ64+EQ68</f>
        <v>1251.8816929999998</v>
      </c>
      <c r="ER63" s="42">
        <v>54.096240059999985</v>
      </c>
      <c r="ES63" s="42">
        <v>56.50328931</v>
      </c>
      <c r="ET63" s="42">
        <v>49.26575356</v>
      </c>
      <c r="EU63" s="42">
        <v>57.025107350000027</v>
      </c>
      <c r="EV63" s="42">
        <v>66.027326359999989</v>
      </c>
      <c r="EW63" s="42">
        <v>87.985222399999998</v>
      </c>
      <c r="EX63" s="42">
        <v>123.208287</v>
      </c>
      <c r="EY63" s="42">
        <v>117.42638599999999</v>
      </c>
      <c r="EZ63" s="42">
        <v>121.923732</v>
      </c>
      <c r="FA63" s="42">
        <v>113.31412099999997</v>
      </c>
      <c r="FB63" s="42">
        <v>140.05201852000002</v>
      </c>
      <c r="FC63" s="42">
        <v>280.75276985000005</v>
      </c>
      <c r="FD63" s="50">
        <f t="shared" si="12"/>
        <v>1267.5802534100001</v>
      </c>
      <c r="FE63" s="45">
        <f>FE64+FE68</f>
        <v>1268.153853</v>
      </c>
      <c r="FF63" s="45">
        <v>43.658835240000002</v>
      </c>
      <c r="FG63" s="45">
        <v>42.066000270000004</v>
      </c>
      <c r="FH63" s="45">
        <v>62.690039780000014</v>
      </c>
      <c r="FI63" s="45">
        <v>58.453954639999999</v>
      </c>
      <c r="FJ63" s="45">
        <v>59.47090111</v>
      </c>
      <c r="FK63" s="45">
        <v>92.907078060000032</v>
      </c>
      <c r="FL63" s="45">
        <v>98.303973999999982</v>
      </c>
      <c r="FM63" s="45">
        <v>120.84858899999999</v>
      </c>
      <c r="FN63" s="45">
        <v>121.08182100000005</v>
      </c>
      <c r="FO63" s="45">
        <v>129.61802099999991</v>
      </c>
      <c r="FP63" s="45">
        <v>134.72669327999995</v>
      </c>
      <c r="FQ63" s="45">
        <v>316.55404936999992</v>
      </c>
      <c r="FR63" s="50">
        <f t="shared" si="13"/>
        <v>1280.37995675</v>
      </c>
      <c r="FS63" s="45">
        <f>FS64+FS68</f>
        <v>1280.272453</v>
      </c>
      <c r="FT63" s="45">
        <v>80.587486670000004</v>
      </c>
      <c r="FU63" s="45">
        <v>49.5891138</v>
      </c>
      <c r="FV63" s="45">
        <v>62.456088989999998</v>
      </c>
      <c r="FW63" s="45">
        <v>85.45589283000001</v>
      </c>
      <c r="FX63" s="45">
        <v>81.711910970000019</v>
      </c>
      <c r="FY63" s="45">
        <v>124.71962272999998</v>
      </c>
      <c r="FZ63" s="45">
        <v>106.85636586999999</v>
      </c>
      <c r="GA63" s="45">
        <v>134.46366580000006</v>
      </c>
      <c r="GB63" s="45">
        <v>116.04413176999998</v>
      </c>
      <c r="GC63" s="45">
        <v>130.08889087999995</v>
      </c>
      <c r="GD63" s="45">
        <v>116.12907804999995</v>
      </c>
      <c r="GE63" s="45">
        <v>368.16737537000012</v>
      </c>
      <c r="GF63" s="50">
        <f t="shared" si="14"/>
        <v>1456.2696237300001</v>
      </c>
      <c r="GG63" s="45">
        <f>GG64+GG68</f>
        <v>1457.4701749999999</v>
      </c>
      <c r="GH63" s="45">
        <v>65.372526070000006</v>
      </c>
      <c r="GI63" s="45">
        <v>187.11583049999996</v>
      </c>
      <c r="GJ63" s="45">
        <v>45.996531369999985</v>
      </c>
      <c r="GK63" s="45">
        <v>89.184071459999942</v>
      </c>
      <c r="GL63" s="45">
        <v>81.826278649999978</v>
      </c>
      <c r="GM63" s="45">
        <v>90.439350920000024</v>
      </c>
      <c r="GN63" s="45">
        <v>124.61681925999999</v>
      </c>
      <c r="GO63" s="45">
        <v>125.44299415999998</v>
      </c>
      <c r="GP63" s="45">
        <v>131.04585383000003</v>
      </c>
      <c r="GQ63" s="45">
        <v>166.391817</v>
      </c>
      <c r="GR63" s="45">
        <v>145.37169364000007</v>
      </c>
      <c r="GS63" s="45">
        <v>297.13589926000014</v>
      </c>
      <c r="GT63" s="50">
        <f t="shared" si="15"/>
        <v>1549.9396661200001</v>
      </c>
      <c r="GU63" s="45">
        <f>GU64+GU68</f>
        <v>1549.972327</v>
      </c>
      <c r="GV63" s="45">
        <v>95.708820159999973</v>
      </c>
      <c r="GW63" s="45">
        <v>81.557925390000023</v>
      </c>
      <c r="GX63" s="45">
        <v>152.87550400000001</v>
      </c>
      <c r="GY63" s="45">
        <v>125.46408300000002</v>
      </c>
      <c r="GZ63" s="45">
        <v>113.15482096999999</v>
      </c>
      <c r="HA63" s="45">
        <v>167.30604209999998</v>
      </c>
      <c r="HB63" s="45">
        <v>151.15932969999994</v>
      </c>
      <c r="HC63" s="45">
        <v>144.271424</v>
      </c>
      <c r="HD63" s="45">
        <v>176.39780187999997</v>
      </c>
      <c r="HE63" s="45">
        <v>172.19147699999999</v>
      </c>
      <c r="HF63" s="45">
        <v>155.91536442</v>
      </c>
      <c r="HG63" s="45">
        <v>361.60728763999981</v>
      </c>
      <c r="HH63" s="45">
        <f t="shared" si="6"/>
        <v>1897.6098802599997</v>
      </c>
      <c r="HI63" s="45">
        <v>178.54156749000003</v>
      </c>
      <c r="HJ63" s="45">
        <v>160.46055864999997</v>
      </c>
      <c r="HK63" s="45">
        <v>187.27469790000001</v>
      </c>
      <c r="HL63" s="45">
        <v>79.176494000000005</v>
      </c>
      <c r="HM63" s="45"/>
      <c r="HN63" s="45"/>
      <c r="HO63" s="45"/>
      <c r="HP63" s="45"/>
      <c r="HQ63" s="45"/>
      <c r="HR63" s="45"/>
      <c r="HS63" s="45"/>
      <c r="HT63" s="45"/>
      <c r="HU63" s="276">
        <f t="shared" si="16"/>
        <v>455.60633300000001</v>
      </c>
      <c r="HV63" s="276">
        <f t="shared" si="17"/>
        <v>605.45331799999997</v>
      </c>
      <c r="HW63" s="280">
        <f t="shared" si="18"/>
        <v>149.84698499999996</v>
      </c>
      <c r="HX63" s="280">
        <f t="shared" si="19"/>
        <v>32.889574649525343</v>
      </c>
    </row>
    <row r="64" spans="1:232" s="12" customFormat="1" ht="20.5">
      <c r="A64" s="314" t="s">
        <v>162</v>
      </c>
      <c r="B64" s="13" t="s">
        <v>163</v>
      </c>
      <c r="C64" s="46" t="s">
        <v>164</v>
      </c>
      <c r="D64" s="42">
        <v>1081.867988799153</v>
      </c>
      <c r="E64" s="42">
        <v>1041.9051513651029</v>
      </c>
      <c r="F64" s="42">
        <v>603.37547025913329</v>
      </c>
      <c r="G64" s="42">
        <v>553.80672989908999</v>
      </c>
      <c r="H64" s="42">
        <v>61.033967991075748</v>
      </c>
      <c r="I64" s="42">
        <v>21.876374337653171</v>
      </c>
      <c r="J64" s="42">
        <v>28.554092364300715</v>
      </c>
      <c r="K64" s="42">
        <v>32.174468699665915</v>
      </c>
      <c r="L64" s="42">
        <v>54.007392473577269</v>
      </c>
      <c r="M64" s="42">
        <v>65.055908446736211</v>
      </c>
      <c r="N64" s="42">
        <v>64.83756918002743</v>
      </c>
      <c r="O64" s="42">
        <v>81.605379309167276</v>
      </c>
      <c r="P64" s="42">
        <v>103.4265485113915</v>
      </c>
      <c r="Q64" s="42">
        <v>87.106662284221485</v>
      </c>
      <c r="R64" s="42">
        <v>77.280503653934801</v>
      </c>
      <c r="S64" s="42">
        <v>156.74164550856284</v>
      </c>
      <c r="T64" s="42">
        <v>0</v>
      </c>
      <c r="U64" s="42">
        <v>834.01774036573499</v>
      </c>
      <c r="V64" s="42">
        <v>30.778269617133656</v>
      </c>
      <c r="W64" s="42">
        <v>23.560736250789695</v>
      </c>
      <c r="X64" s="42">
        <v>28.844093417222169</v>
      </c>
      <c r="Y64" s="42">
        <v>35.232909232159678</v>
      </c>
      <c r="Z64" s="42">
        <v>47.638391941423208</v>
      </c>
      <c r="AA64" s="42">
        <v>69.021047119822867</v>
      </c>
      <c r="AB64" s="42">
        <v>79.294309651054903</v>
      </c>
      <c r="AC64" s="42">
        <v>88.510314397757142</v>
      </c>
      <c r="AD64" s="42">
        <v>104.39933751088313</v>
      </c>
      <c r="AE64" s="42">
        <v>101.3359386116186</v>
      </c>
      <c r="AF64" s="42">
        <v>96.154371631350983</v>
      </c>
      <c r="AG64" s="42">
        <v>129.53984183356954</v>
      </c>
      <c r="AH64" s="42">
        <v>834.3095623530885</v>
      </c>
      <c r="AI64" s="42">
        <v>834.23752852857979</v>
      </c>
      <c r="AJ64" s="42">
        <v>41.589135804577097</v>
      </c>
      <c r="AK64" s="42">
        <v>33.636910674953469</v>
      </c>
      <c r="AL64" s="42">
        <v>36.757457484590304</v>
      </c>
      <c r="AM64" s="42">
        <v>35.667403600434824</v>
      </c>
      <c r="AN64" s="42">
        <v>44.825331443759573</v>
      </c>
      <c r="AO64" s="42">
        <v>75.76593321893445</v>
      </c>
      <c r="AP64" s="42">
        <v>88.199412638516591</v>
      </c>
      <c r="AQ64" s="42">
        <v>97.651627623064186</v>
      </c>
      <c r="AR64" s="42">
        <v>96.430884001798518</v>
      </c>
      <c r="AS64" s="42">
        <v>97.96204062583594</v>
      </c>
      <c r="AT64" s="42">
        <v>82.250453896107601</v>
      </c>
      <c r="AU64" s="42">
        <v>132.84383981878301</v>
      </c>
      <c r="AV64" s="42">
        <v>863.58043083135567</v>
      </c>
      <c r="AW64" s="42">
        <v>863.59640810240137</v>
      </c>
      <c r="AX64" s="42">
        <f>AX65+AX66+AX67</f>
        <v>43.465008999999995</v>
      </c>
      <c r="AY64" s="42">
        <f t="shared" ref="AY64:BG64" si="37">AY65+AY66+AY67</f>
        <v>29.607384360000001</v>
      </c>
      <c r="AZ64" s="42">
        <f t="shared" si="37"/>
        <v>34.744840000000003</v>
      </c>
      <c r="BA64" s="42">
        <f t="shared" si="37"/>
        <v>48.932805259999995</v>
      </c>
      <c r="BB64" s="42">
        <f t="shared" si="37"/>
        <v>47.442715</v>
      </c>
      <c r="BC64" s="42">
        <f t="shared" si="37"/>
        <v>69.077545999999998</v>
      </c>
      <c r="BD64" s="42">
        <f t="shared" si="37"/>
        <v>83.403925000000001</v>
      </c>
      <c r="BE64" s="42">
        <f t="shared" si="37"/>
        <v>91.517089999999996</v>
      </c>
      <c r="BF64" s="42">
        <f t="shared" si="37"/>
        <v>83.510107259999984</v>
      </c>
      <c r="BG64" s="42">
        <f t="shared" si="37"/>
        <v>99.297273710000013</v>
      </c>
      <c r="BH64" s="42">
        <f>BH65+BH66+BH67</f>
        <v>87.873866220000011</v>
      </c>
      <c r="BI64" s="42">
        <f>BI65+BI66+BI67</f>
        <v>158.44714445000002</v>
      </c>
      <c r="BJ64" s="45">
        <f t="shared" si="34"/>
        <v>877.31970625999998</v>
      </c>
      <c r="BK64" s="42">
        <f>BK65+BK66</f>
        <v>877.06557700000008</v>
      </c>
      <c r="BL64" s="42">
        <f>BL65+BL66+BL67</f>
        <v>47.977480330000013</v>
      </c>
      <c r="BM64" s="42">
        <v>39.10123815</v>
      </c>
      <c r="BN64" s="42">
        <v>40.802969009999991</v>
      </c>
      <c r="BO64" s="42">
        <v>42.235180150000005</v>
      </c>
      <c r="BP64" s="42">
        <v>66.20283735000001</v>
      </c>
      <c r="BQ64" s="42">
        <v>73.096392249999994</v>
      </c>
      <c r="BR64" s="42">
        <v>88.784906529999986</v>
      </c>
      <c r="BS64" s="42">
        <v>93.828224109999951</v>
      </c>
      <c r="BT64" s="42">
        <v>73.151567490000005</v>
      </c>
      <c r="BU64" s="42">
        <v>81.87505090999997</v>
      </c>
      <c r="BV64" s="42">
        <v>95.18628742999995</v>
      </c>
      <c r="BW64" s="42">
        <v>177.66620680000011</v>
      </c>
      <c r="BX64" s="45">
        <f t="shared" si="4"/>
        <v>919.90834051000002</v>
      </c>
      <c r="BY64" s="45">
        <f>BY65+BY66</f>
        <v>919.89129500000001</v>
      </c>
      <c r="BZ64" s="45">
        <v>28.427809060000012</v>
      </c>
      <c r="CA64" s="45">
        <v>23.211633309999996</v>
      </c>
      <c r="CB64" s="45">
        <v>21.914907500000002</v>
      </c>
      <c r="CC64" s="45">
        <v>24.169285149999993</v>
      </c>
      <c r="CD64" s="45">
        <v>37.945398279999999</v>
      </c>
      <c r="CE64" s="139">
        <v>45.423976029999999</v>
      </c>
      <c r="CF64" s="45">
        <v>59.485652499999972</v>
      </c>
      <c r="CG64" s="45">
        <v>77.521699389999981</v>
      </c>
      <c r="CH64" s="45">
        <v>69.063108530000036</v>
      </c>
      <c r="CI64" s="45">
        <v>91.155102330000005</v>
      </c>
      <c r="CJ64" s="45">
        <v>75.462638379999987</v>
      </c>
      <c r="CK64" s="45">
        <v>109.75566872</v>
      </c>
      <c r="CL64" s="45">
        <f t="shared" si="5"/>
        <v>663.53687918000003</v>
      </c>
      <c r="CM64" s="45">
        <f>CM65+CM66</f>
        <v>662.64145800000006</v>
      </c>
      <c r="CN64" s="45">
        <v>31.627995390000002</v>
      </c>
      <c r="CO64" s="45">
        <v>35.160939649999989</v>
      </c>
      <c r="CP64" s="45">
        <v>37.115269720000001</v>
      </c>
      <c r="CQ64" s="45">
        <v>38.477683260000006</v>
      </c>
      <c r="CR64" s="45">
        <v>57.173339599999984</v>
      </c>
      <c r="CS64" s="45">
        <v>69.660312020000006</v>
      </c>
      <c r="CT64" s="45">
        <v>78.778378509999996</v>
      </c>
      <c r="CU64" s="45">
        <v>107.83231701999999</v>
      </c>
      <c r="CV64" s="45">
        <v>104.10152897999998</v>
      </c>
      <c r="CW64" s="45">
        <v>97.207502179999963</v>
      </c>
      <c r="CX64" s="45">
        <v>110.81633928000001</v>
      </c>
      <c r="CY64" s="45">
        <v>189.08332725999998</v>
      </c>
      <c r="CZ64" s="45">
        <f t="shared" si="9"/>
        <v>957.03493286999992</v>
      </c>
      <c r="DA64" s="45">
        <f>DA65+DA66</f>
        <v>957.12029800000005</v>
      </c>
      <c r="DB64" s="45">
        <v>40.550526500000032</v>
      </c>
      <c r="DC64" s="45">
        <v>41.528164759999989</v>
      </c>
      <c r="DD64" s="45">
        <v>47.527858599999981</v>
      </c>
      <c r="DE64" s="45">
        <v>45.853491049999988</v>
      </c>
      <c r="DF64" s="45">
        <v>60.09325848000001</v>
      </c>
      <c r="DG64" s="45">
        <v>97.688697590000004</v>
      </c>
      <c r="DH64" s="45">
        <v>104.65332756999996</v>
      </c>
      <c r="DI64" s="45">
        <v>123.39285273000002</v>
      </c>
      <c r="DJ64" s="45">
        <v>126.68016412999999</v>
      </c>
      <c r="DK64" s="45">
        <v>118.03566746999999</v>
      </c>
      <c r="DL64" s="45">
        <v>145.65159528000001</v>
      </c>
      <c r="DM64" s="45">
        <v>236.4343690900001</v>
      </c>
      <c r="DN64" s="45">
        <f t="shared" si="20"/>
        <v>1188.08997325</v>
      </c>
      <c r="DO64" s="45">
        <f>DO65+DO66</f>
        <v>1188.0656489999999</v>
      </c>
      <c r="DP64" s="42">
        <v>75.218922419999998</v>
      </c>
      <c r="DQ64" s="42">
        <v>46.450170299999996</v>
      </c>
      <c r="DR64" s="42">
        <v>52.541456609999997</v>
      </c>
      <c r="DS64" s="42">
        <v>56.729660630000005</v>
      </c>
      <c r="DT64" s="42">
        <v>83.206692219999994</v>
      </c>
      <c r="DU64" s="42">
        <v>92.374054060000006</v>
      </c>
      <c r="DV64" s="42">
        <v>117.71525318999997</v>
      </c>
      <c r="DW64" s="42">
        <v>127.26291717000002</v>
      </c>
      <c r="DX64" s="42">
        <v>119.13004741999998</v>
      </c>
      <c r="DY64" s="42">
        <v>107.21071047</v>
      </c>
      <c r="DZ64" s="42">
        <v>112.44475836999997</v>
      </c>
      <c r="EA64" s="42">
        <v>219.09321524999993</v>
      </c>
      <c r="EB64" s="42">
        <f t="shared" si="31"/>
        <v>1209.3778581099998</v>
      </c>
      <c r="EC64" s="45">
        <f>EC65+EC66</f>
        <v>1208.6202519999999</v>
      </c>
      <c r="ED64" s="42">
        <v>86.589233460000003</v>
      </c>
      <c r="EE64" s="42">
        <v>44.55381299999997</v>
      </c>
      <c r="EF64" s="42">
        <v>51.862646340000005</v>
      </c>
      <c r="EG64" s="42">
        <v>62.857857830000007</v>
      </c>
      <c r="EH64" s="50">
        <v>63.290481999999983</v>
      </c>
      <c r="EI64" s="42">
        <v>77.27320684</v>
      </c>
      <c r="EJ64" s="42">
        <v>110.66109037999996</v>
      </c>
      <c r="EK64" s="42">
        <v>96.40326017999989</v>
      </c>
      <c r="EL64" s="42">
        <v>124.33516227</v>
      </c>
      <c r="EM64" s="42">
        <v>146.08763400000004</v>
      </c>
      <c r="EN64" s="42">
        <v>119.34955775999991</v>
      </c>
      <c r="EO64" s="42">
        <v>268.64086099999986</v>
      </c>
      <c r="EP64" s="50">
        <f t="shared" si="11"/>
        <v>1251.9048050599995</v>
      </c>
      <c r="EQ64" s="45">
        <f>EQ65+EQ66</f>
        <v>1251.8816929999998</v>
      </c>
      <c r="ER64" s="42">
        <v>54.096240059999985</v>
      </c>
      <c r="ES64" s="42">
        <v>56.50328931</v>
      </c>
      <c r="ET64" s="42">
        <v>49.265753559999993</v>
      </c>
      <c r="EU64" s="42">
        <v>57.025107350000006</v>
      </c>
      <c r="EV64" s="42">
        <v>66.027326359999975</v>
      </c>
      <c r="EW64" s="42">
        <v>87.985222399999998</v>
      </c>
      <c r="EX64" s="42">
        <v>123.208287</v>
      </c>
      <c r="EY64" s="42">
        <v>117.42638599999999</v>
      </c>
      <c r="EZ64" s="42">
        <v>121.923732</v>
      </c>
      <c r="FA64" s="42">
        <v>113.31412099999997</v>
      </c>
      <c r="FB64" s="42">
        <v>140.05201851999999</v>
      </c>
      <c r="FC64" s="42">
        <v>280.74900885</v>
      </c>
      <c r="FD64" s="50">
        <f t="shared" si="12"/>
        <v>1267.5764924099999</v>
      </c>
      <c r="FE64" s="45">
        <f>FE65+FE66</f>
        <v>1268.153853</v>
      </c>
      <c r="FF64" s="45">
        <v>43.658835240000002</v>
      </c>
      <c r="FG64" s="45">
        <v>42.066000270000004</v>
      </c>
      <c r="FH64" s="45">
        <v>62.690039780000014</v>
      </c>
      <c r="FI64" s="45">
        <v>58.453955000000001</v>
      </c>
      <c r="FJ64" s="45">
        <v>59.47090111</v>
      </c>
      <c r="FK64" s="45">
        <v>92.907078060000032</v>
      </c>
      <c r="FL64" s="45">
        <v>98.303973999999982</v>
      </c>
      <c r="FM64" s="45">
        <v>120.84858899999999</v>
      </c>
      <c r="FN64" s="45">
        <v>121.08182100000005</v>
      </c>
      <c r="FO64" s="45">
        <v>129.61802099999991</v>
      </c>
      <c r="FP64" s="45">
        <v>134.72669327999995</v>
      </c>
      <c r="FQ64" s="45">
        <v>316.55404936999992</v>
      </c>
      <c r="FR64" s="50">
        <f t="shared" si="13"/>
        <v>1280.3799571099999</v>
      </c>
      <c r="FS64" s="45">
        <f>FS65+FS66</f>
        <v>1280.272453</v>
      </c>
      <c r="FT64" s="45">
        <v>80.587486670000004</v>
      </c>
      <c r="FU64" s="45">
        <v>49.5891138</v>
      </c>
      <c r="FV64" s="45">
        <v>62.456088989999998</v>
      </c>
      <c r="FW64" s="45">
        <v>85.45589283000001</v>
      </c>
      <c r="FX64" s="45">
        <v>81.711910970000019</v>
      </c>
      <c r="FY64" s="45">
        <v>124.71962272999998</v>
      </c>
      <c r="FZ64" s="45">
        <v>106.85636586999999</v>
      </c>
      <c r="GA64" s="45">
        <v>134.46366580000006</v>
      </c>
      <c r="GB64" s="45">
        <v>116.04413176999998</v>
      </c>
      <c r="GC64" s="45">
        <v>130.08889087999995</v>
      </c>
      <c r="GD64" s="45">
        <v>116.12907804999995</v>
      </c>
      <c r="GE64" s="45">
        <v>368.16737537000012</v>
      </c>
      <c r="GF64" s="50">
        <f t="shared" si="14"/>
        <v>1456.2696237300001</v>
      </c>
      <c r="GG64" s="45">
        <f>GG65+GG66</f>
        <v>1457.4701749999999</v>
      </c>
      <c r="GH64" s="45">
        <v>65.372526070000006</v>
      </c>
      <c r="GI64" s="45">
        <v>187.11583049999996</v>
      </c>
      <c r="GJ64" s="45">
        <v>45.996531369999985</v>
      </c>
      <c r="GK64" s="45">
        <v>89.184071459999942</v>
      </c>
      <c r="GL64" s="45">
        <v>81.826278649999978</v>
      </c>
      <c r="GM64" s="45">
        <v>90.439350920000024</v>
      </c>
      <c r="GN64" s="45">
        <v>124.61681925999999</v>
      </c>
      <c r="GO64" s="45">
        <v>125.44299415999998</v>
      </c>
      <c r="GP64" s="45">
        <v>131.04585383000003</v>
      </c>
      <c r="GQ64" s="45">
        <v>166.391817</v>
      </c>
      <c r="GR64" s="45">
        <v>145.37169364000007</v>
      </c>
      <c r="GS64" s="45">
        <v>297.13589926000014</v>
      </c>
      <c r="GT64" s="50">
        <f t="shared" si="15"/>
        <v>1549.9396661200001</v>
      </c>
      <c r="GU64" s="45">
        <f>GU65+GU66</f>
        <v>1549.972327</v>
      </c>
      <c r="GV64" s="45">
        <v>95.708820159999973</v>
      </c>
      <c r="GW64" s="45">
        <v>81.557925390000023</v>
      </c>
      <c r="GX64" s="45">
        <v>152.87550400000001</v>
      </c>
      <c r="GY64" s="45">
        <v>125.46408300000002</v>
      </c>
      <c r="GZ64" s="45">
        <v>113.15482096999999</v>
      </c>
      <c r="HA64" s="45">
        <v>167.30604209999998</v>
      </c>
      <c r="HB64" s="45">
        <v>151.15932969999994</v>
      </c>
      <c r="HC64" s="45">
        <v>144.27142426999995</v>
      </c>
      <c r="HD64" s="45">
        <v>176.39780187999997</v>
      </c>
      <c r="HE64" s="45">
        <v>172.19147604000003</v>
      </c>
      <c r="HF64" s="45">
        <v>155.91536442</v>
      </c>
      <c r="HG64" s="45">
        <v>361.60728872999977</v>
      </c>
      <c r="HH64" s="45">
        <f t="shared" si="6"/>
        <v>1897.6098806599998</v>
      </c>
      <c r="HI64" s="45">
        <v>178.54156749000003</v>
      </c>
      <c r="HJ64" s="45">
        <v>160.46055864999997</v>
      </c>
      <c r="HK64" s="45">
        <v>187.27469790000001</v>
      </c>
      <c r="HL64" s="45">
        <v>79.176493500000021</v>
      </c>
      <c r="HM64" s="45"/>
      <c r="HN64" s="45"/>
      <c r="HO64" s="45"/>
      <c r="HP64" s="45"/>
      <c r="HQ64" s="45"/>
      <c r="HR64" s="45"/>
      <c r="HS64" s="45"/>
      <c r="HT64" s="45"/>
      <c r="HU64" s="276">
        <f t="shared" si="16"/>
        <v>455.60633300000001</v>
      </c>
      <c r="HV64" s="276">
        <f t="shared" si="17"/>
        <v>605.45331799999997</v>
      </c>
      <c r="HW64" s="280">
        <f t="shared" si="18"/>
        <v>149.84698499999996</v>
      </c>
      <c r="HX64" s="280">
        <f t="shared" si="19"/>
        <v>32.889574649525343</v>
      </c>
    </row>
    <row r="65" spans="1:233" s="12" customFormat="1" ht="20.5">
      <c r="A65" s="314" t="s">
        <v>165</v>
      </c>
      <c r="B65" s="13">
        <v>5100</v>
      </c>
      <c r="C65" s="47" t="s">
        <v>166</v>
      </c>
      <c r="D65" s="42">
        <v>38.010001365956938</v>
      </c>
      <c r="E65" s="42">
        <v>51.941488665403156</v>
      </c>
      <c r="F65" s="42">
        <v>18.656666723581541</v>
      </c>
      <c r="G65" s="42">
        <v>17.742235388529377</v>
      </c>
      <c r="H65" s="42">
        <v>0.28279575813455815</v>
      </c>
      <c r="I65" s="42">
        <v>1.435116860461807</v>
      </c>
      <c r="J65" s="42">
        <v>1.3485014171803231</v>
      </c>
      <c r="K65" s="42">
        <v>0.61317794150289406</v>
      </c>
      <c r="L65" s="42">
        <v>1.9568677753414885</v>
      </c>
      <c r="M65" s="42">
        <v>1.8545110301022762</v>
      </c>
      <c r="N65" s="42">
        <v>1.4057916574179998</v>
      </c>
      <c r="O65" s="42">
        <v>1.2753256811016926</v>
      </c>
      <c r="P65" s="42">
        <v>3.9729146248358429</v>
      </c>
      <c r="Q65" s="42">
        <v>2.1521726256162941</v>
      </c>
      <c r="R65" s="42">
        <v>2.3966365444826248</v>
      </c>
      <c r="S65" s="42">
        <v>10.980618365868375</v>
      </c>
      <c r="T65" s="42">
        <v>29.625092116721014</v>
      </c>
      <c r="U65" s="42">
        <v>29.615540036767001</v>
      </c>
      <c r="V65" s="42">
        <v>1.0130576946061778</v>
      </c>
      <c r="W65" s="42">
        <v>0.79692488944286033</v>
      </c>
      <c r="X65" s="42">
        <v>2.0525726518309653</v>
      </c>
      <c r="Y65" s="42">
        <v>1.0843036892202524</v>
      </c>
      <c r="Z65" s="42">
        <v>2.2068926756250677</v>
      </c>
      <c r="AA65" s="42">
        <v>2.4725314596957331</v>
      </c>
      <c r="AB65" s="42">
        <v>1.7457897223123378</v>
      </c>
      <c r="AC65" s="42">
        <v>2.5114569638210784</v>
      </c>
      <c r="AD65" s="42">
        <v>1.574205610666261</v>
      </c>
      <c r="AE65" s="42">
        <v>2.6884821372672891</v>
      </c>
      <c r="AF65" s="42">
        <v>3.3316870706484312</v>
      </c>
      <c r="AG65" s="42">
        <v>9.2635485853808461</v>
      </c>
      <c r="AH65" s="42">
        <v>30.741454288820215</v>
      </c>
      <c r="AI65" s="42">
        <v>30.655215394334693</v>
      </c>
      <c r="AJ65" s="42">
        <v>2.0998685266446975</v>
      </c>
      <c r="AK65" s="42">
        <v>0.63134976465700265</v>
      </c>
      <c r="AL65" s="42">
        <v>2.4971296833825649</v>
      </c>
      <c r="AM65" s="42">
        <v>3.2665792881087752</v>
      </c>
      <c r="AN65" s="42">
        <v>2.0039374277892561</v>
      </c>
      <c r="AO65" s="42">
        <v>1.4752605278285271</v>
      </c>
      <c r="AP65" s="42">
        <v>2.7930176834508624</v>
      </c>
      <c r="AQ65" s="42">
        <v>2.0328155075952901</v>
      </c>
      <c r="AR65" s="42">
        <v>1.4011161006482604</v>
      </c>
      <c r="AS65" s="42">
        <v>2.8481169714458088</v>
      </c>
      <c r="AT65" s="42">
        <v>4.1309468927325401</v>
      </c>
      <c r="AU65" s="42">
        <v>10.088747360572789</v>
      </c>
      <c r="AV65" s="42">
        <v>35.268885734856376</v>
      </c>
      <c r="AW65" s="42">
        <v>35.285597406958416</v>
      </c>
      <c r="AX65" s="42">
        <v>1.56124</v>
      </c>
      <c r="AY65" s="42">
        <v>1.4660070000000001</v>
      </c>
      <c r="AZ65" s="42">
        <v>1.325018</v>
      </c>
      <c r="BA65" s="42">
        <v>0.907883</v>
      </c>
      <c r="BB65" s="42">
        <v>1.448658</v>
      </c>
      <c r="BC65" s="42">
        <v>1.470534</v>
      </c>
      <c r="BD65" s="42">
        <v>2.498078</v>
      </c>
      <c r="BE65" s="42">
        <v>2.1342370000000002</v>
      </c>
      <c r="BF65" s="42">
        <v>1.7220946499999998</v>
      </c>
      <c r="BG65" s="42">
        <v>1.98183836</v>
      </c>
      <c r="BH65" s="42">
        <v>2.2789232500000001</v>
      </c>
      <c r="BI65" s="42">
        <v>16.736584209999997</v>
      </c>
      <c r="BJ65" s="45">
        <f t="shared" si="34"/>
        <v>35.531095469999997</v>
      </c>
      <c r="BK65" s="42">
        <v>34.721890000000002</v>
      </c>
      <c r="BL65" s="42">
        <v>1.75943998</v>
      </c>
      <c r="BM65" s="42">
        <v>1.6781393600000001</v>
      </c>
      <c r="BN65" s="42">
        <v>1.6618084399999999</v>
      </c>
      <c r="BO65" s="42">
        <v>1.7701215100000003</v>
      </c>
      <c r="BP65" s="42">
        <v>1.9652092800000005</v>
      </c>
      <c r="BQ65" s="42">
        <v>2.5924408099999994</v>
      </c>
      <c r="BR65" s="42">
        <v>4.2989302500000015</v>
      </c>
      <c r="BS65" s="42">
        <v>1.2981816499999999</v>
      </c>
      <c r="BT65" s="42">
        <v>3.5288298899999995</v>
      </c>
      <c r="BU65" s="42">
        <v>2.8904162300000005</v>
      </c>
      <c r="BV65" s="42">
        <v>4.4545719800000008</v>
      </c>
      <c r="BW65" s="42">
        <v>14.193353340000003</v>
      </c>
      <c r="BX65" s="45">
        <f t="shared" si="4"/>
        <v>42.091442720000003</v>
      </c>
      <c r="BY65" s="45">
        <v>42.065463000000001</v>
      </c>
      <c r="BZ65" s="45">
        <v>0.38976245000000004</v>
      </c>
      <c r="CA65" s="45">
        <v>0.5738506000000001</v>
      </c>
      <c r="CB65" s="45">
        <v>0.99383608000000023</v>
      </c>
      <c r="CC65" s="45">
        <v>2.01700305</v>
      </c>
      <c r="CD65" s="45">
        <v>2.8617577799999991</v>
      </c>
      <c r="CE65" s="139">
        <v>1.9897689499999998</v>
      </c>
      <c r="CF65" s="45">
        <v>1.0617486899999999</v>
      </c>
      <c r="CG65" s="45">
        <v>0.90356412000000019</v>
      </c>
      <c r="CH65" s="45">
        <v>1.794475429999999</v>
      </c>
      <c r="CI65" s="45">
        <v>2.0895767099999993</v>
      </c>
      <c r="CJ65" s="45">
        <v>2.1484102900000002</v>
      </c>
      <c r="CK65" s="45">
        <v>10.583370630000003</v>
      </c>
      <c r="CL65" s="45">
        <f t="shared" si="5"/>
        <v>27.407124780000004</v>
      </c>
      <c r="CM65" s="45">
        <v>26.854811999999999</v>
      </c>
      <c r="CN65" s="45">
        <v>0.87793586999999984</v>
      </c>
      <c r="CO65" s="45">
        <v>1.2268568900000001</v>
      </c>
      <c r="CP65" s="45">
        <v>1.0914273999999999</v>
      </c>
      <c r="CQ65" s="45">
        <v>2.8933859099999997</v>
      </c>
      <c r="CR65" s="45">
        <v>1.1075891299999998</v>
      </c>
      <c r="CS65" s="45">
        <v>2.4186983399999993</v>
      </c>
      <c r="CT65" s="45">
        <v>1.7822315100000006</v>
      </c>
      <c r="CU65" s="45">
        <v>1.61412573</v>
      </c>
      <c r="CV65" s="45">
        <v>1.9246297199999998</v>
      </c>
      <c r="CW65" s="45">
        <v>2.56897442</v>
      </c>
      <c r="CX65" s="45">
        <v>2.1905672899999997</v>
      </c>
      <c r="CY65" s="45">
        <v>10.020542919999999</v>
      </c>
      <c r="CZ65" s="45">
        <f t="shared" si="9"/>
        <v>29.716965129999998</v>
      </c>
      <c r="DA65" s="45">
        <v>29.757591999999999</v>
      </c>
      <c r="DB65" s="45">
        <v>2.2178999800000003</v>
      </c>
      <c r="DC65" s="45">
        <v>0.93362635000000005</v>
      </c>
      <c r="DD65" s="45">
        <v>1.5107062899999999</v>
      </c>
      <c r="DE65" s="45">
        <v>2.5549720500000004</v>
      </c>
      <c r="DF65" s="45">
        <v>2.0206096800000002</v>
      </c>
      <c r="DG65" s="45">
        <v>3.2975681200000011</v>
      </c>
      <c r="DH65" s="45">
        <v>2.42357362</v>
      </c>
      <c r="DI65" s="45">
        <v>2.1448389799999998</v>
      </c>
      <c r="DJ65" s="45">
        <v>3.4983628000000007</v>
      </c>
      <c r="DK65" s="45">
        <v>2.5409321800000004</v>
      </c>
      <c r="DL65" s="45">
        <v>5.1191656600000002</v>
      </c>
      <c r="DM65" s="45">
        <v>15.591194290000001</v>
      </c>
      <c r="DN65" s="45">
        <f t="shared" si="20"/>
        <v>43.853449999999995</v>
      </c>
      <c r="DO65" s="45">
        <v>43.707270999999999</v>
      </c>
      <c r="DP65" s="42">
        <v>1.5779163700000001</v>
      </c>
      <c r="DQ65" s="42">
        <v>1.2523468600000003</v>
      </c>
      <c r="DR65" s="42">
        <v>1.5258117700000002</v>
      </c>
      <c r="DS65" s="42">
        <v>1.7882662299999998</v>
      </c>
      <c r="DT65" s="42">
        <v>2.3569471399999991</v>
      </c>
      <c r="DU65" s="42">
        <v>2.6839808800000005</v>
      </c>
      <c r="DV65" s="42">
        <v>3.0726929299999988</v>
      </c>
      <c r="DW65" s="42">
        <v>3.0848719</v>
      </c>
      <c r="DX65" s="42">
        <v>3.3035404800000006</v>
      </c>
      <c r="DY65" s="42">
        <v>3.7061563200000007</v>
      </c>
      <c r="DZ65" s="42">
        <v>4.5158750899999998</v>
      </c>
      <c r="EA65" s="42">
        <v>19.821699400000004</v>
      </c>
      <c r="EB65" s="42">
        <f t="shared" si="31"/>
        <v>48.690105369999998</v>
      </c>
      <c r="EC65" s="45">
        <v>47.921140000000001</v>
      </c>
      <c r="ED65" s="42">
        <v>1.52559011</v>
      </c>
      <c r="EE65" s="42">
        <v>2.3855971799999991</v>
      </c>
      <c r="EF65" s="42">
        <v>2.7315437300000003</v>
      </c>
      <c r="EG65" s="42">
        <v>3.2274173899999998</v>
      </c>
      <c r="EH65" s="50">
        <v>1.3989610299999999</v>
      </c>
      <c r="EI65" s="42">
        <v>3.1805788600000002</v>
      </c>
      <c r="EJ65" s="42">
        <v>3.3996108999999999</v>
      </c>
      <c r="EK65" s="42">
        <v>3.74585933</v>
      </c>
      <c r="EL65" s="42">
        <v>6.2809728699999994</v>
      </c>
      <c r="EM65" s="42">
        <v>4.4178096100000008</v>
      </c>
      <c r="EN65" s="42">
        <v>6.6089881599999991</v>
      </c>
      <c r="EO65" s="42">
        <v>19.765178789999975</v>
      </c>
      <c r="EP65" s="50">
        <f t="shared" si="11"/>
        <v>58.668107959999972</v>
      </c>
      <c r="EQ65" s="50">
        <v>58.524303000000003</v>
      </c>
      <c r="ER65" s="42">
        <v>2.7526150599999997</v>
      </c>
      <c r="ES65" s="42">
        <v>3.0146236099999992</v>
      </c>
      <c r="ET65" s="42">
        <v>2.3788545600000006</v>
      </c>
      <c r="EU65" s="42">
        <v>3.2700913499999995</v>
      </c>
      <c r="EV65" s="42">
        <v>2.3531190600000005</v>
      </c>
      <c r="EW65" s="42">
        <v>4.7899744000000002</v>
      </c>
      <c r="EX65" s="42">
        <v>9.6990599999999993</v>
      </c>
      <c r="EY65" s="42">
        <v>6.5919140000000001</v>
      </c>
      <c r="EZ65" s="42">
        <v>2.8460290000000001</v>
      </c>
      <c r="FA65" s="42">
        <v>3.7366090000000001</v>
      </c>
      <c r="FB65" s="42">
        <v>3.8677729899999997</v>
      </c>
      <c r="FC65" s="42">
        <v>20.039038399999999</v>
      </c>
      <c r="FD65" s="50">
        <f t="shared" si="12"/>
        <v>65.339701430000005</v>
      </c>
      <c r="FE65" s="50">
        <v>65.198014999999998</v>
      </c>
      <c r="FF65" s="45">
        <v>2.1508250000000002</v>
      </c>
      <c r="FG65" s="45">
        <v>1.473417</v>
      </c>
      <c r="FH65" s="45">
        <v>3.0579992300000005</v>
      </c>
      <c r="FI65" s="45">
        <v>4.1503209999999999</v>
      </c>
      <c r="FJ65" s="45">
        <v>2.8125976399999995</v>
      </c>
      <c r="FK65" s="45">
        <v>2.7156696300000007</v>
      </c>
      <c r="FL65" s="45">
        <v>4.4074101500000005</v>
      </c>
      <c r="FM65" s="45">
        <v>4.6144527499999999</v>
      </c>
      <c r="FN65" s="45">
        <v>4.7199783900000005</v>
      </c>
      <c r="FO65" s="45">
        <v>7.2740905200000006</v>
      </c>
      <c r="FP65" s="45">
        <v>5.9749448099999984</v>
      </c>
      <c r="FQ65" s="45">
        <v>26.945054369999998</v>
      </c>
      <c r="FR65" s="50">
        <f t="shared" si="13"/>
        <v>70.296760489999997</v>
      </c>
      <c r="FS65" s="50">
        <v>70.294338999999994</v>
      </c>
      <c r="FT65" s="45">
        <v>4.37801434</v>
      </c>
      <c r="FU65" s="45">
        <v>1.88548852</v>
      </c>
      <c r="FV65" s="45">
        <v>2.3640331600000009</v>
      </c>
      <c r="FW65" s="45">
        <v>5.4728040700000005</v>
      </c>
      <c r="FX65" s="45">
        <v>4.2011206000000003</v>
      </c>
      <c r="FY65" s="45">
        <v>5.3958142699999989</v>
      </c>
      <c r="FZ65" s="45">
        <v>4.3451178800000001</v>
      </c>
      <c r="GA65" s="45">
        <v>5.1698700699999991</v>
      </c>
      <c r="GB65" s="45">
        <v>4.9367580099999993</v>
      </c>
      <c r="GC65" s="45">
        <v>10.156643380000004</v>
      </c>
      <c r="GD65" s="45">
        <v>5.6789888699999995</v>
      </c>
      <c r="GE65" s="45">
        <v>43.282720380000008</v>
      </c>
      <c r="GF65" s="50">
        <f t="shared" si="14"/>
        <v>97.267373550000002</v>
      </c>
      <c r="GG65" s="50">
        <v>97.266209000000003</v>
      </c>
      <c r="GH65" s="45">
        <v>3.1657707399999997</v>
      </c>
      <c r="GI65" s="45">
        <v>2.2374164200000002</v>
      </c>
      <c r="GJ65" s="45">
        <v>2.2883178600000003</v>
      </c>
      <c r="GK65" s="45">
        <v>3.6998795699999993</v>
      </c>
      <c r="GL65" s="45">
        <v>5.3416843899999993</v>
      </c>
      <c r="GM65" s="45">
        <v>4.8993629799999994</v>
      </c>
      <c r="GN65" s="45">
        <v>5.690324900000002</v>
      </c>
      <c r="GO65" s="45">
        <v>2.9961549100000004</v>
      </c>
      <c r="GP65" s="45">
        <v>4.2056602899999991</v>
      </c>
      <c r="GQ65" s="45">
        <v>5.1348233500000005</v>
      </c>
      <c r="GR65" s="45">
        <v>6.9677653099999999</v>
      </c>
      <c r="GS65" s="45">
        <v>36.69926911999999</v>
      </c>
      <c r="GT65" s="50">
        <f t="shared" si="15"/>
        <v>83.326429839999975</v>
      </c>
      <c r="GU65" s="50">
        <v>83.336993000000007</v>
      </c>
      <c r="GV65" s="45">
        <v>1.1938636200000003</v>
      </c>
      <c r="GW65" s="45">
        <v>2.4251972199999998</v>
      </c>
      <c r="GX65" s="45">
        <v>3.573718</v>
      </c>
      <c r="GY65" s="45">
        <v>3.1794029999999998</v>
      </c>
      <c r="GZ65" s="45">
        <v>5.1957729900000009</v>
      </c>
      <c r="HA65" s="45">
        <v>6.1718461099999988</v>
      </c>
      <c r="HB65" s="45">
        <v>5.2208395199999993</v>
      </c>
      <c r="HC65" s="45">
        <v>10.40833505</v>
      </c>
      <c r="HD65" s="45">
        <v>6.5270102799999989</v>
      </c>
      <c r="HE65" s="45">
        <v>8.0184839499999985</v>
      </c>
      <c r="HF65" s="45">
        <v>7.0985220800000013</v>
      </c>
      <c r="HG65" s="45">
        <v>34.479572130000008</v>
      </c>
      <c r="HH65" s="50">
        <f t="shared" si="6"/>
        <v>93.492563950000005</v>
      </c>
      <c r="HI65" s="45">
        <v>2.80498519</v>
      </c>
      <c r="HJ65" s="45">
        <v>2.4947823999999992</v>
      </c>
      <c r="HK65" s="45">
        <v>5.0826773200000002</v>
      </c>
      <c r="HL65" s="45">
        <v>8.6954958899999983</v>
      </c>
      <c r="HM65" s="45"/>
      <c r="HN65" s="45"/>
      <c r="HO65" s="45"/>
      <c r="HP65" s="45"/>
      <c r="HQ65" s="45"/>
      <c r="HR65" s="45"/>
      <c r="HS65" s="45"/>
      <c r="HT65" s="45"/>
      <c r="HU65" s="276">
        <f t="shared" si="16"/>
        <v>10.372182</v>
      </c>
      <c r="HV65" s="276">
        <f t="shared" si="17"/>
        <v>19.077940999999999</v>
      </c>
      <c r="HW65" s="280">
        <f t="shared" si="18"/>
        <v>8.7057589999999987</v>
      </c>
      <c r="HX65" s="280">
        <f t="shared" si="19"/>
        <v>83.933727734434257</v>
      </c>
    </row>
    <row r="66" spans="1:233" s="12" customFormat="1" ht="20.5">
      <c r="A66" s="314" t="s">
        <v>167</v>
      </c>
      <c r="B66" s="13">
        <v>5200</v>
      </c>
      <c r="C66" s="47" t="s">
        <v>168</v>
      </c>
      <c r="D66" s="42">
        <v>769.85308848555201</v>
      </c>
      <c r="E66" s="42">
        <v>793.37687321073849</v>
      </c>
      <c r="F66" s="42">
        <v>584.71880353555173</v>
      </c>
      <c r="G66" s="42">
        <v>536.06449451056062</v>
      </c>
      <c r="H66" s="42">
        <v>60.751172232941187</v>
      </c>
      <c r="I66" s="42">
        <v>20.441257477191364</v>
      </c>
      <c r="J66" s="42">
        <v>27.205590947120392</v>
      </c>
      <c r="K66" s="42">
        <v>31.561290758163018</v>
      </c>
      <c r="L66" s="42">
        <v>52.050524698235776</v>
      </c>
      <c r="M66" s="42">
        <v>63.201397416633938</v>
      </c>
      <c r="N66" s="42">
        <v>63.431777522609437</v>
      </c>
      <c r="O66" s="42">
        <v>80.330053628065585</v>
      </c>
      <c r="P66" s="42">
        <v>99.453633886555664</v>
      </c>
      <c r="Q66" s="42">
        <v>84.954489658605183</v>
      </c>
      <c r="R66" s="42">
        <v>74.883867109452169</v>
      </c>
      <c r="S66" s="42">
        <v>145.76102714269447</v>
      </c>
      <c r="T66" s="42">
        <v>804.07542064359336</v>
      </c>
      <c r="U66" s="42">
        <v>804.40220032896798</v>
      </c>
      <c r="V66" s="42">
        <v>29.765211922527477</v>
      </c>
      <c r="W66" s="42">
        <v>22.763811361346836</v>
      </c>
      <c r="X66" s="42">
        <v>26.791520765391205</v>
      </c>
      <c r="Y66" s="42">
        <v>34.148605542939428</v>
      </c>
      <c r="Z66" s="42">
        <v>45.431499265798145</v>
      </c>
      <c r="AA66" s="42">
        <v>66.548515660127137</v>
      </c>
      <c r="AB66" s="42">
        <v>77.548519928742564</v>
      </c>
      <c r="AC66" s="42">
        <v>85.998857433936067</v>
      </c>
      <c r="AD66" s="42">
        <v>102.82513190021686</v>
      </c>
      <c r="AE66" s="42">
        <v>98.647456474351301</v>
      </c>
      <c r="AF66" s="42">
        <v>92.822684560702555</v>
      </c>
      <c r="AG66" s="42">
        <v>120.27629324818868</v>
      </c>
      <c r="AH66" s="42">
        <v>803.56810806426836</v>
      </c>
      <c r="AI66" s="42">
        <v>803.58231313424506</v>
      </c>
      <c r="AJ66" s="42">
        <v>39.489267277932399</v>
      </c>
      <c r="AK66" s="42">
        <v>33.005560910296474</v>
      </c>
      <c r="AL66" s="42">
        <v>34.260327801207737</v>
      </c>
      <c r="AM66" s="42">
        <v>32.400824312326051</v>
      </c>
      <c r="AN66" s="42">
        <v>42.821394015970313</v>
      </c>
      <c r="AO66" s="42">
        <v>74.290672691105911</v>
      </c>
      <c r="AP66" s="42">
        <v>85.406394955065721</v>
      </c>
      <c r="AQ66" s="42">
        <v>95.618812115468884</v>
      </c>
      <c r="AR66" s="42">
        <v>95.029767901150251</v>
      </c>
      <c r="AS66" s="42">
        <v>95.113923654390135</v>
      </c>
      <c r="AT66" s="42">
        <v>78.119507003375062</v>
      </c>
      <c r="AU66" s="42">
        <v>122.75509245821023</v>
      </c>
      <c r="AV66" s="42">
        <v>828.31154509649923</v>
      </c>
      <c r="AW66" s="42">
        <v>828.3108106954428</v>
      </c>
      <c r="AX66" s="42">
        <v>41.903768999999997</v>
      </c>
      <c r="AY66" s="42">
        <f>(30.008631-2.08068464)--0.213431</f>
        <v>28.14137736</v>
      </c>
      <c r="AZ66" s="42">
        <v>33.419822000000003</v>
      </c>
      <c r="BA66" s="42">
        <v>48.024922259999997</v>
      </c>
      <c r="BB66" s="42">
        <v>45.994056999999998</v>
      </c>
      <c r="BC66" s="42">
        <v>67.607011999999997</v>
      </c>
      <c r="BD66" s="42">
        <v>80.905846999999994</v>
      </c>
      <c r="BE66" s="42">
        <v>89.382852999999997</v>
      </c>
      <c r="BF66" s="42">
        <v>81.788012609999981</v>
      </c>
      <c r="BG66" s="42">
        <v>97.315435350000016</v>
      </c>
      <c r="BH66" s="42">
        <v>85.594942970000005</v>
      </c>
      <c r="BI66" s="42">
        <v>141.71056024000004</v>
      </c>
      <c r="BJ66" s="45">
        <f t="shared" si="34"/>
        <v>841.78861079000012</v>
      </c>
      <c r="BK66" s="42">
        <v>842.34368700000005</v>
      </c>
      <c r="BL66" s="42">
        <v>46.21804035000001</v>
      </c>
      <c r="BM66" s="42">
        <v>37.423098789999997</v>
      </c>
      <c r="BN66" s="42">
        <v>39.14116056999999</v>
      </c>
      <c r="BO66" s="42">
        <v>40.465058640000002</v>
      </c>
      <c r="BP66" s="42">
        <v>64.237628070000014</v>
      </c>
      <c r="BQ66" s="42">
        <v>70.503951439999994</v>
      </c>
      <c r="BR66" s="42">
        <v>84.485976279999988</v>
      </c>
      <c r="BS66" s="42">
        <v>92.530042459999947</v>
      </c>
      <c r="BT66" s="42">
        <v>69.622737600000008</v>
      </c>
      <c r="BU66" s="42">
        <v>78.984634679999971</v>
      </c>
      <c r="BV66" s="42">
        <v>90.731715449999953</v>
      </c>
      <c r="BW66" s="42">
        <v>163.4728534600001</v>
      </c>
      <c r="BX66" s="45">
        <f t="shared" si="4"/>
        <v>877.81689778999998</v>
      </c>
      <c r="BY66" s="45">
        <v>877.82583199999999</v>
      </c>
      <c r="BZ66" s="45">
        <v>28.038046610000013</v>
      </c>
      <c r="CA66" s="45">
        <v>22.637782709999996</v>
      </c>
      <c r="CB66" s="45">
        <v>20.921071420000001</v>
      </c>
      <c r="CC66" s="45">
        <v>22.152282099999994</v>
      </c>
      <c r="CD66" s="45">
        <v>35.083640500000001</v>
      </c>
      <c r="CE66" s="139">
        <v>43.43420708</v>
      </c>
      <c r="CF66" s="45">
        <v>58.42390380999997</v>
      </c>
      <c r="CG66" s="45">
        <v>76.618135269999982</v>
      </c>
      <c r="CH66" s="45">
        <v>67.268633100000031</v>
      </c>
      <c r="CI66" s="45">
        <v>89.065525620000003</v>
      </c>
      <c r="CJ66" s="45">
        <v>73.314228089999986</v>
      </c>
      <c r="CK66" s="45">
        <v>99.172298089999998</v>
      </c>
      <c r="CL66" s="45">
        <f t="shared" si="5"/>
        <v>636.12975440000002</v>
      </c>
      <c r="CM66" s="45">
        <v>635.78664600000002</v>
      </c>
      <c r="CN66" s="45">
        <v>30.750059520000004</v>
      </c>
      <c r="CO66" s="45">
        <v>33.934082759999988</v>
      </c>
      <c r="CP66" s="45">
        <v>36.02384232</v>
      </c>
      <c r="CQ66" s="45">
        <v>35.584297350000007</v>
      </c>
      <c r="CR66" s="45">
        <v>56.065750469999983</v>
      </c>
      <c r="CS66" s="45">
        <v>67.24161368</v>
      </c>
      <c r="CT66" s="45">
        <v>76.996146999999993</v>
      </c>
      <c r="CU66" s="45">
        <v>106.21819128999999</v>
      </c>
      <c r="CV66" s="45">
        <v>102.17689925999998</v>
      </c>
      <c r="CW66" s="45">
        <v>94.63852775999996</v>
      </c>
      <c r="CX66" s="45">
        <v>108.62577199</v>
      </c>
      <c r="CY66" s="45">
        <v>179.06278433999998</v>
      </c>
      <c r="CZ66" s="45">
        <f t="shared" si="9"/>
        <v>927.31796773999997</v>
      </c>
      <c r="DA66" s="45">
        <v>927.362706</v>
      </c>
      <c r="DB66" s="45">
        <v>38.332626520000034</v>
      </c>
      <c r="DC66" s="45">
        <v>40.594538409999998</v>
      </c>
      <c r="DD66" s="45">
        <v>46.017152309999972</v>
      </c>
      <c r="DE66" s="45">
        <v>43.298518999999999</v>
      </c>
      <c r="DF66" s="45">
        <v>58.07264880000001</v>
      </c>
      <c r="DG66" s="45">
        <v>94.391129469999996</v>
      </c>
      <c r="DH66" s="45">
        <v>102.22975394999996</v>
      </c>
      <c r="DI66" s="45">
        <v>121.24801375</v>
      </c>
      <c r="DJ66" s="45">
        <v>123.18180132999998</v>
      </c>
      <c r="DK66" s="45">
        <v>115.49473528999999</v>
      </c>
      <c r="DL66" s="45">
        <v>140.53242962000002</v>
      </c>
      <c r="DM66" s="45">
        <v>220.8431748000001</v>
      </c>
      <c r="DN66" s="45">
        <f t="shared" si="20"/>
        <v>1144.2365232500001</v>
      </c>
      <c r="DO66" s="45">
        <v>1144.3583779999999</v>
      </c>
      <c r="DP66" s="42">
        <v>73.641006050000001</v>
      </c>
      <c r="DQ66" s="42">
        <v>45.197823440000001</v>
      </c>
      <c r="DR66" s="42">
        <v>51.015644839999993</v>
      </c>
      <c r="DS66" s="42">
        <v>54.941394400000007</v>
      </c>
      <c r="DT66" s="42">
        <v>80.849745079999977</v>
      </c>
      <c r="DU66" s="42">
        <v>89.690073179999999</v>
      </c>
      <c r="DV66" s="42">
        <v>114.64256026</v>
      </c>
      <c r="DW66" s="42">
        <v>124.17804527000001</v>
      </c>
      <c r="DX66" s="42">
        <v>115.82650694</v>
      </c>
      <c r="DY66" s="42">
        <v>103.50455415</v>
      </c>
      <c r="DZ66" s="42">
        <v>107.92888328000001</v>
      </c>
      <c r="EA66" s="42">
        <v>199.2715158499999</v>
      </c>
      <c r="EB66" s="42">
        <f t="shared" si="31"/>
        <v>1160.68775274</v>
      </c>
      <c r="EC66" s="45">
        <v>1160.699112</v>
      </c>
      <c r="ED66" s="42">
        <v>85.063643350000007</v>
      </c>
      <c r="EE66" s="42">
        <v>42.166370819999969</v>
      </c>
      <c r="EF66" s="42">
        <v>49.131102609999999</v>
      </c>
      <c r="EG66" s="42">
        <v>59.630440440000001</v>
      </c>
      <c r="EH66" s="50">
        <v>61.891520969999981</v>
      </c>
      <c r="EI66" s="42">
        <v>74.092627979999989</v>
      </c>
      <c r="EJ66" s="42">
        <v>107.26147947999998</v>
      </c>
      <c r="EK66" s="42">
        <v>92.657400849999874</v>
      </c>
      <c r="EL66" s="42">
        <v>118.05418939999997</v>
      </c>
      <c r="EM66" s="42">
        <v>141.66982439</v>
      </c>
      <c r="EN66" s="42">
        <v>112.74056959999992</v>
      </c>
      <c r="EO66" s="42">
        <v>248.87568221000006</v>
      </c>
      <c r="EP66" s="50">
        <f t="shared" si="11"/>
        <v>1193.2348520999999</v>
      </c>
      <c r="EQ66" s="50">
        <v>1193.3573899999999</v>
      </c>
      <c r="ER66" s="42">
        <v>51.343624999999982</v>
      </c>
      <c r="ES66" s="42">
        <v>53.488665700000013</v>
      </c>
      <c r="ET66" s="42">
        <v>46.886898999999993</v>
      </c>
      <c r="EU66" s="42">
        <v>53.755015999999998</v>
      </c>
      <c r="EV66" s="42">
        <v>63.674207299999978</v>
      </c>
      <c r="EW66" s="42">
        <v>83.195247999999978</v>
      </c>
      <c r="EX66" s="42">
        <v>113.509227</v>
      </c>
      <c r="EY66" s="42">
        <v>110.83447200000001</v>
      </c>
      <c r="EZ66" s="42">
        <v>119.077703</v>
      </c>
      <c r="FA66" s="42">
        <v>109.57751100000009</v>
      </c>
      <c r="FB66" s="42">
        <v>136.18424552999997</v>
      </c>
      <c r="FC66" s="42">
        <v>260.713731</v>
      </c>
      <c r="FD66" s="50">
        <f t="shared" si="12"/>
        <v>1202.2405505300001</v>
      </c>
      <c r="FE66" s="50">
        <v>1202.9558380000001</v>
      </c>
      <c r="FF66" s="45">
        <v>41.508011000000003</v>
      </c>
      <c r="FG66" s="45">
        <v>40.592582</v>
      </c>
      <c r="FH66" s="45">
        <v>59.632040550000006</v>
      </c>
      <c r="FI66" s="45">
        <v>54.303634000000002</v>
      </c>
      <c r="FJ66" s="45">
        <v>56.658303470000007</v>
      </c>
      <c r="FK66" s="45">
        <v>90.19140843000001</v>
      </c>
      <c r="FL66" s="45">
        <v>93.896563850000007</v>
      </c>
      <c r="FM66" s="45">
        <v>116.23413624999993</v>
      </c>
      <c r="FN66" s="45">
        <v>116.36184261000002</v>
      </c>
      <c r="FO66" s="45">
        <v>122.34393048000001</v>
      </c>
      <c r="FP66" s="45">
        <v>128.75174846999997</v>
      </c>
      <c r="FQ66" s="45">
        <v>289.60899499999999</v>
      </c>
      <c r="FR66" s="50">
        <f t="shared" si="13"/>
        <v>1210.08319611</v>
      </c>
      <c r="FS66" s="50">
        <v>1209.978114</v>
      </c>
      <c r="FT66" s="45">
        <v>76.209472330000011</v>
      </c>
      <c r="FU66" s="45">
        <v>47.703625280000004</v>
      </c>
      <c r="FV66" s="45">
        <v>60.09205583</v>
      </c>
      <c r="FW66" s="45">
        <v>79.983088759999987</v>
      </c>
      <c r="FX66" s="45">
        <v>77.510790370000009</v>
      </c>
      <c r="FY66" s="45">
        <v>119.32380845999998</v>
      </c>
      <c r="FZ66" s="45">
        <v>102.51124799000002</v>
      </c>
      <c r="GA66" s="45">
        <v>129.29379573000003</v>
      </c>
      <c r="GB66" s="45">
        <v>111.10737376</v>
      </c>
      <c r="GC66" s="45">
        <v>119.93224749999997</v>
      </c>
      <c r="GD66" s="45">
        <v>110.45008917999996</v>
      </c>
      <c r="GE66" s="45">
        <v>324.88465499</v>
      </c>
      <c r="GF66" s="50">
        <f t="shared" si="14"/>
        <v>1359.0022501799999</v>
      </c>
      <c r="GG66" s="50">
        <v>1360.203966</v>
      </c>
      <c r="GH66" s="45">
        <v>62.20675533</v>
      </c>
      <c r="GI66" s="45">
        <v>184.87841407999994</v>
      </c>
      <c r="GJ66" s="45">
        <v>43.708213509999986</v>
      </c>
      <c r="GK66" s="45">
        <v>85.484191889999963</v>
      </c>
      <c r="GL66" s="45">
        <v>76.484594259999966</v>
      </c>
      <c r="GM66" s="45">
        <v>85.539987940000032</v>
      </c>
      <c r="GN66" s="45">
        <v>118.92649435999999</v>
      </c>
      <c r="GO66" s="45">
        <v>122.44683924999998</v>
      </c>
      <c r="GP66" s="45">
        <v>126.84019354000002</v>
      </c>
      <c r="GQ66" s="45">
        <v>161.25699494000006</v>
      </c>
      <c r="GR66" s="45">
        <v>138.40392833000004</v>
      </c>
      <c r="GS66" s="45">
        <v>260.43663014000009</v>
      </c>
      <c r="GT66" s="50">
        <f t="shared" si="15"/>
        <v>1466.6132375700001</v>
      </c>
      <c r="GU66" s="50">
        <v>1466.6353340000001</v>
      </c>
      <c r="GV66" s="45">
        <v>94.514956539999972</v>
      </c>
      <c r="GW66" s="45">
        <v>79.132728170000007</v>
      </c>
      <c r="GX66" s="45">
        <v>149.30178599999999</v>
      </c>
      <c r="GY66" s="45">
        <v>122.28467999999999</v>
      </c>
      <c r="GZ66" s="45">
        <v>107.95904797999997</v>
      </c>
      <c r="HA66" s="45">
        <v>161.13419598999997</v>
      </c>
      <c r="HB66" s="45">
        <v>145.93849017999992</v>
      </c>
      <c r="HC66" s="45">
        <v>133.86308921999995</v>
      </c>
      <c r="HD66" s="45">
        <v>169.87079159999996</v>
      </c>
      <c r="HE66" s="45">
        <v>164.17299208999998</v>
      </c>
      <c r="HF66" s="45">
        <v>148.81684234000002</v>
      </c>
      <c r="HG66" s="45">
        <v>327.12771659999981</v>
      </c>
      <c r="HH66" s="50">
        <f t="shared" si="6"/>
        <v>1804.1173167099994</v>
      </c>
      <c r="HI66" s="45">
        <v>175.73658230000001</v>
      </c>
      <c r="HJ66" s="45">
        <v>157.96577624999995</v>
      </c>
      <c r="HK66" s="45">
        <v>182.19202057999999</v>
      </c>
      <c r="HL66" s="45">
        <v>70.480997610000003</v>
      </c>
      <c r="HM66" s="45"/>
      <c r="HN66" s="45"/>
      <c r="HO66" s="45"/>
      <c r="HP66" s="45"/>
      <c r="HQ66" s="45"/>
      <c r="HR66" s="45"/>
      <c r="HS66" s="45"/>
      <c r="HT66" s="45"/>
      <c r="HU66" s="276">
        <f t="shared" si="16"/>
        <v>445.234151</v>
      </c>
      <c r="HV66" s="276">
        <f t="shared" si="17"/>
        <v>586.37537699999996</v>
      </c>
      <c r="HW66" s="280">
        <f t="shared" si="18"/>
        <v>141.14122599999996</v>
      </c>
      <c r="HX66" s="280">
        <f t="shared" si="19"/>
        <v>31.700449231712213</v>
      </c>
    </row>
    <row r="67" spans="1:233" s="12" customFormat="1" ht="40.5" hidden="1" customHeight="1">
      <c r="A67" s="314" t="s">
        <v>169</v>
      </c>
      <c r="B67" s="13">
        <v>5800</v>
      </c>
      <c r="C67" s="56" t="s">
        <v>170</v>
      </c>
      <c r="D67" s="42">
        <f>192.571739/0.702804</f>
        <v>274.00489894764405</v>
      </c>
      <c r="E67" s="42">
        <v>196.58678948896136</v>
      </c>
      <c r="F67" s="44" t="s">
        <v>46</v>
      </c>
      <c r="G67" s="44" t="s">
        <v>46</v>
      </c>
      <c r="H67" s="44" t="s">
        <v>46</v>
      </c>
      <c r="I67" s="44" t="s">
        <v>46</v>
      </c>
      <c r="J67" s="44" t="s">
        <v>46</v>
      </c>
      <c r="K67" s="44" t="s">
        <v>46</v>
      </c>
      <c r="L67" s="44" t="s">
        <v>46</v>
      </c>
      <c r="M67" s="44" t="s">
        <v>46</v>
      </c>
      <c r="N67" s="44" t="s">
        <v>46</v>
      </c>
      <c r="O67" s="44" t="s">
        <v>46</v>
      </c>
      <c r="P67" s="44" t="s">
        <v>46</v>
      </c>
      <c r="Q67" s="44" t="s">
        <v>46</v>
      </c>
      <c r="R67" s="44" t="s">
        <v>46</v>
      </c>
      <c r="S67" s="44" t="s">
        <v>46</v>
      </c>
      <c r="T67" s="44">
        <v>0</v>
      </c>
      <c r="U67" s="44" t="s">
        <v>46</v>
      </c>
      <c r="V67" s="44" t="s">
        <v>46</v>
      </c>
      <c r="W67" s="44" t="s">
        <v>46</v>
      </c>
      <c r="X67" s="44" t="s">
        <v>46</v>
      </c>
      <c r="Y67" s="44" t="s">
        <v>46</v>
      </c>
      <c r="Z67" s="44" t="s">
        <v>46</v>
      </c>
      <c r="AA67" s="44" t="s">
        <v>46</v>
      </c>
      <c r="AB67" s="44" t="s">
        <v>46</v>
      </c>
      <c r="AC67" s="44" t="s">
        <v>46</v>
      </c>
      <c r="AD67" s="44" t="s">
        <v>46</v>
      </c>
      <c r="AE67" s="44" t="s">
        <v>46</v>
      </c>
      <c r="AF67" s="44" t="s">
        <v>46</v>
      </c>
      <c r="AG67" s="44" t="s">
        <v>46</v>
      </c>
      <c r="AH67" s="44">
        <v>0</v>
      </c>
      <c r="AI67" s="44" t="s">
        <v>46</v>
      </c>
      <c r="AJ67" s="44" t="s">
        <v>46</v>
      </c>
      <c r="AK67" s="44" t="s">
        <v>46</v>
      </c>
      <c r="AL67" s="44" t="s">
        <v>46</v>
      </c>
      <c r="AM67" s="44" t="s">
        <v>46</v>
      </c>
      <c r="AN67" s="44" t="s">
        <v>46</v>
      </c>
      <c r="AO67" s="44" t="s">
        <v>46</v>
      </c>
      <c r="AP67" s="44" t="s">
        <v>46</v>
      </c>
      <c r="AQ67" s="44" t="s">
        <v>46</v>
      </c>
      <c r="AR67" s="44" t="s">
        <v>46</v>
      </c>
      <c r="AS67" s="44" t="s">
        <v>46</v>
      </c>
      <c r="AT67" s="44" t="s">
        <v>46</v>
      </c>
      <c r="AU67" s="44" t="s">
        <v>46</v>
      </c>
      <c r="AV67" s="44" t="s">
        <v>46</v>
      </c>
      <c r="AW67" s="44" t="s">
        <v>46</v>
      </c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 t="s">
        <v>46</v>
      </c>
      <c r="BK67" s="44" t="s">
        <v>46</v>
      </c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50">
        <f t="shared" si="4"/>
        <v>0</v>
      </c>
      <c r="BY67" s="50" t="s">
        <v>46</v>
      </c>
      <c r="BZ67" s="50"/>
      <c r="CA67" s="50"/>
      <c r="CB67" s="50"/>
      <c r="CC67" s="50"/>
      <c r="CD67" s="50"/>
      <c r="CE67" s="73"/>
      <c r="CF67" s="50"/>
      <c r="CG67" s="50"/>
      <c r="CH67" s="50"/>
      <c r="CI67" s="50"/>
      <c r="CJ67" s="50"/>
      <c r="CK67" s="50"/>
      <c r="CL67" s="50">
        <f t="shared" si="5"/>
        <v>0</v>
      </c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>
        <f t="shared" si="9"/>
        <v>0</v>
      </c>
      <c r="DA67" s="50"/>
      <c r="DB67" s="45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>
        <f t="shared" si="20"/>
        <v>0</v>
      </c>
      <c r="DO67" s="50"/>
      <c r="DP67" s="42">
        <v>0</v>
      </c>
      <c r="DQ67" s="42">
        <v>0</v>
      </c>
      <c r="DR67" s="42">
        <v>0</v>
      </c>
      <c r="DS67" s="42">
        <v>0</v>
      </c>
      <c r="DT67" s="42">
        <v>0</v>
      </c>
      <c r="DU67" s="42">
        <v>0</v>
      </c>
      <c r="DV67" s="42">
        <v>0</v>
      </c>
      <c r="DW67" s="42">
        <v>0</v>
      </c>
      <c r="DX67" s="42">
        <v>0</v>
      </c>
      <c r="DY67" s="42">
        <v>0</v>
      </c>
      <c r="DZ67" s="42">
        <v>0</v>
      </c>
      <c r="EA67" s="42">
        <v>0</v>
      </c>
      <c r="EB67" s="42">
        <f t="shared" si="31"/>
        <v>0</v>
      </c>
      <c r="EC67" s="50"/>
      <c r="ED67" s="42">
        <v>0</v>
      </c>
      <c r="EE67" s="42">
        <v>0</v>
      </c>
      <c r="EF67" s="42">
        <v>0</v>
      </c>
      <c r="EG67" s="42">
        <v>0</v>
      </c>
      <c r="EH67" s="42">
        <v>0</v>
      </c>
      <c r="EI67" s="42">
        <v>-9.9999979138374325E-9</v>
      </c>
      <c r="EJ67" s="42">
        <v>4.1000000387430191E-7</v>
      </c>
      <c r="EK67" s="42">
        <v>0</v>
      </c>
      <c r="EL67" s="42">
        <v>-2.2555468603968621E-16</v>
      </c>
      <c r="EM67" s="42"/>
      <c r="EN67" s="42">
        <v>-2.3283064365386962E-16</v>
      </c>
      <c r="EO67" s="42">
        <v>-2.7939677238464356E-15</v>
      </c>
      <c r="EP67" s="50">
        <f t="shared" si="11"/>
        <v>4.0000000270811138E-7</v>
      </c>
      <c r="EQ67" s="50"/>
      <c r="ER67" s="42">
        <v>-9.3132257461547847E-16</v>
      </c>
      <c r="ES67" s="42"/>
      <c r="ET67" s="179"/>
      <c r="EU67" s="42"/>
      <c r="EV67" s="183"/>
      <c r="EW67" s="183"/>
      <c r="EX67" s="183"/>
      <c r="EY67" s="183"/>
      <c r="EZ67" s="183"/>
      <c r="FA67" s="183"/>
      <c r="FB67" s="183"/>
      <c r="FC67" s="183"/>
      <c r="FD67" s="50">
        <f t="shared" si="12"/>
        <v>-9.3132257461547847E-16</v>
      </c>
      <c r="FE67" s="138"/>
      <c r="FF67" s="196"/>
      <c r="FG67" s="50"/>
      <c r="FH67" s="196"/>
      <c r="FI67" s="196"/>
      <c r="FJ67" s="196"/>
      <c r="FK67" s="45"/>
      <c r="FL67" s="196"/>
      <c r="FM67" s="196"/>
      <c r="FN67" s="196"/>
      <c r="FO67" s="196"/>
      <c r="FP67" s="196"/>
      <c r="FQ67" s="196"/>
      <c r="FR67" s="50">
        <f t="shared" si="13"/>
        <v>0</v>
      </c>
      <c r="FS67" s="138"/>
      <c r="FT67" s="196"/>
      <c r="FU67" s="196"/>
      <c r="FV67" s="196"/>
      <c r="FW67" s="196"/>
      <c r="FX67" s="196"/>
      <c r="FY67" s="196"/>
      <c r="FZ67" s="196"/>
      <c r="GA67" s="196"/>
      <c r="GB67" s="196"/>
      <c r="GC67" s="196"/>
      <c r="GD67" s="196"/>
      <c r="GE67" s="196"/>
      <c r="GF67" s="50">
        <f t="shared" si="14"/>
        <v>0</v>
      </c>
      <c r="GG67" s="138"/>
      <c r="GH67" s="196"/>
      <c r="GI67" s="196"/>
      <c r="GJ67" s="196"/>
      <c r="GK67" s="196"/>
      <c r="GL67" s="196"/>
      <c r="GM67" s="196"/>
      <c r="GN67" s="196"/>
      <c r="GO67" s="196"/>
      <c r="GP67" s="196"/>
      <c r="GQ67" s="196"/>
      <c r="GR67" s="196"/>
      <c r="GS67" s="196"/>
      <c r="GT67" s="50">
        <f t="shared" si="15"/>
        <v>0</v>
      </c>
      <c r="GU67" s="138"/>
      <c r="GV67" s="196"/>
      <c r="GW67" s="196"/>
      <c r="GX67" s="196"/>
      <c r="GY67" s="196"/>
      <c r="GZ67" s="196"/>
      <c r="HA67" s="196"/>
      <c r="HB67" s="196"/>
      <c r="HC67" s="196"/>
      <c r="HD67" s="196"/>
      <c r="HE67" s="196"/>
      <c r="HF67" s="196"/>
      <c r="HG67" s="196"/>
      <c r="HH67" s="138">
        <f t="shared" si="6"/>
        <v>0</v>
      </c>
      <c r="HI67" s="196"/>
      <c r="HJ67" s="196"/>
      <c r="HK67" s="196"/>
      <c r="HL67" s="196"/>
      <c r="HM67" s="196"/>
      <c r="HN67" s="196"/>
      <c r="HO67" s="196"/>
      <c r="HP67" s="196"/>
      <c r="HQ67" s="196"/>
      <c r="HR67" s="196"/>
      <c r="HS67" s="196"/>
      <c r="HT67" s="196"/>
      <c r="HU67" s="276">
        <f t="shared" si="16"/>
        <v>0</v>
      </c>
      <c r="HV67" s="276">
        <f t="shared" si="17"/>
        <v>0</v>
      </c>
      <c r="HW67" s="277">
        <f t="shared" si="18"/>
        <v>0</v>
      </c>
      <c r="HX67" s="277"/>
    </row>
    <row r="68" spans="1:233" s="12" customFormat="1" ht="21" hidden="1" customHeight="1">
      <c r="A68" s="314" t="s">
        <v>171</v>
      </c>
      <c r="B68" s="13" t="s">
        <v>172</v>
      </c>
      <c r="C68" s="46" t="s">
        <v>173</v>
      </c>
      <c r="D68" s="42">
        <v>4.6001445637759604E-3</v>
      </c>
      <c r="E68" s="42">
        <v>15.736245098206611</v>
      </c>
      <c r="F68" s="42">
        <v>15.581059584179934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0.20321739773820299</v>
      </c>
      <c r="T68" s="42">
        <v>0.20321739773820299</v>
      </c>
      <c r="U68" s="42">
        <v>0</v>
      </c>
      <c r="V68" s="42"/>
      <c r="W68" s="42"/>
      <c r="X68" s="42"/>
      <c r="Y68" s="42">
        <v>3.5379199999980627E-3</v>
      </c>
      <c r="Z68" s="42">
        <v>-3.5379199999995762E-3</v>
      </c>
      <c r="AA68" s="42"/>
      <c r="AB68" s="42"/>
      <c r="AC68" s="42"/>
      <c r="AD68" s="42"/>
      <c r="AE68" s="42"/>
      <c r="AF68" s="42"/>
      <c r="AG68" s="42"/>
      <c r="AH68" s="42">
        <v>0</v>
      </c>
      <c r="AI68" s="42">
        <v>0.34437187323908824</v>
      </c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>
        <v>0</v>
      </c>
      <c r="AW68" s="42">
        <v>0</v>
      </c>
      <c r="AX68" s="42"/>
      <c r="AY68" s="128"/>
      <c r="AZ68" s="128"/>
      <c r="BA68" s="128"/>
      <c r="BB68" s="128"/>
      <c r="BC68" s="128"/>
      <c r="BD68" s="128"/>
      <c r="BE68" s="42">
        <v>1.5006899999976159E-3</v>
      </c>
      <c r="BF68" s="128"/>
      <c r="BG68" s="42">
        <f>BG69+BG70+BG71</f>
        <v>-1.4999999999998255E-3</v>
      </c>
      <c r="BH68" s="42"/>
      <c r="BI68" s="42"/>
      <c r="BJ68" s="45">
        <f>SUM(AX68:BI68)</f>
        <v>6.8999999779041817E-7</v>
      </c>
      <c r="BK68" s="42"/>
      <c r="BL68" s="42">
        <f>BL69+BL70+BL71</f>
        <v>0</v>
      </c>
      <c r="BM68" s="42">
        <v>6.984919309616089E-16</v>
      </c>
      <c r="BN68" s="42">
        <v>-3.4924596548080445E-16</v>
      </c>
      <c r="BO68" s="42">
        <v>9.3132257461547847E-16</v>
      </c>
      <c r="BP68" s="42">
        <v>0</v>
      </c>
      <c r="BQ68" s="42">
        <v>6.984919309616089E-16</v>
      </c>
      <c r="BR68" s="42">
        <v>6.984919309616089E-16</v>
      </c>
      <c r="BS68" s="42">
        <v>-1.1641532182693481E-16</v>
      </c>
      <c r="BT68" s="42">
        <v>-2.3283064365386962E-16</v>
      </c>
      <c r="BU68" s="42">
        <v>0</v>
      </c>
      <c r="BV68" s="42">
        <v>1.5716068446636199E-15</v>
      </c>
      <c r="BW68" s="42">
        <v>9.3132257461547847E-16</v>
      </c>
      <c r="BX68" s="45">
        <f t="shared" si="4"/>
        <v>4.8312358558177947E-15</v>
      </c>
      <c r="BY68" s="45"/>
      <c r="BZ68" s="45">
        <v>0</v>
      </c>
      <c r="CA68" s="45">
        <v>-1.1641532182693481E-16</v>
      </c>
      <c r="CB68" s="45">
        <v>-3.7289282772690058E-17</v>
      </c>
      <c r="CC68" s="45">
        <v>-4.6566128730773924E-16</v>
      </c>
      <c r="CD68" s="45">
        <v>2.3283064365386962E-16</v>
      </c>
      <c r="CE68" s="139">
        <v>0</v>
      </c>
      <c r="CF68" s="45">
        <v>0</v>
      </c>
      <c r="CG68" s="45">
        <v>0</v>
      </c>
      <c r="CH68" s="45">
        <v>0</v>
      </c>
      <c r="CI68" s="45">
        <v>-4.9112713895738123E-17</v>
      </c>
      <c r="CJ68" s="45">
        <v>0</v>
      </c>
      <c r="CK68" s="45">
        <v>0</v>
      </c>
      <c r="CL68" s="45">
        <f t="shared" si="5"/>
        <v>-4.3564796214923261E-16</v>
      </c>
      <c r="CM68" s="45"/>
      <c r="CN68" s="45">
        <v>-5.8207660913467405E-17</v>
      </c>
      <c r="CO68" s="45">
        <v>-2.9103830456733702E-17</v>
      </c>
      <c r="CP68" s="45">
        <v>-4.6566128730773924E-16</v>
      </c>
      <c r="CQ68" s="45">
        <v>0</v>
      </c>
      <c r="CR68" s="45">
        <v>-6.984919309616089E-16</v>
      </c>
      <c r="CS68" s="45">
        <v>2.3283064365386962E-16</v>
      </c>
      <c r="CT68" s="45">
        <v>0</v>
      </c>
      <c r="CU68" s="45">
        <v>-1.3969838619232178E-15</v>
      </c>
      <c r="CV68" s="45">
        <v>2.6238922146148979E-15</v>
      </c>
      <c r="CW68" s="45">
        <v>0</v>
      </c>
      <c r="CX68" s="45">
        <v>-4.6566128730773924E-16</v>
      </c>
      <c r="CY68" s="45">
        <v>-2.3283064365386962E-16</v>
      </c>
      <c r="CZ68" s="45">
        <f t="shared" si="9"/>
        <v>-4.902176442556087E-16</v>
      </c>
      <c r="DA68" s="45"/>
      <c r="DB68" s="45">
        <v>9.3132257461547847E-16</v>
      </c>
      <c r="DC68" s="45">
        <v>9.3132257461547847E-16</v>
      </c>
      <c r="DD68" s="45">
        <v>0</v>
      </c>
      <c r="DE68" s="45">
        <v>0</v>
      </c>
      <c r="DF68" s="45">
        <v>-4.6566128730773924E-16</v>
      </c>
      <c r="DG68" s="45">
        <v>-2.3283064365386962E-16</v>
      </c>
      <c r="DH68" s="45">
        <v>-2.3283064365386965E-15</v>
      </c>
      <c r="DI68" s="45">
        <v>4.1909515857696534E-15</v>
      </c>
      <c r="DJ68" s="45">
        <v>-1.6298145055770874E-15</v>
      </c>
      <c r="DK68" s="45">
        <v>2.5611370801925659E-15</v>
      </c>
      <c r="DL68" s="45">
        <v>-3.9581209421157837E-15</v>
      </c>
      <c r="DM68" s="45">
        <v>2.3283064365386965E-15</v>
      </c>
      <c r="DN68" s="45">
        <f t="shared" si="20"/>
        <v>2.3283064365386965E-15</v>
      </c>
      <c r="DO68" s="45"/>
      <c r="DP68" s="42">
        <v>0</v>
      </c>
      <c r="DQ68" s="42">
        <v>0</v>
      </c>
      <c r="DR68" s="42">
        <v>0</v>
      </c>
      <c r="DS68" s="42">
        <v>4.6566128730773924E-16</v>
      </c>
      <c r="DT68" s="42">
        <v>9.3132257461547847E-16</v>
      </c>
      <c r="DU68" s="42">
        <v>4.0017766878008845E-15</v>
      </c>
      <c r="DV68" s="42">
        <v>1.8626451492309569E-15</v>
      </c>
      <c r="DW68" s="42">
        <v>0</v>
      </c>
      <c r="DX68" s="42">
        <v>-1.1641532182693482E-15</v>
      </c>
      <c r="DY68" s="42">
        <v>-1.6298145055770874E-15</v>
      </c>
      <c r="DZ68" s="42">
        <v>0</v>
      </c>
      <c r="EA68" s="42">
        <v>-5.9662852436304093E-16</v>
      </c>
      <c r="EB68" s="42">
        <f t="shared" si="31"/>
        <v>3.870809450745582E-15</v>
      </c>
      <c r="EC68" s="45"/>
      <c r="ED68" s="42">
        <v>0</v>
      </c>
      <c r="EE68" s="42">
        <v>-3.7289282772690058E-17</v>
      </c>
      <c r="EF68" s="42">
        <v>0</v>
      </c>
      <c r="EG68" s="42">
        <v>0</v>
      </c>
      <c r="EH68" s="42">
        <v>0</v>
      </c>
      <c r="EI68" s="42">
        <v>0</v>
      </c>
      <c r="EJ68" s="42">
        <v>0</v>
      </c>
      <c r="EK68" s="42">
        <v>0</v>
      </c>
      <c r="EL68" s="42">
        <v>0</v>
      </c>
      <c r="EM68" s="42"/>
      <c r="EN68" s="42">
        <v>0</v>
      </c>
      <c r="EO68" s="42">
        <v>0</v>
      </c>
      <c r="EP68" s="50">
        <f t="shared" si="11"/>
        <v>-3.7289282772690058E-17</v>
      </c>
      <c r="EQ68" s="50"/>
      <c r="ER68" s="42">
        <v>0</v>
      </c>
      <c r="ES68" s="42"/>
      <c r="ET68" s="179"/>
      <c r="EU68" s="42"/>
      <c r="EV68" s="183"/>
      <c r="EW68" s="183"/>
      <c r="EX68" s="183"/>
      <c r="EY68" s="183"/>
      <c r="EZ68" s="183"/>
      <c r="FA68" s="183"/>
      <c r="FB68" s="183"/>
      <c r="FC68" s="183"/>
      <c r="FD68" s="50">
        <f t="shared" si="12"/>
        <v>0</v>
      </c>
      <c r="FE68" s="138"/>
      <c r="FF68" s="196"/>
      <c r="FG68" s="50"/>
      <c r="FH68" s="196"/>
      <c r="FI68" s="196"/>
      <c r="FJ68" s="196"/>
      <c r="FK68" s="196"/>
      <c r="FL68" s="196"/>
      <c r="FM68" s="196"/>
      <c r="FN68" s="196"/>
      <c r="FO68" s="196"/>
      <c r="FP68" s="196"/>
      <c r="FQ68" s="196"/>
      <c r="FR68" s="50">
        <f t="shared" si="13"/>
        <v>0</v>
      </c>
      <c r="FS68" s="138"/>
      <c r="FT68" s="196"/>
      <c r="FU68" s="196"/>
      <c r="FV68" s="196"/>
      <c r="FW68" s="196"/>
      <c r="FX68" s="196"/>
      <c r="FY68" s="196"/>
      <c r="FZ68" s="196"/>
      <c r="GA68" s="196"/>
      <c r="GB68" s="196"/>
      <c r="GC68" s="196"/>
      <c r="GD68" s="196"/>
      <c r="GE68" s="196"/>
      <c r="GF68" s="50">
        <f t="shared" si="14"/>
        <v>0</v>
      </c>
      <c r="GG68" s="138"/>
      <c r="GH68" s="196"/>
      <c r="GI68" s="196"/>
      <c r="GJ68" s="196"/>
      <c r="GK68" s="196"/>
      <c r="GL68" s="196"/>
      <c r="GM68" s="196"/>
      <c r="GN68" s="196"/>
      <c r="GO68" s="196"/>
      <c r="GP68" s="196"/>
      <c r="GQ68" s="196"/>
      <c r="GR68" s="196"/>
      <c r="GS68" s="196"/>
      <c r="GT68" s="50">
        <f t="shared" si="15"/>
        <v>0</v>
      </c>
      <c r="GU68" s="138"/>
      <c r="GV68" s="196"/>
      <c r="GW68" s="196"/>
      <c r="GX68" s="196"/>
      <c r="GY68" s="196"/>
      <c r="GZ68" s="196"/>
      <c r="HA68" s="196"/>
      <c r="HB68" s="196"/>
      <c r="HC68" s="196"/>
      <c r="HD68" s="196"/>
      <c r="HE68" s="196"/>
      <c r="HF68" s="196"/>
      <c r="HG68" s="196"/>
      <c r="HH68" s="138">
        <f t="shared" si="6"/>
        <v>0</v>
      </c>
      <c r="HI68" s="196"/>
      <c r="HJ68" s="196"/>
      <c r="HK68" s="196"/>
      <c r="HL68" s="196"/>
      <c r="HM68" s="196"/>
      <c r="HN68" s="196"/>
      <c r="HO68" s="196"/>
      <c r="HP68" s="196"/>
      <c r="HQ68" s="196"/>
      <c r="HR68" s="196"/>
      <c r="HS68" s="196"/>
      <c r="HT68" s="196"/>
      <c r="HU68" s="276">
        <f t="shared" si="16"/>
        <v>0</v>
      </c>
      <c r="HV68" s="276">
        <f t="shared" si="17"/>
        <v>0</v>
      </c>
      <c r="HW68" s="280">
        <f t="shared" si="18"/>
        <v>0</v>
      </c>
      <c r="HX68" s="280"/>
    </row>
    <row r="69" spans="1:233" s="12" customFormat="1" ht="21" hidden="1" customHeight="1">
      <c r="A69" s="314" t="s">
        <v>102</v>
      </c>
      <c r="B69" s="13" t="s">
        <v>174</v>
      </c>
      <c r="C69" s="313" t="s">
        <v>175</v>
      </c>
      <c r="D69" s="44" t="s">
        <v>46</v>
      </c>
      <c r="E69" s="44" t="s">
        <v>46</v>
      </c>
      <c r="F69" s="44" t="s">
        <v>46</v>
      </c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>
        <v>0</v>
      </c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>
        <v>0</v>
      </c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 t="s">
        <v>46</v>
      </c>
      <c r="AW69" s="44">
        <v>0</v>
      </c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5"/>
      <c r="BK69" s="42"/>
      <c r="BL69" s="42"/>
      <c r="BM69" s="42">
        <v>0</v>
      </c>
      <c r="BN69" s="42">
        <v>0</v>
      </c>
      <c r="BO69" s="42">
        <v>0</v>
      </c>
      <c r="BP69" s="42">
        <v>0</v>
      </c>
      <c r="BQ69" s="42">
        <v>0</v>
      </c>
      <c r="BR69" s="42">
        <v>0</v>
      </c>
      <c r="BS69" s="42">
        <v>0</v>
      </c>
      <c r="BT69" s="42">
        <v>0</v>
      </c>
      <c r="BU69" s="42">
        <v>0</v>
      </c>
      <c r="BV69" s="42">
        <v>0</v>
      </c>
      <c r="BW69" s="42">
        <v>0</v>
      </c>
      <c r="BX69" s="45">
        <f t="shared" si="4"/>
        <v>0</v>
      </c>
      <c r="BY69" s="45"/>
      <c r="BZ69" s="45">
        <v>0</v>
      </c>
      <c r="CA69" s="45">
        <v>0</v>
      </c>
      <c r="CB69" s="45">
        <v>0</v>
      </c>
      <c r="CC69" s="45">
        <v>0</v>
      </c>
      <c r="CD69" s="45">
        <v>0</v>
      </c>
      <c r="CE69" s="139">
        <v>0</v>
      </c>
      <c r="CF69" s="45">
        <v>0</v>
      </c>
      <c r="CG69" s="45">
        <v>0</v>
      </c>
      <c r="CH69" s="45">
        <v>0</v>
      </c>
      <c r="CI69" s="45">
        <v>0</v>
      </c>
      <c r="CJ69" s="45">
        <v>0</v>
      </c>
      <c r="CK69" s="45">
        <v>0</v>
      </c>
      <c r="CL69" s="45">
        <f t="shared" si="5"/>
        <v>0</v>
      </c>
      <c r="CM69" s="45"/>
      <c r="CN69" s="45">
        <v>0</v>
      </c>
      <c r="CO69" s="45">
        <v>0</v>
      </c>
      <c r="CP69" s="45">
        <v>0</v>
      </c>
      <c r="CQ69" s="45">
        <v>0</v>
      </c>
      <c r="CR69" s="45">
        <v>0</v>
      </c>
      <c r="CS69" s="45">
        <v>0</v>
      </c>
      <c r="CT69" s="45">
        <v>0</v>
      </c>
      <c r="CU69" s="45">
        <v>0</v>
      </c>
      <c r="CV69" s="45">
        <v>0</v>
      </c>
      <c r="CW69" s="45">
        <v>0</v>
      </c>
      <c r="CX69" s="45">
        <v>0</v>
      </c>
      <c r="CY69" s="45">
        <v>0</v>
      </c>
      <c r="CZ69" s="45">
        <f t="shared" si="9"/>
        <v>0</v>
      </c>
      <c r="DA69" s="45"/>
      <c r="DB69" s="45">
        <v>0</v>
      </c>
      <c r="DC69" s="45">
        <v>0</v>
      </c>
      <c r="DD69" s="45">
        <v>0</v>
      </c>
      <c r="DE69" s="45">
        <v>0</v>
      </c>
      <c r="DF69" s="45">
        <v>0</v>
      </c>
      <c r="DG69" s="45">
        <v>0</v>
      </c>
      <c r="DH69" s="45">
        <v>0</v>
      </c>
      <c r="DI69" s="45">
        <v>0</v>
      </c>
      <c r="DJ69" s="45">
        <v>0</v>
      </c>
      <c r="DK69" s="45">
        <v>0</v>
      </c>
      <c r="DL69" s="45">
        <v>0</v>
      </c>
      <c r="DM69" s="45">
        <v>0</v>
      </c>
      <c r="DN69" s="45">
        <f t="shared" si="20"/>
        <v>0</v>
      </c>
      <c r="DO69" s="45"/>
      <c r="DP69" s="42">
        <v>0</v>
      </c>
      <c r="DQ69" s="42">
        <v>3.3469405025243759E-16</v>
      </c>
      <c r="DR69" s="42">
        <v>0</v>
      </c>
      <c r="DS69" s="42">
        <v>0</v>
      </c>
      <c r="DT69" s="42">
        <v>0</v>
      </c>
      <c r="DU69" s="42">
        <v>0</v>
      </c>
      <c r="DV69" s="42">
        <v>0</v>
      </c>
      <c r="DW69" s="42">
        <v>0</v>
      </c>
      <c r="DX69" s="42">
        <v>0</v>
      </c>
      <c r="DY69" s="42">
        <v>0</v>
      </c>
      <c r="DZ69" s="42">
        <v>0</v>
      </c>
      <c r="EA69" s="42">
        <v>0</v>
      </c>
      <c r="EB69" s="42">
        <f t="shared" si="31"/>
        <v>3.3469405025243759E-16</v>
      </c>
      <c r="EC69" s="45"/>
      <c r="ED69" s="42">
        <v>-2.9103830456733702E-17</v>
      </c>
      <c r="EE69" s="42">
        <v>-1.8626451492309569E-15</v>
      </c>
      <c r="EF69" s="42">
        <v>0</v>
      </c>
      <c r="EG69" s="42">
        <v>0</v>
      </c>
      <c r="EH69" s="42">
        <v>0</v>
      </c>
      <c r="EI69" s="42">
        <v>0</v>
      </c>
      <c r="EJ69" s="42">
        <v>0</v>
      </c>
      <c r="EK69" s="42">
        <v>-3.5652192309498786E-16</v>
      </c>
      <c r="EL69" s="42">
        <v>-8.3673512563109398E-17</v>
      </c>
      <c r="EM69" s="42">
        <v>0</v>
      </c>
      <c r="EN69" s="42">
        <v>0</v>
      </c>
      <c r="EO69" s="42">
        <v>1.8917489796876906E-16</v>
      </c>
      <c r="EP69" s="50">
        <f t="shared" si="11"/>
        <v>-2.1427695173770189E-15</v>
      </c>
      <c r="EQ69" s="50"/>
      <c r="ER69" s="42">
        <v>0</v>
      </c>
      <c r="ES69" s="42">
        <v>0</v>
      </c>
      <c r="ET69" s="42">
        <v>0</v>
      </c>
      <c r="EU69" s="42">
        <v>1.8626451492309569E-15</v>
      </c>
      <c r="EV69" s="42">
        <v>7.4505805969238278E-15</v>
      </c>
      <c r="EW69" s="42">
        <v>2.3283064365386962E-16</v>
      </c>
      <c r="EX69" s="42">
        <v>9.3132257461547847E-16</v>
      </c>
      <c r="EY69" s="42">
        <v>2.1173036657273771E-15</v>
      </c>
      <c r="EZ69" s="42">
        <v>-7.5669959187507625E-16</v>
      </c>
      <c r="FA69" s="42">
        <v>-5.8207660913467412E-16</v>
      </c>
      <c r="FB69" s="42"/>
      <c r="FC69" s="42"/>
      <c r="FD69" s="50">
        <f t="shared" si="12"/>
        <v>1.125590642914176E-14</v>
      </c>
      <c r="FE69" s="50"/>
      <c r="FF69" s="45"/>
      <c r="FG69" s="50"/>
      <c r="FH69" s="45"/>
      <c r="FI69" s="45"/>
      <c r="FJ69" s="45"/>
      <c r="FK69" s="45"/>
      <c r="FL69" s="45"/>
      <c r="FM69" s="45"/>
      <c r="FN69" s="45"/>
      <c r="FO69" s="45"/>
      <c r="FP69" s="45"/>
      <c r="FQ69" s="45"/>
      <c r="FR69" s="50">
        <f t="shared" si="13"/>
        <v>0</v>
      </c>
      <c r="FS69" s="50"/>
      <c r="FT69" s="45"/>
      <c r="FU69" s="45"/>
      <c r="FV69" s="45"/>
      <c r="FW69" s="45"/>
      <c r="FX69" s="45"/>
      <c r="FY69" s="45"/>
      <c r="FZ69" s="45"/>
      <c r="GA69" s="45"/>
      <c r="GB69" s="45"/>
      <c r="GC69" s="45"/>
      <c r="GD69" s="45"/>
      <c r="GE69" s="45"/>
      <c r="GF69" s="50">
        <f t="shared" si="14"/>
        <v>0</v>
      </c>
      <c r="GG69" s="50"/>
      <c r="GH69" s="45"/>
      <c r="GI69" s="45"/>
      <c r="GJ69" s="45"/>
      <c r="GK69" s="45"/>
      <c r="GL69" s="45"/>
      <c r="GM69" s="45"/>
      <c r="GN69" s="45"/>
      <c r="GO69" s="45"/>
      <c r="GP69" s="45"/>
      <c r="GQ69" s="45"/>
      <c r="GR69" s="45"/>
      <c r="GS69" s="45"/>
      <c r="GT69" s="50">
        <f t="shared" si="15"/>
        <v>0</v>
      </c>
      <c r="GU69" s="50"/>
      <c r="GV69" s="45"/>
      <c r="GW69" s="45"/>
      <c r="GX69" s="45"/>
      <c r="GY69" s="45"/>
      <c r="GZ69" s="45"/>
      <c r="HA69" s="45"/>
      <c r="HB69" s="45"/>
      <c r="HC69" s="45"/>
      <c r="HD69" s="45"/>
      <c r="HE69" s="45"/>
      <c r="HF69" s="45"/>
      <c r="HG69" s="45"/>
      <c r="HH69" s="50">
        <f t="shared" si="6"/>
        <v>0</v>
      </c>
      <c r="HI69" s="45"/>
      <c r="HJ69" s="45"/>
      <c r="HK69" s="45"/>
      <c r="HL69" s="45"/>
      <c r="HM69" s="45"/>
      <c r="HN69" s="45"/>
      <c r="HO69" s="45"/>
      <c r="HP69" s="45"/>
      <c r="HQ69" s="45"/>
      <c r="HR69" s="45"/>
      <c r="HS69" s="45"/>
      <c r="HT69" s="45"/>
      <c r="HU69" s="276">
        <f t="shared" si="16"/>
        <v>0</v>
      </c>
      <c r="HV69" s="276">
        <f t="shared" si="17"/>
        <v>0</v>
      </c>
      <c r="HW69" s="280">
        <f t="shared" si="18"/>
        <v>0</v>
      </c>
      <c r="HX69" s="280"/>
    </row>
    <row r="70" spans="1:233" s="12" customFormat="1" ht="21" hidden="1" customHeight="1">
      <c r="A70" s="314" t="s">
        <v>108</v>
      </c>
      <c r="B70" s="13">
        <v>9800</v>
      </c>
      <c r="C70" s="313" t="s">
        <v>176</v>
      </c>
      <c r="D70" s="44" t="s">
        <v>46</v>
      </c>
      <c r="E70" s="44" t="s">
        <v>46</v>
      </c>
      <c r="F70" s="44" t="s">
        <v>46</v>
      </c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>
        <v>0</v>
      </c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>
        <v>0</v>
      </c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 t="s">
        <v>46</v>
      </c>
      <c r="AW70" s="44">
        <v>0</v>
      </c>
      <c r="AX70" s="42"/>
      <c r="AY70" s="42"/>
      <c r="AZ70" s="42"/>
      <c r="BA70" s="42"/>
      <c r="BB70" s="42"/>
      <c r="BC70" s="42"/>
      <c r="BD70" s="42"/>
      <c r="BE70" s="42">
        <v>1.5006899999976159E-3</v>
      </c>
      <c r="BF70" s="42"/>
      <c r="BG70" s="42">
        <v>-1.4999999999998255E-3</v>
      </c>
      <c r="BH70" s="42"/>
      <c r="BI70" s="42"/>
      <c r="BJ70" s="45">
        <f>SUM(AX70:BI70)</f>
        <v>6.8999999779041817E-7</v>
      </c>
      <c r="BK70" s="42"/>
      <c r="BL70" s="42"/>
      <c r="BM70" s="42">
        <v>0</v>
      </c>
      <c r="BN70" s="42">
        <v>0</v>
      </c>
      <c r="BO70" s="42">
        <v>0</v>
      </c>
      <c r="BP70" s="42">
        <v>0</v>
      </c>
      <c r="BQ70" s="42">
        <v>4.6566128730773924E-16</v>
      </c>
      <c r="BR70" s="42">
        <v>-2.3283064365386962E-16</v>
      </c>
      <c r="BS70" s="42">
        <v>0</v>
      </c>
      <c r="BT70" s="42">
        <v>0</v>
      </c>
      <c r="BU70" s="42">
        <v>0</v>
      </c>
      <c r="BV70" s="42">
        <v>2.3283064365386962E-16</v>
      </c>
      <c r="BW70" s="42">
        <v>0</v>
      </c>
      <c r="BX70" s="45">
        <f t="shared" si="4"/>
        <v>4.6566128730773924E-16</v>
      </c>
      <c r="BY70" s="45"/>
      <c r="BZ70" s="45">
        <v>0</v>
      </c>
      <c r="CA70" s="45">
        <v>0</v>
      </c>
      <c r="CB70" s="45">
        <v>0</v>
      </c>
      <c r="CC70" s="45">
        <v>0</v>
      </c>
      <c r="CD70" s="45">
        <v>0</v>
      </c>
      <c r="CE70" s="139">
        <v>0</v>
      </c>
      <c r="CF70" s="45">
        <v>0</v>
      </c>
      <c r="CG70" s="45">
        <v>0</v>
      </c>
      <c r="CH70" s="45">
        <v>0</v>
      </c>
      <c r="CI70" s="45">
        <v>0</v>
      </c>
      <c r="CJ70" s="45">
        <v>0</v>
      </c>
      <c r="CK70" s="45">
        <v>0</v>
      </c>
      <c r="CL70" s="45">
        <f t="shared" si="5"/>
        <v>0</v>
      </c>
      <c r="CM70" s="45"/>
      <c r="CN70" s="45">
        <v>0</v>
      </c>
      <c r="CO70" s="45">
        <v>0</v>
      </c>
      <c r="CP70" s="45">
        <v>0</v>
      </c>
      <c r="CQ70" s="45">
        <v>0</v>
      </c>
      <c r="CR70" s="45">
        <v>0</v>
      </c>
      <c r="CS70" s="45">
        <v>0</v>
      </c>
      <c r="CT70" s="45">
        <v>0</v>
      </c>
      <c r="CU70" s="45">
        <v>0</v>
      </c>
      <c r="CV70" s="45">
        <v>4.5474735088646416E-18</v>
      </c>
      <c r="CW70" s="45">
        <v>0</v>
      </c>
      <c r="CX70" s="45">
        <v>0</v>
      </c>
      <c r="CY70" s="45">
        <v>-2.3283064365386962E-16</v>
      </c>
      <c r="CZ70" s="45">
        <f t="shared" si="9"/>
        <v>-2.2828317014500497E-16</v>
      </c>
      <c r="DA70" s="45"/>
      <c r="DB70" s="45">
        <v>0</v>
      </c>
      <c r="DC70" s="45">
        <v>0</v>
      </c>
      <c r="DD70" s="45">
        <v>0</v>
      </c>
      <c r="DE70" s="45">
        <v>0</v>
      </c>
      <c r="DF70" s="45">
        <v>3.6379788070917131E-16</v>
      </c>
      <c r="DG70" s="45">
        <v>0</v>
      </c>
      <c r="DH70" s="45">
        <v>0</v>
      </c>
      <c r="DI70" s="45">
        <v>0</v>
      </c>
      <c r="DJ70" s="45">
        <v>0</v>
      </c>
      <c r="DK70" s="45">
        <v>0</v>
      </c>
      <c r="DL70" s="45">
        <v>0</v>
      </c>
      <c r="DM70" s="45">
        <v>0</v>
      </c>
      <c r="DN70" s="45">
        <f t="shared" si="20"/>
        <v>3.6379788070917131E-16</v>
      </c>
      <c r="DO70" s="45"/>
      <c r="DP70" s="42">
        <v>0</v>
      </c>
      <c r="DQ70" s="42">
        <v>-2.3283064365386965E-15</v>
      </c>
      <c r="DR70" s="42">
        <v>-4.4237822294235232E-15</v>
      </c>
      <c r="DS70" s="42">
        <v>5.2386894822120668E-16</v>
      </c>
      <c r="DT70" s="42">
        <v>0</v>
      </c>
      <c r="DU70" s="42">
        <v>7.4578565545380116E-17</v>
      </c>
      <c r="DV70" s="42">
        <v>0</v>
      </c>
      <c r="DW70" s="42">
        <v>-9.276845958083868E-17</v>
      </c>
      <c r="DX70" s="42">
        <v>0</v>
      </c>
      <c r="DY70" s="42">
        <v>2.6193447411060334E-16</v>
      </c>
      <c r="DZ70" s="42">
        <v>-1.4551915228366851E-17</v>
      </c>
      <c r="EA70" s="42">
        <v>-1.1641532182693481E-16</v>
      </c>
      <c r="EB70" s="42">
        <f t="shared" si="31"/>
        <v>-6.1154423747211694E-15</v>
      </c>
      <c r="EC70" s="45"/>
      <c r="ED70" s="42">
        <v>0</v>
      </c>
      <c r="EE70" s="42">
        <v>-3.7289282772690058E-17</v>
      </c>
      <c r="EF70" s="42">
        <v>0</v>
      </c>
      <c r="EG70" s="42">
        <v>0</v>
      </c>
      <c r="EH70" s="42">
        <v>0</v>
      </c>
      <c r="EI70" s="42">
        <v>0</v>
      </c>
      <c r="EJ70" s="42">
        <v>0</v>
      </c>
      <c r="EK70" s="42">
        <v>0</v>
      </c>
      <c r="EL70" s="42">
        <v>-2.2555468603968621E-16</v>
      </c>
      <c r="EM70" s="42">
        <v>0</v>
      </c>
      <c r="EN70" s="42">
        <v>-2.3283064365386962E-16</v>
      </c>
      <c r="EO70" s="42">
        <v>-2.7939677238464356E-15</v>
      </c>
      <c r="EP70" s="50">
        <f t="shared" si="11"/>
        <v>-3.2896423363126814E-15</v>
      </c>
      <c r="EQ70" s="50"/>
      <c r="ER70" s="42">
        <v>-9.3132257461547847E-16</v>
      </c>
      <c r="ES70" s="42">
        <v>0</v>
      </c>
      <c r="ET70" s="42">
        <v>0</v>
      </c>
      <c r="EU70" s="42">
        <v>0</v>
      </c>
      <c r="EV70" s="42">
        <v>0</v>
      </c>
      <c r="EW70" s="42">
        <v>0</v>
      </c>
      <c r="EX70" s="42">
        <v>0</v>
      </c>
      <c r="EY70" s="42">
        <v>0</v>
      </c>
      <c r="EZ70" s="42">
        <v>0</v>
      </c>
      <c r="FA70" s="42">
        <v>0</v>
      </c>
      <c r="FB70" s="42">
        <v>-1.0186340659856795E-15</v>
      </c>
      <c r="FC70" s="42">
        <v>-1.7898855730891229E-15</v>
      </c>
      <c r="FD70" s="50">
        <f t="shared" si="12"/>
        <v>-3.7398422136902811E-15</v>
      </c>
      <c r="FE70" s="50"/>
      <c r="FF70" s="45"/>
      <c r="FG70" s="45"/>
      <c r="FH70" s="45"/>
      <c r="FI70" s="45"/>
      <c r="FJ70" s="45"/>
      <c r="FK70" s="45"/>
      <c r="FL70" s="45"/>
      <c r="FM70" s="45"/>
      <c r="FN70" s="45"/>
      <c r="FO70" s="45"/>
      <c r="FP70" s="45"/>
      <c r="FQ70" s="45"/>
      <c r="FR70" s="50">
        <f t="shared" si="13"/>
        <v>0</v>
      </c>
      <c r="FS70" s="50"/>
      <c r="FT70" s="45"/>
      <c r="FU70" s="45"/>
      <c r="FV70" s="45"/>
      <c r="FW70" s="45"/>
      <c r="FX70" s="45"/>
      <c r="FY70" s="45"/>
      <c r="FZ70" s="45"/>
      <c r="GA70" s="45"/>
      <c r="GB70" s="45"/>
      <c r="GC70" s="45"/>
      <c r="GD70" s="45"/>
      <c r="GE70" s="45"/>
      <c r="GF70" s="50">
        <f t="shared" si="14"/>
        <v>0</v>
      </c>
      <c r="GG70" s="50"/>
      <c r="GH70" s="45"/>
      <c r="GI70" s="45"/>
      <c r="GJ70" s="45"/>
      <c r="GK70" s="45"/>
      <c r="GL70" s="45"/>
      <c r="GM70" s="45"/>
      <c r="GN70" s="45"/>
      <c r="GO70" s="45"/>
      <c r="GP70" s="45"/>
      <c r="GQ70" s="45"/>
      <c r="GR70" s="45"/>
      <c r="GS70" s="45"/>
      <c r="GT70" s="50">
        <f t="shared" si="15"/>
        <v>0</v>
      </c>
      <c r="GU70" s="50"/>
      <c r="GV70" s="45"/>
      <c r="GW70" s="45"/>
      <c r="GX70" s="45"/>
      <c r="GY70" s="45"/>
      <c r="GZ70" s="45"/>
      <c r="HA70" s="45"/>
      <c r="HB70" s="45"/>
      <c r="HC70" s="45"/>
      <c r="HD70" s="45"/>
      <c r="HE70" s="45"/>
      <c r="HF70" s="45"/>
      <c r="HG70" s="45"/>
      <c r="HH70" s="50">
        <f t="shared" si="6"/>
        <v>0</v>
      </c>
      <c r="HI70" s="45"/>
      <c r="HJ70" s="45"/>
      <c r="HK70" s="45"/>
      <c r="HL70" s="45"/>
      <c r="HM70" s="45"/>
      <c r="HN70" s="45"/>
      <c r="HO70" s="45"/>
      <c r="HP70" s="45"/>
      <c r="HQ70" s="45"/>
      <c r="HR70" s="45"/>
      <c r="HS70" s="45"/>
      <c r="HT70" s="45"/>
      <c r="HU70" s="276">
        <f t="shared" si="16"/>
        <v>0</v>
      </c>
      <c r="HV70" s="276">
        <f t="shared" si="17"/>
        <v>0</v>
      </c>
      <c r="HW70" s="280">
        <f t="shared" si="18"/>
        <v>0</v>
      </c>
      <c r="HX70" s="280"/>
    </row>
    <row r="71" spans="1:233" s="12" customFormat="1" ht="21" hidden="1" customHeight="1">
      <c r="A71" s="314" t="s">
        <v>105</v>
      </c>
      <c r="B71" s="13">
        <v>9200</v>
      </c>
      <c r="C71" s="56" t="s">
        <v>177</v>
      </c>
      <c r="D71" s="44" t="s">
        <v>46</v>
      </c>
      <c r="E71" s="44" t="s">
        <v>46</v>
      </c>
      <c r="F71" s="44" t="s">
        <v>46</v>
      </c>
      <c r="G71" s="44"/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0.20321739773820299</v>
      </c>
      <c r="T71" s="44">
        <v>0</v>
      </c>
      <c r="U71" s="44"/>
      <c r="V71" s="44"/>
      <c r="W71" s="44"/>
      <c r="X71" s="44"/>
      <c r="Y71" s="44">
        <v>3.5379199999980627E-3</v>
      </c>
      <c r="Z71" s="44">
        <v>-3.5379199999995762E-3</v>
      </c>
      <c r="AA71" s="44"/>
      <c r="AB71" s="44"/>
      <c r="AC71" s="44"/>
      <c r="AD71" s="44"/>
      <c r="AE71" s="44"/>
      <c r="AF71" s="44"/>
      <c r="AG71" s="44"/>
      <c r="AH71" s="44">
        <v>0</v>
      </c>
      <c r="AI71" s="44">
        <v>0.34437187323908824</v>
      </c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 t="s">
        <v>46</v>
      </c>
      <c r="AW71" s="44">
        <v>0</v>
      </c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5"/>
      <c r="BK71" s="42"/>
      <c r="BL71" s="42"/>
      <c r="BM71" s="42">
        <v>6.984919309616089E-16</v>
      </c>
      <c r="BN71" s="42">
        <v>-3.4924596548080445E-16</v>
      </c>
      <c r="BO71" s="42">
        <v>9.3132257461547847E-16</v>
      </c>
      <c r="BP71" s="42">
        <v>0</v>
      </c>
      <c r="BQ71" s="42">
        <v>2.3283064365386962E-16</v>
      </c>
      <c r="BR71" s="42">
        <v>9.3132257461547847E-16</v>
      </c>
      <c r="BS71" s="42">
        <v>-1.1641532182693481E-16</v>
      </c>
      <c r="BT71" s="42">
        <v>-2.3283064365386962E-16</v>
      </c>
      <c r="BU71" s="42">
        <v>0</v>
      </c>
      <c r="BV71" s="42">
        <v>1.3387762010097504E-15</v>
      </c>
      <c r="BW71" s="42">
        <v>9.3132257461547847E-16</v>
      </c>
      <c r="BX71" s="45">
        <f t="shared" si="4"/>
        <v>4.3655745685100552E-15</v>
      </c>
      <c r="BY71" s="45"/>
      <c r="BZ71" s="45">
        <v>0</v>
      </c>
      <c r="CA71" s="45">
        <v>-1.1641532182693481E-16</v>
      </c>
      <c r="CB71" s="45">
        <v>-3.7289282772690058E-17</v>
      </c>
      <c r="CC71" s="45">
        <v>-4.6566128730773924E-16</v>
      </c>
      <c r="CD71" s="45">
        <v>2.3283064365386962E-16</v>
      </c>
      <c r="CE71" s="139">
        <v>0</v>
      </c>
      <c r="CF71" s="45">
        <v>0</v>
      </c>
      <c r="CG71" s="45">
        <v>0</v>
      </c>
      <c r="CH71" s="45">
        <v>0</v>
      </c>
      <c r="CI71" s="45">
        <v>-4.9112713895738123E-17</v>
      </c>
      <c r="CJ71" s="45">
        <v>0</v>
      </c>
      <c r="CK71" s="45">
        <v>0</v>
      </c>
      <c r="CL71" s="45">
        <f t="shared" si="5"/>
        <v>-4.3564796214923261E-16</v>
      </c>
      <c r="CM71" s="45"/>
      <c r="CN71" s="45">
        <v>-5.8207660913467405E-17</v>
      </c>
      <c r="CO71" s="45">
        <v>-2.9103830456733702E-17</v>
      </c>
      <c r="CP71" s="45">
        <v>-4.6566128730773924E-16</v>
      </c>
      <c r="CQ71" s="45">
        <v>0</v>
      </c>
      <c r="CR71" s="45">
        <v>-6.984919309616089E-16</v>
      </c>
      <c r="CS71" s="45">
        <v>2.3283064365386962E-16</v>
      </c>
      <c r="CT71" s="45">
        <v>0</v>
      </c>
      <c r="CU71" s="45">
        <v>-1.3969838619232178E-15</v>
      </c>
      <c r="CV71" s="45">
        <v>2.6193447411060335E-15</v>
      </c>
      <c r="CW71" s="45">
        <v>0</v>
      </c>
      <c r="CX71" s="45">
        <v>-4.6566128730773924E-16</v>
      </c>
      <c r="CY71" s="45">
        <v>0</v>
      </c>
      <c r="CZ71" s="45">
        <f t="shared" si="9"/>
        <v>-2.6193447411060349E-16</v>
      </c>
      <c r="DA71" s="45"/>
      <c r="DB71" s="45">
        <v>0</v>
      </c>
      <c r="DC71" s="45">
        <v>9.3132257461547847E-16</v>
      </c>
      <c r="DD71" s="45">
        <v>0</v>
      </c>
      <c r="DE71" s="45">
        <v>0</v>
      </c>
      <c r="DF71" s="45">
        <v>-4.6566128730773924E-16</v>
      </c>
      <c r="DG71" s="45">
        <v>-2.3283064365386962E-16</v>
      </c>
      <c r="DH71" s="45">
        <v>-2.3283064365386965E-15</v>
      </c>
      <c r="DI71" s="45">
        <v>4.1909515857696534E-15</v>
      </c>
      <c r="DJ71" s="45">
        <v>-1.6298145055770874E-15</v>
      </c>
      <c r="DK71" s="45">
        <v>2.5611370801925659E-15</v>
      </c>
      <c r="DL71" s="45">
        <v>-3.9581209421157837E-15</v>
      </c>
      <c r="DM71" s="45">
        <v>2.3283064365386965E-15</v>
      </c>
      <c r="DN71" s="45">
        <f t="shared" si="20"/>
        <v>1.3969838619232182E-15</v>
      </c>
      <c r="DO71" s="45"/>
      <c r="DP71" s="42">
        <v>0</v>
      </c>
      <c r="DQ71" s="42">
        <v>0</v>
      </c>
      <c r="DR71" s="42">
        <v>0</v>
      </c>
      <c r="DS71" s="42">
        <v>4.6566128730773924E-16</v>
      </c>
      <c r="DT71" s="42">
        <v>9.3132257461547847E-16</v>
      </c>
      <c r="DU71" s="42">
        <v>4.0017766878008845E-15</v>
      </c>
      <c r="DV71" s="42">
        <v>1.8626451492309569E-15</v>
      </c>
      <c r="DW71" s="42">
        <v>0</v>
      </c>
      <c r="DX71" s="42">
        <v>-1.1641532182693482E-15</v>
      </c>
      <c r="DY71" s="42">
        <v>-1.6298145055770874E-15</v>
      </c>
      <c r="DZ71" s="42">
        <v>0</v>
      </c>
      <c r="EA71" s="42">
        <v>-5.9662852436304093E-16</v>
      </c>
      <c r="EB71" s="42">
        <f t="shared" si="31"/>
        <v>3.870809450745582E-15</v>
      </c>
      <c r="EC71" s="45"/>
      <c r="ED71" s="42">
        <v>0</v>
      </c>
      <c r="EE71" s="42">
        <v>-1.8626451492309569E-15</v>
      </c>
      <c r="EF71" s="166">
        <v>0</v>
      </c>
      <c r="EG71" s="166">
        <v>0</v>
      </c>
      <c r="EH71" s="166">
        <v>0</v>
      </c>
      <c r="EI71" s="42">
        <v>0</v>
      </c>
      <c r="EJ71" s="42">
        <v>0</v>
      </c>
      <c r="EK71" s="42">
        <v>-3.5652192309498786E-16</v>
      </c>
      <c r="EL71" s="42">
        <v>0</v>
      </c>
      <c r="EN71" s="42">
        <v>0</v>
      </c>
      <c r="EO71" s="42">
        <v>-4.9912999999999999E-2</v>
      </c>
      <c r="EP71" s="50">
        <f t="shared" si="11"/>
        <v>-4.9913000000002219E-2</v>
      </c>
      <c r="EQ71" s="50"/>
      <c r="ER71" s="42">
        <v>0</v>
      </c>
      <c r="ES71" s="42">
        <v>0</v>
      </c>
      <c r="ET71" s="42">
        <v>0</v>
      </c>
      <c r="EU71" s="42">
        <v>0</v>
      </c>
      <c r="EV71" s="42">
        <v>0</v>
      </c>
      <c r="EW71" s="42">
        <v>0</v>
      </c>
      <c r="EX71" s="42">
        <v>4.0927261579781772E-18</v>
      </c>
      <c r="EY71" s="42">
        <v>2.2555468603968621E-16</v>
      </c>
      <c r="EZ71" s="42">
        <v>1.1641532182693481E-16</v>
      </c>
      <c r="FA71" s="42">
        <v>2.4738255888223648E-16</v>
      </c>
      <c r="FB71" s="42">
        <v>0</v>
      </c>
      <c r="FC71" s="42">
        <v>0</v>
      </c>
      <c r="FD71" s="50">
        <f t="shared" si="12"/>
        <v>5.9344529290683565E-16</v>
      </c>
      <c r="FE71" s="50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50">
        <f t="shared" si="13"/>
        <v>0</v>
      </c>
      <c r="FS71" s="50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50">
        <f t="shared" si="14"/>
        <v>0</v>
      </c>
      <c r="GG71" s="50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50">
        <f t="shared" si="15"/>
        <v>0</v>
      </c>
      <c r="GU71" s="50"/>
      <c r="GV71" s="45"/>
      <c r="GW71" s="45"/>
      <c r="GX71" s="45"/>
      <c r="GY71" s="45"/>
      <c r="GZ71" s="45"/>
      <c r="HA71" s="45">
        <v>0</v>
      </c>
      <c r="HB71" s="45"/>
      <c r="HC71" s="45"/>
      <c r="HD71" s="45"/>
      <c r="HE71" s="45"/>
      <c r="HF71" s="45"/>
      <c r="HG71" s="45"/>
      <c r="HH71" s="50">
        <f t="shared" si="6"/>
        <v>0</v>
      </c>
      <c r="HI71" s="45"/>
      <c r="HJ71" s="45"/>
      <c r="HK71" s="45"/>
      <c r="HL71" s="45"/>
      <c r="HM71" s="45"/>
      <c r="HN71" s="45"/>
      <c r="HO71" s="45"/>
      <c r="HP71" s="45"/>
      <c r="HQ71" s="45"/>
      <c r="HR71" s="45"/>
      <c r="HS71" s="45"/>
      <c r="HT71" s="45"/>
      <c r="HU71" s="276">
        <f t="shared" si="16"/>
        <v>0</v>
      </c>
      <c r="HV71" s="276">
        <f t="shared" si="17"/>
        <v>0</v>
      </c>
      <c r="HW71" s="280">
        <f t="shared" si="18"/>
        <v>0</v>
      </c>
      <c r="HX71" s="280"/>
    </row>
    <row r="72" spans="1:233" s="12" customFormat="1" ht="20.25" hidden="1" customHeight="1">
      <c r="A72" s="42" t="s">
        <v>178</v>
      </c>
      <c r="B72" s="13" t="s">
        <v>94</v>
      </c>
      <c r="C72" s="42" t="s">
        <v>179</v>
      </c>
      <c r="D72" s="42">
        <v>8.0935794332417002E-2</v>
      </c>
      <c r="E72" s="42">
        <v>3.7619307801321562E-2</v>
      </c>
      <c r="F72" s="42">
        <v>0.34575642711196869</v>
      </c>
      <c r="G72" s="42">
        <v>0.30769602904935095</v>
      </c>
      <c r="H72" s="42">
        <v>1.0303014780792369E-2</v>
      </c>
      <c r="I72" s="42">
        <v>3.0420999311330048E-3</v>
      </c>
      <c r="J72" s="42">
        <v>1.6337414129686229E-2</v>
      </c>
      <c r="K72" s="42">
        <v>5.9722198507692038E-2</v>
      </c>
      <c r="L72" s="42">
        <v>0.11959664429912181</v>
      </c>
      <c r="M72" s="42">
        <v>-4.5160528397675599E-2</v>
      </c>
      <c r="N72" s="42">
        <v>9.3468449240471027E-3</v>
      </c>
      <c r="O72" s="42">
        <v>0.14654441352069711</v>
      </c>
      <c r="P72" s="42">
        <v>9.2113875276748552E-2</v>
      </c>
      <c r="Q72" s="42">
        <v>4.9356577367231827E-2</v>
      </c>
      <c r="R72" s="42">
        <v>2.2704765482268172E-2</v>
      </c>
      <c r="S72" s="42">
        <v>9.3357436781805454</v>
      </c>
      <c r="T72" s="42">
        <v>9.8196509980022881</v>
      </c>
      <c r="U72" s="42">
        <v>25.079524305496271</v>
      </c>
      <c r="V72" s="42">
        <v>1.2524117677190225E-2</v>
      </c>
      <c r="W72" s="42">
        <v>4.774446360575979E-2</v>
      </c>
      <c r="X72" s="42">
        <v>1.6520537735400652E-2</v>
      </c>
      <c r="Y72" s="42">
        <v>2.3360851675929148E-2</v>
      </c>
      <c r="Z72" s="42">
        <v>-7.498534442035049E-4</v>
      </c>
      <c r="AA72" s="42">
        <v>7.1674321717007869E-2</v>
      </c>
      <c r="AB72" s="42">
        <v>4.2045862004200317E-2</v>
      </c>
      <c r="AC72" s="42">
        <v>-0.20153892123737063</v>
      </c>
      <c r="AD72" s="42">
        <v>-4.740496637314187E-3</v>
      </c>
      <c r="AE72" s="42">
        <v>7.3277898247591086E-4</v>
      </c>
      <c r="AF72" s="42">
        <v>8.1815129111388097E-4</v>
      </c>
      <c r="AG72" s="42">
        <v>3.6736586587441167</v>
      </c>
      <c r="AH72" s="42">
        <v>-93.244566066783847</v>
      </c>
      <c r="AI72" s="42">
        <v>1.2978013784782102E-2</v>
      </c>
      <c r="AJ72" s="42">
        <v>4.8662215923643012E-4</v>
      </c>
      <c r="AK72" s="42">
        <v>9.5901560036653179E-4</v>
      </c>
      <c r="AL72" s="42">
        <v>1.2820075013801858E-3</v>
      </c>
      <c r="AM72" s="42">
        <v>1.7387493525933264E-3</v>
      </c>
      <c r="AN72" s="42">
        <v>8.3238000922020942E-4</v>
      </c>
      <c r="AO72" s="42">
        <v>2.3761959237568369E-3</v>
      </c>
      <c r="AP72" s="42">
        <v>0.21509553161336589</v>
      </c>
      <c r="AQ72" s="42">
        <v>7.896938549012242E-4</v>
      </c>
      <c r="AR72" s="42">
        <v>2.134307715949255E-3</v>
      </c>
      <c r="AS72" s="42">
        <v>4.8622489342690143</v>
      </c>
      <c r="AT72" s="42">
        <v>2.273749153391273E-3</v>
      </c>
      <c r="AU72" s="42">
        <v>0.17465324613974881</v>
      </c>
      <c r="AV72" s="42">
        <v>5.2648704332929235</v>
      </c>
      <c r="AW72" s="42">
        <v>2.1232093158263184E-2</v>
      </c>
      <c r="AX72" s="42">
        <v>1.2999999999999999E-5</v>
      </c>
      <c r="AY72" s="42">
        <v>3.3000000000005247E-5</v>
      </c>
      <c r="AZ72" s="42">
        <v>1.37E-4</v>
      </c>
      <c r="BA72" s="42">
        <v>6.4999999999999994E-5</v>
      </c>
      <c r="BB72" s="42">
        <v>6.8999999999999997E-5</v>
      </c>
      <c r="BC72" s="42">
        <v>6.7100000000008819E-4</v>
      </c>
      <c r="BD72" s="42">
        <v>2.6999999999999999E-5</v>
      </c>
      <c r="BE72" s="42">
        <v>7.8000000000022496E-5</v>
      </c>
      <c r="BF72" s="42">
        <v>6.9999999999999994E-5</v>
      </c>
      <c r="BG72" s="42">
        <v>9.5000000000000005E-5</v>
      </c>
      <c r="BH72" s="42">
        <v>3.5E-4</v>
      </c>
      <c r="BI72" s="42">
        <v>7.476E-3</v>
      </c>
      <c r="BJ72" s="45">
        <f>SUM(AX72:BI72)</f>
        <v>9.0840000000001163E-3</v>
      </c>
      <c r="BK72" s="42">
        <v>8.6689999999999996E-3</v>
      </c>
      <c r="BL72" s="42"/>
      <c r="BM72" s="42">
        <v>0</v>
      </c>
      <c r="BN72" s="42">
        <v>1.9999999999999999E-6</v>
      </c>
      <c r="BO72" s="42">
        <v>2.1499999999999999E-4</v>
      </c>
      <c r="BP72" s="42">
        <v>6.0000000000000002E-6</v>
      </c>
      <c r="BQ72" s="42">
        <v>1.02E-4</v>
      </c>
      <c r="BR72" s="42">
        <v>6.7000000000000002E-5</v>
      </c>
      <c r="BS72" s="42">
        <v>1.16E-4</v>
      </c>
      <c r="BT72" s="42">
        <v>0</v>
      </c>
      <c r="BU72" s="42">
        <v>7.6000000000000004E-5</v>
      </c>
      <c r="BV72" s="42">
        <v>2.0000000000000002E-5</v>
      </c>
      <c r="BW72" s="42">
        <v>2.0900000000000001E-4</v>
      </c>
      <c r="BX72" s="45">
        <f t="shared" si="4"/>
        <v>8.1300000000000003E-4</v>
      </c>
      <c r="BY72" s="45">
        <v>8.8199999999999997E-4</v>
      </c>
      <c r="BZ72" s="45">
        <v>0</v>
      </c>
      <c r="CA72" s="45">
        <v>4.8999999999999998E-5</v>
      </c>
      <c r="CB72" s="45">
        <v>9.9999999999999995E-7</v>
      </c>
      <c r="CC72" s="45">
        <v>1.5E-5</v>
      </c>
      <c r="CD72" s="45">
        <v>0</v>
      </c>
      <c r="CE72" s="139">
        <v>6.0000000000000002E-5</v>
      </c>
      <c r="CF72" s="45">
        <v>-4.3000000000000002E-5</v>
      </c>
      <c r="CG72" s="45">
        <v>-1.7E-5</v>
      </c>
      <c r="CH72" s="45">
        <v>2.5999999999999998E-5</v>
      </c>
      <c r="CI72" s="45">
        <v>2.3900000000000001E-4</v>
      </c>
      <c r="CJ72" s="45">
        <v>-2.3900000000000001E-4</v>
      </c>
      <c r="CK72" s="45">
        <v>1.9000000000000001E-5</v>
      </c>
      <c r="CL72" s="45">
        <f t="shared" si="5"/>
        <v>1.0999999999999999E-4</v>
      </c>
      <c r="CM72" s="45">
        <v>4.4856E-2</v>
      </c>
      <c r="CN72" s="45">
        <v>0</v>
      </c>
      <c r="CO72" s="45">
        <v>0</v>
      </c>
      <c r="CP72" s="45">
        <v>0</v>
      </c>
      <c r="CQ72" s="45">
        <v>0</v>
      </c>
      <c r="CR72" s="45">
        <v>9.9999999999999995E-7</v>
      </c>
      <c r="CS72" s="45">
        <v>-9.9999999999999995E-7</v>
      </c>
      <c r="CT72" s="45">
        <v>0</v>
      </c>
      <c r="CU72" s="45">
        <v>0</v>
      </c>
      <c r="CV72" s="45">
        <v>0</v>
      </c>
      <c r="CW72" s="45">
        <v>3.4999999999999997E-5</v>
      </c>
      <c r="CX72" s="45">
        <v>0</v>
      </c>
      <c r="CY72" s="45">
        <v>6.78E-4</v>
      </c>
      <c r="CZ72" s="45">
        <f t="shared" si="9"/>
        <v>7.1299999999999998E-4</v>
      </c>
      <c r="DA72" s="45">
        <v>5.0000000000000002E-5</v>
      </c>
      <c r="DB72" s="45">
        <v>0</v>
      </c>
      <c r="DC72" s="45">
        <v>0</v>
      </c>
      <c r="DD72" s="45">
        <v>0</v>
      </c>
      <c r="DE72" s="45">
        <v>2.0000000000000002E-5</v>
      </c>
      <c r="DF72" s="45">
        <v>0</v>
      </c>
      <c r="DG72" s="45">
        <v>1.27E-4</v>
      </c>
      <c r="DH72" s="45">
        <v>-1.1E-5</v>
      </c>
      <c r="DI72" s="45">
        <v>0</v>
      </c>
      <c r="DJ72" s="45">
        <v>0</v>
      </c>
      <c r="DK72" s="45">
        <v>7.6000000000000004E-5</v>
      </c>
      <c r="DL72" s="45">
        <v>9.9999999999999995E-7</v>
      </c>
      <c r="DM72" s="45">
        <v>4.1999999999999998E-5</v>
      </c>
      <c r="DN72" s="45">
        <f t="shared" si="20"/>
        <v>2.5500000000000002E-4</v>
      </c>
      <c r="DO72" s="45">
        <v>1.9269000000000001E-2</v>
      </c>
      <c r="DP72" s="166">
        <v>0</v>
      </c>
      <c r="DQ72" s="166">
        <v>0</v>
      </c>
      <c r="DR72" s="166">
        <v>0</v>
      </c>
      <c r="DS72" s="42">
        <v>0</v>
      </c>
      <c r="DT72" s="42">
        <v>9.9999999999999995E-7</v>
      </c>
      <c r="DU72" s="42">
        <v>0</v>
      </c>
      <c r="DV72" s="42">
        <v>0</v>
      </c>
      <c r="DW72" s="42">
        <v>0</v>
      </c>
      <c r="DX72" s="42">
        <v>5.1699999999999999E-4</v>
      </c>
      <c r="DY72" s="42">
        <v>4.7520000000000001E-3</v>
      </c>
      <c r="DZ72" s="42">
        <v>0.72238100000000005</v>
      </c>
      <c r="EA72" s="42">
        <v>0.12550800000000001</v>
      </c>
      <c r="EB72" s="42">
        <f t="shared" si="31"/>
        <v>0.853159</v>
      </c>
      <c r="EC72" s="45">
        <v>0.97037499999999999</v>
      </c>
      <c r="ED72" s="42">
        <v>0</v>
      </c>
      <c r="EE72" s="42">
        <v>1.9999999999999999E-6</v>
      </c>
      <c r="EF72" s="42">
        <v>4.9976E-2</v>
      </c>
      <c r="EG72" s="42"/>
      <c r="EH72" s="42"/>
      <c r="EI72" s="42">
        <v>-9.9999979138374325E-9</v>
      </c>
      <c r="EJ72" s="42">
        <v>4.1000000387430191E-7</v>
      </c>
      <c r="EK72" s="42">
        <v>0</v>
      </c>
      <c r="EL72" s="42"/>
      <c r="EM72" s="42">
        <v>1.4843E-2</v>
      </c>
      <c r="EN72" s="42"/>
      <c r="EO72" s="42">
        <v>-4.9912999999999999E-2</v>
      </c>
      <c r="EP72" s="50">
        <f t="shared" si="11"/>
        <v>1.4908400000005956E-2</v>
      </c>
      <c r="EQ72" s="50">
        <v>1.4999999999999999E-2</v>
      </c>
      <c r="ER72" s="42">
        <v>1.4845000000000001E-2</v>
      </c>
      <c r="ES72" s="42"/>
      <c r="ET72" s="42">
        <v>-1.9999988580821099E-6</v>
      </c>
      <c r="EU72" s="42">
        <v>5.1999999999999997E-5</v>
      </c>
      <c r="EV72" s="42"/>
      <c r="EW72" s="42">
        <v>-2.55000000834116E-4</v>
      </c>
      <c r="EX72" s="42">
        <v>1.46E-4</v>
      </c>
      <c r="EY72" s="42">
        <v>-2.8899999999999998E-4</v>
      </c>
      <c r="EZ72" s="42">
        <v>-1.4296E-2</v>
      </c>
      <c r="FA72" s="42"/>
      <c r="FB72" s="42">
        <v>1.0000000000000001E-5</v>
      </c>
      <c r="FC72" s="42"/>
      <c r="FD72" s="50">
        <f t="shared" si="12"/>
        <v>2.1100000030780392E-4</v>
      </c>
      <c r="FE72" s="50">
        <v>5.0000000000000002E-5</v>
      </c>
      <c r="FF72" s="45"/>
      <c r="FG72" s="45"/>
      <c r="FH72" s="45"/>
      <c r="FI72" s="45">
        <v>6.9999999999999999E-6</v>
      </c>
      <c r="FJ72" s="45">
        <v>-3.9999999999999998E-6</v>
      </c>
      <c r="FK72" s="45">
        <v>1.5E-5</v>
      </c>
      <c r="FL72" s="45"/>
      <c r="FM72" s="45"/>
      <c r="FN72" s="45"/>
      <c r="FO72" s="45"/>
      <c r="FP72" s="45">
        <v>5.0000000000000004E-6</v>
      </c>
      <c r="FQ72" s="45">
        <v>-5.0000000000000004E-6</v>
      </c>
      <c r="FR72" s="50">
        <f t="shared" si="13"/>
        <v>1.8E-5</v>
      </c>
      <c r="FS72" s="50"/>
      <c r="FT72" s="45">
        <v>6.0000000000000002E-6</v>
      </c>
      <c r="FU72" s="45">
        <v>-6.0000000000000002E-6</v>
      </c>
      <c r="FV72" s="45"/>
      <c r="FW72" s="45">
        <v>7.1000000000000005E-5</v>
      </c>
      <c r="FX72" s="45"/>
      <c r="FY72" s="45"/>
      <c r="FZ72" s="45">
        <v>3.0000000000000001E-5</v>
      </c>
      <c r="GA72" s="45">
        <v>-1.9999999999999998E-5</v>
      </c>
      <c r="GB72" s="45">
        <v>3.9999999999999998E-6</v>
      </c>
      <c r="GC72" s="45"/>
      <c r="GD72" s="45"/>
      <c r="GE72" s="45">
        <v>1.0900000000000001E-4</v>
      </c>
      <c r="GF72" s="50">
        <f t="shared" si="14"/>
        <v>1.94E-4</v>
      </c>
      <c r="GG72" s="50"/>
      <c r="GH72" s="45"/>
      <c r="GI72" s="45"/>
      <c r="GJ72" s="45"/>
      <c r="GK72" s="45"/>
      <c r="GL72" s="45"/>
      <c r="GM72" s="45"/>
      <c r="GN72" s="45"/>
      <c r="GO72" s="45"/>
      <c r="GP72" s="45">
        <v>1.4E-5</v>
      </c>
      <c r="GQ72" s="45">
        <v>-1.4E-5</v>
      </c>
      <c r="GR72" s="45"/>
      <c r="GS72" s="45"/>
      <c r="GT72" s="50">
        <f t="shared" si="15"/>
        <v>0</v>
      </c>
      <c r="GU72" s="50">
        <v>6.7000000000000002E-5</v>
      </c>
      <c r="GV72" s="45"/>
      <c r="GW72" s="45"/>
      <c r="GX72" s="45"/>
      <c r="GY72" s="45"/>
      <c r="GZ72" s="45"/>
      <c r="HA72" s="45"/>
      <c r="HB72" s="45"/>
      <c r="HC72" s="45"/>
      <c r="HD72" s="45">
        <v>7.9999999999999996E-6</v>
      </c>
      <c r="HE72" s="45">
        <v>9.5999998279971965E-7</v>
      </c>
      <c r="HF72" s="45"/>
      <c r="HG72" s="45"/>
      <c r="HH72" s="50">
        <f t="shared" ref="HH72:HH74" si="38">SUM(GV72:HG72)</f>
        <v>8.9599999827997193E-6</v>
      </c>
      <c r="HI72" s="45"/>
      <c r="HJ72" s="45">
        <v>2.8E-5</v>
      </c>
      <c r="HK72" s="45"/>
      <c r="HL72" s="45"/>
      <c r="HM72" s="45"/>
      <c r="HN72" s="45"/>
      <c r="HO72" s="45"/>
      <c r="HP72" s="45"/>
      <c r="HQ72" s="45"/>
      <c r="HR72" s="45"/>
      <c r="HS72" s="45"/>
      <c r="HT72" s="45"/>
      <c r="HU72" s="276">
        <f t="shared" si="16"/>
        <v>0</v>
      </c>
      <c r="HV72" s="276">
        <f t="shared" si="17"/>
        <v>2.8E-5</v>
      </c>
      <c r="HW72" s="280">
        <f>HV72-HU72</f>
        <v>2.8E-5</v>
      </c>
      <c r="HX72" s="280"/>
    </row>
    <row r="73" spans="1:233" s="12" customFormat="1" ht="20.25" customHeight="1">
      <c r="A73" s="42"/>
      <c r="B73" s="13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2"/>
      <c r="BI73" s="42"/>
      <c r="BJ73" s="45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5">
        <f t="shared" si="4"/>
        <v>0</v>
      </c>
      <c r="BY73" s="45"/>
      <c r="BZ73" s="45"/>
      <c r="CA73" s="45"/>
      <c r="CB73" s="45"/>
      <c r="CC73" s="45"/>
      <c r="CD73" s="45"/>
      <c r="CE73" s="139"/>
      <c r="CF73" s="45"/>
      <c r="CG73" s="45"/>
      <c r="CH73" s="45"/>
      <c r="CI73" s="45"/>
      <c r="CJ73" s="45"/>
      <c r="CK73" s="45"/>
      <c r="CL73" s="45">
        <f t="shared" si="5"/>
        <v>0</v>
      </c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>
        <f t="shared" si="9"/>
        <v>0</v>
      </c>
      <c r="DA73" s="45"/>
      <c r="DB73" s="45">
        <v>0</v>
      </c>
      <c r="DC73" s="45">
        <v>0</v>
      </c>
      <c r="DD73" s="45">
        <v>0</v>
      </c>
      <c r="DE73" s="45">
        <v>0</v>
      </c>
      <c r="DF73" s="45">
        <v>0</v>
      </c>
      <c r="DG73" s="45">
        <v>0</v>
      </c>
      <c r="DH73" s="45">
        <v>0</v>
      </c>
      <c r="DI73" s="45">
        <v>0</v>
      </c>
      <c r="DJ73" s="45">
        <v>0</v>
      </c>
      <c r="DK73" s="45">
        <v>0</v>
      </c>
      <c r="DL73" s="45">
        <v>0</v>
      </c>
      <c r="DM73" s="45">
        <v>0</v>
      </c>
      <c r="DN73" s="45">
        <f t="shared" si="20"/>
        <v>0</v>
      </c>
      <c r="DO73" s="45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>
        <f t="shared" si="31"/>
        <v>0</v>
      </c>
      <c r="EC73" s="45"/>
      <c r="ED73" s="42"/>
      <c r="EE73" s="42"/>
      <c r="EF73" s="42">
        <v>0</v>
      </c>
      <c r="EG73" s="42">
        <v>0</v>
      </c>
      <c r="EH73" s="42">
        <v>0</v>
      </c>
      <c r="EI73" s="42"/>
      <c r="EJ73" s="42">
        <v>0</v>
      </c>
      <c r="EK73" s="42">
        <v>0</v>
      </c>
      <c r="EL73" s="42">
        <v>0</v>
      </c>
      <c r="EM73" s="42">
        <v>0</v>
      </c>
      <c r="EN73" s="42">
        <v>0</v>
      </c>
      <c r="EO73" s="42">
        <v>0</v>
      </c>
      <c r="EP73" s="50">
        <f t="shared" si="11"/>
        <v>0</v>
      </c>
      <c r="EQ73" s="50"/>
      <c r="ER73" s="179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50"/>
      <c r="FE73" s="50"/>
      <c r="FF73" s="45"/>
      <c r="FG73" s="45"/>
      <c r="FH73" s="45"/>
      <c r="FI73" s="45"/>
      <c r="FJ73" s="45"/>
      <c r="FK73" s="45"/>
      <c r="FL73" s="45"/>
      <c r="FM73" s="45"/>
      <c r="FN73" s="45"/>
      <c r="FO73" s="45"/>
      <c r="FP73" s="45"/>
      <c r="FQ73" s="45"/>
      <c r="FR73" s="50"/>
      <c r="FS73" s="50"/>
      <c r="FT73" s="45"/>
      <c r="FU73" s="45"/>
      <c r="FV73" s="45"/>
      <c r="FW73" s="45"/>
      <c r="FX73" s="45"/>
      <c r="FY73" s="45"/>
      <c r="FZ73" s="45"/>
      <c r="GA73" s="45"/>
      <c r="GB73" s="45"/>
      <c r="GC73" s="45"/>
      <c r="GD73" s="45"/>
      <c r="GE73" s="45"/>
      <c r="GF73" s="50"/>
      <c r="GG73" s="50"/>
      <c r="GH73" s="45"/>
      <c r="GI73" s="45"/>
      <c r="GJ73" s="45"/>
      <c r="GK73" s="45"/>
      <c r="GL73" s="45"/>
      <c r="GM73" s="45"/>
      <c r="GN73" s="45"/>
      <c r="GO73" s="45"/>
      <c r="GP73" s="45"/>
      <c r="GQ73" s="45"/>
      <c r="GR73" s="45"/>
      <c r="GS73" s="45"/>
      <c r="GT73" s="50"/>
      <c r="GU73" s="50"/>
      <c r="GV73" s="45"/>
      <c r="GW73" s="45"/>
      <c r="GX73" s="45"/>
      <c r="GY73" s="45"/>
      <c r="GZ73" s="45"/>
      <c r="HA73" s="45"/>
      <c r="HB73" s="45"/>
      <c r="HC73" s="45"/>
      <c r="HD73" s="45"/>
      <c r="HE73" s="45"/>
      <c r="HF73" s="45"/>
      <c r="HG73" s="45"/>
      <c r="HH73" s="50"/>
      <c r="HI73" s="45"/>
      <c r="HJ73" s="45"/>
      <c r="HK73" s="45"/>
      <c r="HL73" s="45"/>
      <c r="HM73" s="45"/>
      <c r="HN73" s="45"/>
      <c r="HO73" s="45"/>
      <c r="HP73" s="45"/>
      <c r="HQ73" s="45"/>
      <c r="HR73" s="45"/>
      <c r="HS73" s="45"/>
      <c r="HT73" s="45"/>
      <c r="HU73" s="276"/>
      <c r="HV73" s="276"/>
      <c r="HW73" s="280"/>
      <c r="HX73" s="280"/>
    </row>
    <row r="74" spans="1:233" s="12" customFormat="1" ht="20.25" customHeight="1">
      <c r="A74" s="58" t="s">
        <v>180</v>
      </c>
      <c r="C74" s="58" t="s">
        <v>181</v>
      </c>
      <c r="D74" s="58">
        <v>134.72805931667986</v>
      </c>
      <c r="E74" s="58">
        <v>-767.43504590184727</v>
      </c>
      <c r="F74" s="58">
        <v>-1277.6446733370897</v>
      </c>
      <c r="G74" s="58">
        <v>-1135.4502606701174</v>
      </c>
      <c r="H74" s="58">
        <v>-1.1214067364443339</v>
      </c>
      <c r="I74" s="58">
        <v>-132.15172702488886</v>
      </c>
      <c r="J74" s="58">
        <v>-125.38016637640092</v>
      </c>
      <c r="K74" s="58">
        <v>-47.142591348370146</v>
      </c>
      <c r="L74" s="58">
        <v>-18.222655121484635</v>
      </c>
      <c r="M74" s="58">
        <v>14.765426135878563</v>
      </c>
      <c r="N74" s="58">
        <v>-36.919403332934941</v>
      </c>
      <c r="O74" s="58">
        <v>290.38103274881752</v>
      </c>
      <c r="P74" s="58">
        <v>-26.059333413015548</v>
      </c>
      <c r="Q74" s="58">
        <v>-33.88244028207005</v>
      </c>
      <c r="R74" s="58">
        <v>-121.88671628220663</v>
      </c>
      <c r="S74" s="58">
        <v>-395.41257892669955</v>
      </c>
      <c r="T74" s="58">
        <v>-633.03255995981954</v>
      </c>
      <c r="U74" s="58">
        <v>-647.05994274363707</v>
      </c>
      <c r="V74" s="58">
        <v>116.64259371033728</v>
      </c>
      <c r="W74" s="58">
        <v>-96.878870936989486</v>
      </c>
      <c r="X74" s="58">
        <v>-82.298500919175368</v>
      </c>
      <c r="Y74" s="58">
        <v>29.036686979118464</v>
      </c>
      <c r="Z74" s="58">
        <v>78.5875684036058</v>
      </c>
      <c r="AA74" s="58">
        <v>43.594962464641867</v>
      </c>
      <c r="AB74" s="58">
        <v>162.60337453970109</v>
      </c>
      <c r="AC74" s="58">
        <v>218.37259799318147</v>
      </c>
      <c r="AD74" s="58">
        <v>16.013951884166914</v>
      </c>
      <c r="AE74" s="58">
        <v>-89.761234668556099</v>
      </c>
      <c r="AF74" s="58">
        <v>-108.44823876927293</v>
      </c>
      <c r="AG74" s="58">
        <v>-260.22062765721313</v>
      </c>
      <c r="AH74" s="58">
        <v>27.244263023545898</v>
      </c>
      <c r="AI74" s="58">
        <v>38.388902169025791</v>
      </c>
      <c r="AJ74" s="58">
        <v>80.829017763131787</v>
      </c>
      <c r="AK74" s="58">
        <v>-100.57139152594455</v>
      </c>
      <c r="AL74" s="58">
        <v>65.015935410157098</v>
      </c>
      <c r="AM74" s="58">
        <v>83.078506866779435</v>
      </c>
      <c r="AN74" s="58">
        <v>137.85744413805264</v>
      </c>
      <c r="AO74" s="58">
        <v>-30.628823754560177</v>
      </c>
      <c r="AP74" s="58">
        <v>45.561512171245596</v>
      </c>
      <c r="AQ74" s="58">
        <v>75.408369673479498</v>
      </c>
      <c r="AR74" s="58">
        <v>15.523811759750835</v>
      </c>
      <c r="AS74" s="58">
        <v>9.6704088195285518</v>
      </c>
      <c r="AT74" s="58">
        <v>-150.09305012492823</v>
      </c>
      <c r="AU74" s="58">
        <v>-360.03887285786647</v>
      </c>
      <c r="AV74" s="58">
        <v>-128.38713166117398</v>
      </c>
      <c r="AW74" s="58">
        <v>-127.59865481699023</v>
      </c>
      <c r="AX74" s="58">
        <f t="shared" ref="AX74:BI74" si="39">AX7-AX41</f>
        <v>91.31342144000007</v>
      </c>
      <c r="AY74" s="58">
        <f t="shared" si="39"/>
        <v>-21.475559770000018</v>
      </c>
      <c r="AZ74" s="58">
        <f t="shared" si="39"/>
        <v>-42.874525510000012</v>
      </c>
      <c r="BA74" s="58">
        <f t="shared" si="39"/>
        <v>-37.659059680000155</v>
      </c>
      <c r="BB74" s="58">
        <f t="shared" si="39"/>
        <v>90.700442779999662</v>
      </c>
      <c r="BC74" s="58">
        <f t="shared" si="39"/>
        <v>195.86286088999998</v>
      </c>
      <c r="BD74" s="58">
        <f t="shared" si="39"/>
        <v>-10.838734799999997</v>
      </c>
      <c r="BE74" s="58">
        <f t="shared" si="39"/>
        <v>47.350854039999945</v>
      </c>
      <c r="BF74" s="58">
        <f t="shared" si="39"/>
        <v>2.2284301999998206</v>
      </c>
      <c r="BG74" s="58">
        <f t="shared" si="39"/>
        <v>-74.172763260000011</v>
      </c>
      <c r="BH74" s="58">
        <f t="shared" si="39"/>
        <v>-172.19392486999959</v>
      </c>
      <c r="BI74" s="58">
        <f t="shared" si="39"/>
        <v>-467.23824858</v>
      </c>
      <c r="BJ74" s="59">
        <f>SUM(AX74:BI74)</f>
        <v>-398.99680712000031</v>
      </c>
      <c r="BK74" s="58">
        <f>BK7-BK41</f>
        <v>-397.30238800000188</v>
      </c>
      <c r="BL74" s="58">
        <f>BL7-BL41</f>
        <v>89.082567129999916</v>
      </c>
      <c r="BM74" s="58">
        <v>-78.843736859999922</v>
      </c>
      <c r="BN74" s="58">
        <v>24.26251872000023</v>
      </c>
      <c r="BO74" s="58">
        <v>120.47601403000033</v>
      </c>
      <c r="BP74" s="58">
        <v>102.56817831000012</v>
      </c>
      <c r="BQ74" s="58">
        <v>-40.085145519999855</v>
      </c>
      <c r="BR74" s="58">
        <v>-85.893915190000257</v>
      </c>
      <c r="BS74" s="58">
        <v>117.58440234000011</v>
      </c>
      <c r="BT74" s="58">
        <v>-73.129009970000197</v>
      </c>
      <c r="BU74" s="58">
        <v>25.688213430000133</v>
      </c>
      <c r="BV74" s="58">
        <v>-100.31917140000041</v>
      </c>
      <c r="BW74" s="58">
        <v>-473.65071200000023</v>
      </c>
      <c r="BX74" s="59">
        <f t="shared" si="4"/>
        <v>-372.25979698000003</v>
      </c>
      <c r="BY74" s="59">
        <f>BY7-BY41</f>
        <v>-373.50068751999788</v>
      </c>
      <c r="BZ74" s="59">
        <v>107.11002050000002</v>
      </c>
      <c r="CA74" s="59">
        <v>41.780300840000109</v>
      </c>
      <c r="CB74" s="59">
        <v>-100.44523820999984</v>
      </c>
      <c r="CC74" s="59">
        <v>-9.1894910300003403</v>
      </c>
      <c r="CD74" s="59">
        <v>149.32042417000002</v>
      </c>
      <c r="CE74" s="152">
        <v>-2.4229900599998473</v>
      </c>
      <c r="CF74" s="59">
        <v>21.439677369999913</v>
      </c>
      <c r="CG74" s="59">
        <v>42.00175285000023</v>
      </c>
      <c r="CH74" s="59">
        <v>53.994776410000782</v>
      </c>
      <c r="CI74" s="59">
        <v>-67.527171389999239</v>
      </c>
      <c r="CJ74" s="59">
        <v>-95.804261959999849</v>
      </c>
      <c r="CK74" s="59">
        <v>-242.00074536</v>
      </c>
      <c r="CL74" s="59">
        <f t="shared" si="5"/>
        <v>-101.74294586999804</v>
      </c>
      <c r="CM74" s="59">
        <f>CM7-CM41</f>
        <v>-100.25286799999958</v>
      </c>
      <c r="CN74" s="59">
        <v>121.81973393999976</v>
      </c>
      <c r="CO74" s="59">
        <v>10.955501089999984</v>
      </c>
      <c r="CP74" s="59">
        <v>-33.008380109999962</v>
      </c>
      <c r="CQ74" s="59">
        <v>70.97253124999952</v>
      </c>
      <c r="CR74" s="59">
        <v>79.319083959999944</v>
      </c>
      <c r="CS74" s="59">
        <v>-19.32992468000009</v>
      </c>
      <c r="CT74" s="59">
        <v>62.888680860000022</v>
      </c>
      <c r="CU74" s="59">
        <v>74.18863526000041</v>
      </c>
      <c r="CV74" s="59">
        <v>-7.0503847400001405</v>
      </c>
      <c r="CW74" s="59">
        <v>-98.934521639999957</v>
      </c>
      <c r="CX74" s="59">
        <v>-145.22656945999972</v>
      </c>
      <c r="CY74" s="59">
        <v>-338.26690961000031</v>
      </c>
      <c r="CZ74" s="59">
        <f t="shared" si="9"/>
        <v>-221.67252388000054</v>
      </c>
      <c r="DA74" s="59">
        <f>DA7-DA41</f>
        <v>-221.91895199999999</v>
      </c>
      <c r="DB74" s="59">
        <v>172.80551350000016</v>
      </c>
      <c r="DC74" s="59">
        <v>127.07964875999916</v>
      </c>
      <c r="DD74" s="59">
        <v>-71.990673390000779</v>
      </c>
      <c r="DE74" s="59">
        <v>12.038085169999537</v>
      </c>
      <c r="DF74" s="59">
        <v>267.10545551000001</v>
      </c>
      <c r="DG74" s="59">
        <v>-29.338692859999082</v>
      </c>
      <c r="DH74" s="59">
        <v>200.43168035999906</v>
      </c>
      <c r="DI74" s="59">
        <v>45.774284679998871</v>
      </c>
      <c r="DJ74" s="59">
        <v>-32.555487710000513</v>
      </c>
      <c r="DK74" s="59">
        <v>-176.69037288999974</v>
      </c>
      <c r="DL74" s="59">
        <v>-156.81317988999845</v>
      </c>
      <c r="DM74" s="59">
        <v>-572.97124804999874</v>
      </c>
      <c r="DN74" s="59">
        <f t="shared" si="20"/>
        <v>-215.12498681000045</v>
      </c>
      <c r="DO74" s="59">
        <f>DO7-DO41</f>
        <v>-215.41632100000243</v>
      </c>
      <c r="DP74" s="58">
        <v>173.6483763100008</v>
      </c>
      <c r="DQ74" s="58">
        <v>108.81514475000094</v>
      </c>
      <c r="DR74" s="58">
        <v>-81.808612690000359</v>
      </c>
      <c r="DS74" s="58">
        <v>72.37255994000023</v>
      </c>
      <c r="DT74" s="58">
        <v>241.38595363999983</v>
      </c>
      <c r="DU74" s="58">
        <v>164.79674319000014</v>
      </c>
      <c r="DV74" s="58">
        <v>-82.052839530000298</v>
      </c>
      <c r="DW74" s="58">
        <v>-0.31016068000196667</v>
      </c>
      <c r="DX74" s="58">
        <v>-75.247649419999718</v>
      </c>
      <c r="DY74" s="58">
        <v>-77.614277770000982</v>
      </c>
      <c r="DZ74" s="58">
        <v>-139.16120972000061</v>
      </c>
      <c r="EA74" s="58">
        <v>-422.44000499999999</v>
      </c>
      <c r="EB74" s="58">
        <f>SUM(DP74:EA74)</f>
        <v>-117.61597698000196</v>
      </c>
      <c r="EC74" s="59">
        <f>EC7-EC41</f>
        <v>-117.42385800000375</v>
      </c>
      <c r="ED74" s="58">
        <v>111.89587135000053</v>
      </c>
      <c r="EE74" s="58">
        <v>103.71066335999944</v>
      </c>
      <c r="EF74" s="58">
        <v>-144.29305501999957</v>
      </c>
      <c r="EG74" s="58">
        <v>-82.622712390000316</v>
      </c>
      <c r="EH74" s="58">
        <v>70.03623442000044</v>
      </c>
      <c r="EI74" s="58">
        <v>-190.11318728999987</v>
      </c>
      <c r="EJ74" s="58">
        <v>137.55515092999727</v>
      </c>
      <c r="EK74" s="58">
        <v>-46.323864249999566</v>
      </c>
      <c r="EL74" s="58">
        <v>-129.95332569000044</v>
      </c>
      <c r="EM74" s="58">
        <v>-239.787452</v>
      </c>
      <c r="EN74" s="58">
        <v>-131.40336094000082</v>
      </c>
      <c r="EO74" s="58">
        <v>-607.59479699999997</v>
      </c>
      <c r="EP74" s="78">
        <f>SUM(ED74:EO74)</f>
        <v>-1148.8938345200029</v>
      </c>
      <c r="EQ74" s="59">
        <f>EQ7-EQ41</f>
        <v>-1124.8601050000016</v>
      </c>
      <c r="ER74" s="58">
        <v>170.157398</v>
      </c>
      <c r="ES74" s="58">
        <v>-70.037947999999943</v>
      </c>
      <c r="ET74" s="58">
        <v>-626.30772000000002</v>
      </c>
      <c r="EU74" s="58">
        <v>-147.81053700000012</v>
      </c>
      <c r="EV74" s="58">
        <v>43.756196000000003</v>
      </c>
      <c r="EW74" s="58">
        <v>-323.30536500000005</v>
      </c>
      <c r="EX74" s="58">
        <v>80.650811000000004</v>
      </c>
      <c r="EY74" s="58">
        <v>8.2178240000000002</v>
      </c>
      <c r="EZ74" s="58">
        <v>120.45957900000001</v>
      </c>
      <c r="FA74" s="58">
        <v>-180.44273000000001</v>
      </c>
      <c r="FB74" s="58">
        <v>-107.18352100000006</v>
      </c>
      <c r="FC74" s="58">
        <v>-793.43278199999997</v>
      </c>
      <c r="FD74" s="78">
        <f>SUM(ER74:FC74)</f>
        <v>-1825.2787950000002</v>
      </c>
      <c r="FE74" s="59">
        <f>FE7-FE41</f>
        <v>-1844.8332140000002</v>
      </c>
      <c r="FF74" s="59">
        <v>218.38909083000075</v>
      </c>
      <c r="FG74" s="59">
        <v>-8.2039497899996938</v>
      </c>
      <c r="FH74" s="59">
        <v>-345.86973516999882</v>
      </c>
      <c r="FI74" s="59">
        <v>53.138830679998712</v>
      </c>
      <c r="FJ74" s="59">
        <v>-82.554558180000271</v>
      </c>
      <c r="FK74" s="58">
        <v>-61.975914089998874</v>
      </c>
      <c r="FL74" s="59">
        <v>128.86003355999978</v>
      </c>
      <c r="FM74" s="59">
        <v>117.340568</v>
      </c>
      <c r="FN74" s="59">
        <v>-334.21891699999998</v>
      </c>
      <c r="FO74" s="59">
        <v>-214.87046548000052</v>
      </c>
      <c r="FP74" s="59">
        <v>-69.420276999999999</v>
      </c>
      <c r="FQ74" s="59">
        <v>-851.30294500000002</v>
      </c>
      <c r="FR74" s="78">
        <f>SUM(FF74:FQ74)</f>
        <v>-1450.6882386399989</v>
      </c>
      <c r="FS74" s="59">
        <f>FS7-FS41</f>
        <v>-1423.8758430000034</v>
      </c>
      <c r="FT74" s="59">
        <v>223.03936905999998</v>
      </c>
      <c r="FU74" s="59">
        <v>-75.72752712999997</v>
      </c>
      <c r="FV74" s="59">
        <v>-411.38046900000001</v>
      </c>
      <c r="FW74" s="59">
        <v>92.355550300000075</v>
      </c>
      <c r="FX74" s="59">
        <v>116.98688499999999</v>
      </c>
      <c r="FY74" s="59">
        <v>-83.017071000000016</v>
      </c>
      <c r="FZ74" s="59">
        <v>225.991399</v>
      </c>
      <c r="GA74" s="59">
        <v>-19.435504000000002</v>
      </c>
      <c r="GB74" s="59">
        <v>-10.334467979999944</v>
      </c>
      <c r="GC74" s="59">
        <v>-206.63851388999998</v>
      </c>
      <c r="GD74" s="59">
        <v>-117.01440048000022</v>
      </c>
      <c r="GE74" s="59">
        <v>-1157.739041</v>
      </c>
      <c r="GF74" s="78">
        <f t="shared" ref="GF74" si="40">SUM(FT74:GE74)</f>
        <v>-1422.91379112</v>
      </c>
      <c r="GG74" s="59">
        <f>GG7-GG41</f>
        <v>-1329.9650880000008</v>
      </c>
      <c r="GH74" s="59">
        <v>253.73215030999998</v>
      </c>
      <c r="GI74" s="59">
        <v>-72.861154999999997</v>
      </c>
      <c r="GJ74" s="59">
        <v>-139.29495697000084</v>
      </c>
      <c r="GK74" s="59">
        <v>-137.65589800000001</v>
      </c>
      <c r="GL74" s="59">
        <v>349.31614400000001</v>
      </c>
      <c r="GM74" s="59">
        <v>350.76559200000003</v>
      </c>
      <c r="GN74" s="59">
        <v>-13.996692000000028</v>
      </c>
      <c r="GO74" s="59">
        <v>60.071610999999997</v>
      </c>
      <c r="GP74" s="59">
        <v>-42.994362000000002</v>
      </c>
      <c r="GQ74" s="59">
        <v>-295.43499500000001</v>
      </c>
      <c r="GR74" s="59">
        <v>-242.15543000000002</v>
      </c>
      <c r="GS74" s="59">
        <v>-802.61657400000001</v>
      </c>
      <c r="GT74" s="78">
        <f t="shared" ref="GT74" si="41">SUM(GH74:GS74)</f>
        <v>-733.12456566000105</v>
      </c>
      <c r="GU74" s="59">
        <f>GU7-GU41</f>
        <v>-700.35810927000057</v>
      </c>
      <c r="GV74" s="59">
        <v>37.266269360000059</v>
      </c>
      <c r="GW74" s="59">
        <v>-105.35819700000002</v>
      </c>
      <c r="GX74" s="59">
        <v>-453.10189200000002</v>
      </c>
      <c r="GY74" s="59">
        <v>-256.26719400000002</v>
      </c>
      <c r="GZ74" s="59">
        <v>357.6452012499999</v>
      </c>
      <c r="HA74" s="59">
        <v>166.76083541000017</v>
      </c>
      <c r="HB74" s="59">
        <v>-166.88416000000001</v>
      </c>
      <c r="HC74" s="59">
        <v>162.929731</v>
      </c>
      <c r="HD74" s="59">
        <v>-245.197123</v>
      </c>
      <c r="HE74" s="59">
        <v>-308.4308829799989</v>
      </c>
      <c r="HF74" s="59">
        <v>-221.78257647999982</v>
      </c>
      <c r="HG74" s="59">
        <v>-708.27684721000071</v>
      </c>
      <c r="HH74" s="59">
        <f t="shared" si="38"/>
        <v>-1740.6968356499992</v>
      </c>
      <c r="HI74" s="59">
        <v>-21.540933289999835</v>
      </c>
      <c r="HJ74" s="59">
        <v>446.989552</v>
      </c>
      <c r="HK74" s="59">
        <v>-418.92080085000032</v>
      </c>
      <c r="HL74" s="59">
        <v>-143.98642771999985</v>
      </c>
      <c r="HM74" s="59"/>
      <c r="HN74" s="59"/>
      <c r="HO74" s="59"/>
      <c r="HP74" s="59"/>
      <c r="HQ74" s="59"/>
      <c r="HR74" s="59"/>
      <c r="HS74" s="59"/>
      <c r="HT74" s="59"/>
      <c r="HU74" s="296">
        <f t="shared" ref="HU74" si="42">ROUND(SUM(GV74:GY74),6)</f>
        <v>-777.46101399999998</v>
      </c>
      <c r="HV74" s="296">
        <f t="shared" ref="HV74" si="43">ROUND(SUM(HI74:HL74),6)</f>
        <v>-137.45860999999999</v>
      </c>
      <c r="HW74" s="282">
        <f t="shared" si="18"/>
        <v>640.00240399999996</v>
      </c>
      <c r="HX74" s="282"/>
      <c r="HY74" s="332"/>
    </row>
    <row r="75" spans="1:233" s="12" customFormat="1" ht="20.25" customHeight="1">
      <c r="A75" s="244" t="s">
        <v>182</v>
      </c>
      <c r="C75" s="244" t="s">
        <v>183</v>
      </c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/>
      <c r="BO75" s="102"/>
      <c r="BP75" s="102"/>
      <c r="BQ75" s="102"/>
      <c r="BR75" s="102"/>
      <c r="BS75" s="102"/>
      <c r="BT75" s="102"/>
      <c r="BU75" s="102"/>
      <c r="BV75" s="102"/>
      <c r="BW75" s="102"/>
      <c r="BX75" s="102"/>
      <c r="BY75" s="102"/>
      <c r="BZ75" s="102"/>
      <c r="CA75" s="102"/>
      <c r="CB75" s="102"/>
      <c r="CC75" s="102"/>
      <c r="CD75" s="102"/>
      <c r="CE75" s="242"/>
      <c r="CF75" s="102"/>
      <c r="CG75" s="102"/>
      <c r="CH75" s="102"/>
      <c r="CI75" s="102"/>
      <c r="CJ75" s="102"/>
      <c r="CK75" s="102"/>
      <c r="CL75" s="102"/>
      <c r="CM75" s="102"/>
      <c r="CN75" s="102"/>
      <c r="CO75" s="102"/>
      <c r="CP75" s="102"/>
      <c r="CQ75" s="102"/>
      <c r="CR75" s="102"/>
      <c r="CS75" s="102"/>
      <c r="CT75" s="102"/>
      <c r="CU75" s="102"/>
      <c r="CV75" s="102"/>
      <c r="CW75" s="102"/>
      <c r="CX75" s="102"/>
      <c r="CY75" s="102"/>
      <c r="CZ75" s="102"/>
      <c r="DA75" s="102"/>
      <c r="DB75" s="102"/>
      <c r="DC75" s="102"/>
      <c r="DD75" s="102"/>
      <c r="DE75" s="102"/>
      <c r="DF75" s="102"/>
      <c r="DG75" s="102"/>
      <c r="DH75" s="102"/>
      <c r="DI75" s="102"/>
      <c r="DJ75" s="102"/>
      <c r="DK75" s="102"/>
      <c r="DL75" s="102"/>
      <c r="DM75" s="102"/>
      <c r="DN75" s="102"/>
      <c r="DO75" s="102"/>
      <c r="DP75" s="102"/>
      <c r="DQ75" s="102"/>
      <c r="DR75" s="102"/>
      <c r="DS75" s="102"/>
      <c r="DT75" s="102"/>
      <c r="DU75" s="102"/>
      <c r="DV75" s="102"/>
      <c r="DW75" s="102"/>
      <c r="DX75" s="102"/>
      <c r="DY75" s="102"/>
      <c r="DZ75" s="102"/>
      <c r="EA75" s="102"/>
      <c r="EB75" s="102"/>
      <c r="EC75" s="102"/>
      <c r="ED75" s="102"/>
      <c r="EE75" s="102"/>
      <c r="EF75" s="102"/>
      <c r="EG75" s="102"/>
      <c r="EH75" s="102"/>
      <c r="EI75" s="102"/>
      <c r="EJ75" s="102"/>
      <c r="EK75" s="102"/>
      <c r="EL75" s="102"/>
      <c r="EM75" s="102"/>
      <c r="EN75" s="102"/>
      <c r="EO75" s="102"/>
      <c r="EP75" s="156"/>
      <c r="EQ75" s="102"/>
      <c r="ER75" s="102"/>
      <c r="ES75" s="102"/>
      <c r="ET75" s="102"/>
      <c r="EU75" s="102"/>
      <c r="EV75" s="102"/>
      <c r="EW75" s="102"/>
      <c r="EX75" s="102"/>
      <c r="EY75" s="102"/>
      <c r="EZ75" s="102"/>
      <c r="FA75" s="102"/>
      <c r="FB75" s="102"/>
      <c r="FC75" s="102"/>
      <c r="FD75" s="156"/>
      <c r="FE75" s="102"/>
      <c r="FF75" s="102"/>
      <c r="FG75" s="102"/>
      <c r="FH75" s="102"/>
      <c r="FI75" s="102"/>
      <c r="FJ75" s="102"/>
      <c r="FK75" s="102"/>
      <c r="FL75" s="102"/>
      <c r="FM75" s="102"/>
      <c r="FN75" s="102"/>
      <c r="FO75" s="102"/>
      <c r="FP75" s="102"/>
      <c r="FQ75" s="102"/>
      <c r="FR75" s="156"/>
      <c r="FS75" s="102"/>
      <c r="FT75" s="102"/>
      <c r="FU75" s="102"/>
      <c r="FV75" s="102"/>
      <c r="FW75" s="102"/>
      <c r="FX75" s="102"/>
      <c r="FY75" s="102"/>
      <c r="FZ75" s="102"/>
      <c r="GA75" s="102"/>
      <c r="GB75" s="102"/>
      <c r="GC75" s="102"/>
      <c r="GD75" s="102"/>
      <c r="GE75" s="102"/>
      <c r="GF75" s="156"/>
      <c r="GG75" s="102"/>
      <c r="GH75" s="102"/>
      <c r="GI75" s="102"/>
      <c r="GJ75" s="102"/>
      <c r="GK75" s="102"/>
      <c r="GL75" s="102"/>
      <c r="GM75" s="102"/>
      <c r="GN75" s="102"/>
      <c r="GO75" s="102"/>
      <c r="GP75" s="102"/>
      <c r="GQ75" s="102"/>
      <c r="GR75" s="102"/>
      <c r="GS75" s="102"/>
      <c r="GT75" s="156"/>
      <c r="GU75" s="156"/>
      <c r="GV75" s="102"/>
      <c r="GW75" s="102"/>
      <c r="GX75" s="102"/>
      <c r="GY75" s="102"/>
      <c r="GZ75" s="102"/>
      <c r="HA75" s="102"/>
      <c r="HB75" s="102"/>
      <c r="HC75" s="102"/>
      <c r="HD75" s="102"/>
      <c r="HE75" s="102"/>
      <c r="HF75" s="102"/>
      <c r="HG75" s="102"/>
      <c r="HH75" s="156"/>
      <c r="HI75" s="102"/>
      <c r="HJ75" s="102"/>
      <c r="HK75" s="102"/>
      <c r="HL75" s="102"/>
      <c r="HM75" s="102"/>
      <c r="HN75" s="102"/>
      <c r="HO75" s="102"/>
      <c r="HP75" s="102"/>
      <c r="HQ75" s="102"/>
      <c r="HR75" s="102"/>
      <c r="HS75" s="102"/>
      <c r="HT75" s="102"/>
      <c r="HU75" s="156"/>
      <c r="HV75" s="156"/>
      <c r="HW75" s="243"/>
      <c r="HX75" s="243"/>
    </row>
    <row r="76" spans="1:233" ht="20.5">
      <c r="FE76" s="249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50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HJ76" s="97"/>
    </row>
    <row r="78" spans="1:233" ht="25.5">
      <c r="FS78" s="224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224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224"/>
      <c r="GV78" s="268"/>
    </row>
  </sheetData>
  <mergeCells count="19">
    <mergeCell ref="GV5:HG5"/>
    <mergeCell ref="A5:A6"/>
    <mergeCell ref="HI5:HT5"/>
    <mergeCell ref="BZ5:CK5"/>
    <mergeCell ref="B5:B6"/>
    <mergeCell ref="AJ5:AU5"/>
    <mergeCell ref="V5:AG5"/>
    <mergeCell ref="H5:S5"/>
    <mergeCell ref="C5:C6"/>
    <mergeCell ref="AX5:BI5"/>
    <mergeCell ref="BL5:BW5"/>
    <mergeCell ref="ER5:FC5"/>
    <mergeCell ref="CN5:CY5"/>
    <mergeCell ref="DB5:DM5"/>
    <mergeCell ref="DP5:EA5"/>
    <mergeCell ref="ED5:EO5"/>
    <mergeCell ref="FF5:FQ5"/>
    <mergeCell ref="FT5:GE5"/>
    <mergeCell ref="GH5:GS5"/>
  </mergeCells>
  <conditionalFormatting sqref="DO7:EC75">
    <cfRule type="cellIs" dxfId="447" priority="16962" operator="between">
      <formula>-0.00000045</formula>
      <formula>0.00000045</formula>
    </cfRule>
  </conditionalFormatting>
  <conditionalFormatting sqref="ED7:EE35 EH35:EO35">
    <cfRule type="cellIs" dxfId="446" priority="16938" operator="between">
      <formula>-0.00000045</formula>
      <formula>0.00000045</formula>
    </cfRule>
  </conditionalFormatting>
  <conditionalFormatting sqref="EE41:EE52">
    <cfRule type="cellIs" dxfId="445" priority="17059" operator="between">
      <formula>-0.00000045</formula>
      <formula>0.00000045</formula>
    </cfRule>
  </conditionalFormatting>
  <conditionalFormatting sqref="EF7:EF75">
    <cfRule type="cellIs" dxfId="444" priority="16936" operator="between">
      <formula>-0.00000045</formula>
      <formula>0.00000045</formula>
    </cfRule>
  </conditionalFormatting>
  <conditionalFormatting sqref="EG7:EG39">
    <cfRule type="cellIs" dxfId="443" priority="16937" operator="between">
      <formula>-0.00000045</formula>
      <formula>0.00000045</formula>
    </cfRule>
  </conditionalFormatting>
  <conditionalFormatting sqref="EG41:EH75">
    <cfRule type="cellIs" dxfId="442" priority="17041" operator="between">
      <formula>-0.00000045</formula>
      <formula>0.00000045</formula>
    </cfRule>
  </conditionalFormatting>
  <conditionalFormatting sqref="EH7:EK34">
    <cfRule type="cellIs" dxfId="441" priority="17004" operator="between">
      <formula>-0.00000045</formula>
      <formula>0.00000045</formula>
    </cfRule>
  </conditionalFormatting>
  <conditionalFormatting sqref="EI57">
    <cfRule type="cellIs" dxfId="440" priority="17036" operator="between">
      <formula>-0.00000045</formula>
      <formula>0.00000045</formula>
    </cfRule>
  </conditionalFormatting>
  <conditionalFormatting sqref="EK36:EK75">
    <cfRule type="cellIs" dxfId="439" priority="16998" operator="between">
      <formula>-0.00000045</formula>
      <formula>0.00000045</formula>
    </cfRule>
  </conditionalFormatting>
  <conditionalFormatting sqref="EL7:EP8 FF7:FQ14 BL7:DN17 GF9 EP9:EP11 EL9:EO34 FT9:GE37 FL15:FQ37 BL18:CM29 CN18:DN75 BL30:BX31 BZ30:CM31 BL32:CM75 EE36:EE37 ED36:ED38 EH36:EH39 EI36:EJ56 EL36:EO70 ED39:EE40 FF39:FJ52 FL39:FQ52 FT39:GE52 GH39:GS52 ED41:ED53 FK41:FK54 ED54:EE56 ET54:ET66 FL54:FQ66 FT54:GE66 GH54:GS66 FK56:FK67 ED57:ED66 EE58:EE66 EI58:EJ75 ED67:EE75 ES69:ET69 FH69:FJ69 GH69:GS74 FT69:GE75 FF70:FJ71 ES70:EU75 EL71 EN71:EO71 FF72:FQ72 EL72:EO75 FQ73:FQ75">
    <cfRule type="cellIs" dxfId="438" priority="17097" operator="between">
      <formula>-0.00000045</formula>
      <formula>0.00000045</formula>
    </cfRule>
  </conditionalFormatting>
  <conditionalFormatting sqref="EP12:EQ73">
    <cfRule type="cellIs" dxfId="437" priority="14401" operator="between">
      <formula>-0.00000045</formula>
      <formula>0.00000045</formula>
    </cfRule>
  </conditionalFormatting>
  <conditionalFormatting sqref="EP74:ER75">
    <cfRule type="cellIs" dxfId="436" priority="14400" operator="between">
      <formula>-0.00000045</formula>
      <formula>0.00000045</formula>
    </cfRule>
  </conditionalFormatting>
  <conditionalFormatting sqref="EQ7:EQ11">
    <cfRule type="cellIs" dxfId="435" priority="14413" operator="between">
      <formula>-0.00000045</formula>
      <formula>0.00000045</formula>
    </cfRule>
  </conditionalFormatting>
  <conditionalFormatting sqref="ER7:ER39">
    <cfRule type="cellIs" dxfId="434" priority="16935" operator="between">
      <formula>-0.00000045</formula>
      <formula>0.00000045</formula>
    </cfRule>
  </conditionalFormatting>
  <conditionalFormatting sqref="ER41:ER72">
    <cfRule type="cellIs" dxfId="433" priority="16953" operator="between">
      <formula>-0.00000045</formula>
      <formula>0.00000045</formula>
    </cfRule>
  </conditionalFormatting>
  <conditionalFormatting sqref="ES7:ES56">
    <cfRule type="cellIs" dxfId="432" priority="16929" operator="between">
      <formula>-0.00000045</formula>
      <formula>0.00000045</formula>
    </cfRule>
  </conditionalFormatting>
  <conditionalFormatting sqref="ES58:ES68">
    <cfRule type="cellIs" dxfId="431" priority="16923" operator="between">
      <formula>-0.00000045</formula>
      <formula>0.00000045</formula>
    </cfRule>
  </conditionalFormatting>
  <conditionalFormatting sqref="ET7:ET52">
    <cfRule type="cellIs" dxfId="430" priority="16924" operator="between">
      <formula>-0.00000045</formula>
      <formula>0.00000045</formula>
    </cfRule>
  </conditionalFormatting>
  <conditionalFormatting sqref="EU7:EU69">
    <cfRule type="cellIs" dxfId="429" priority="16916" operator="between">
      <formula>-0.00000045</formula>
      <formula>0.00000045</formula>
    </cfRule>
  </conditionalFormatting>
  <conditionalFormatting sqref="EV7:FA37">
    <cfRule type="cellIs" dxfId="428" priority="16848" operator="between">
      <formula>-0.00000045</formula>
      <formula>0.00000045</formula>
    </cfRule>
  </conditionalFormatting>
  <conditionalFormatting sqref="EV39:FC52 EV54:FC66 FF69 EV69:FC75">
    <cfRule type="cellIs" dxfId="427" priority="16845" operator="between">
      <formula>-0.00000045</formula>
      <formula>0.00000045</formula>
    </cfRule>
  </conditionalFormatting>
  <conditionalFormatting sqref="FB7:FB38">
    <cfRule type="cellIs" dxfId="426" priority="10446" operator="between">
      <formula>-0.00000045</formula>
      <formula>0.00000045</formula>
    </cfRule>
  </conditionalFormatting>
  <conditionalFormatting sqref="FC7:FC37">
    <cfRule type="cellIs" dxfId="425" priority="109" operator="between">
      <formula>-0.00000045</formula>
      <formula>0.00000045</formula>
    </cfRule>
  </conditionalFormatting>
  <conditionalFormatting sqref="FD7:FE73">
    <cfRule type="cellIs" dxfId="424" priority="78" operator="between">
      <formula>-0.00000045</formula>
      <formula>0.00000045</formula>
    </cfRule>
  </conditionalFormatting>
  <conditionalFormatting sqref="FD74:FP75">
    <cfRule type="cellIs" dxfId="423" priority="79" operator="between">
      <formula>-0.00000045</formula>
      <formula>0.00000045</formula>
    </cfRule>
  </conditionalFormatting>
  <conditionalFormatting sqref="FF15:FJ37">
    <cfRule type="cellIs" dxfId="422" priority="106" operator="between">
      <formula>-0.00000045</formula>
      <formula>0.00000045</formula>
    </cfRule>
  </conditionalFormatting>
  <conditionalFormatting sqref="FF54:FJ66">
    <cfRule type="cellIs" dxfId="421" priority="100" operator="between">
      <formula>-0.00000045</formula>
      <formula>0.00000045</formula>
    </cfRule>
  </conditionalFormatting>
  <conditionalFormatting sqref="FF73:FP73">
    <cfRule type="cellIs" dxfId="420" priority="96" operator="between">
      <formula>-0.00000045</formula>
      <formula>0.00000045</formula>
    </cfRule>
  </conditionalFormatting>
  <conditionalFormatting sqref="FG67:FG69">
    <cfRule type="cellIs" dxfId="419" priority="101" operator="between">
      <formula>-0.00000045</formula>
      <formula>0.00000045</formula>
    </cfRule>
  </conditionalFormatting>
  <conditionalFormatting sqref="FK16:FK37">
    <cfRule type="cellIs" dxfId="418" priority="99" operator="between">
      <formula>-0.00000045</formula>
      <formula>0.00000045</formula>
    </cfRule>
  </conditionalFormatting>
  <conditionalFormatting sqref="FK39">
    <cfRule type="cellIs" dxfId="417" priority="98" operator="between">
      <formula>-0.00000045</formula>
      <formula>0.00000045</formula>
    </cfRule>
  </conditionalFormatting>
  <conditionalFormatting sqref="FK69:FQ71">
    <cfRule type="cellIs" dxfId="416" priority="97" operator="between">
      <formula>-0.00000045</formula>
      <formula>0.00000045</formula>
    </cfRule>
  </conditionalFormatting>
  <conditionalFormatting sqref="FR7:FS75">
    <cfRule type="cellIs" dxfId="415" priority="45" operator="between">
      <formula>-0.00000045</formula>
      <formula>0.00000045</formula>
    </cfRule>
  </conditionalFormatting>
  <conditionalFormatting sqref="FT7:GF8 GH10:HD12 GH13:GS37 GV13:HD37">
    <cfRule type="cellIs" dxfId="414" priority="44" operator="between">
      <formula>-0.00000045</formula>
      <formula>0.00000045</formula>
    </cfRule>
  </conditionalFormatting>
  <conditionalFormatting sqref="GF10:GG74">
    <cfRule type="cellIs" dxfId="413" priority="29" operator="between">
      <formula>-0.00000045</formula>
      <formula>0.00000045</formula>
    </cfRule>
  </conditionalFormatting>
  <conditionalFormatting sqref="GF75:HT75">
    <cfRule type="cellIs" dxfId="412" priority="22" operator="between">
      <formula>-0.00000045</formula>
      <formula>0.00000045</formula>
    </cfRule>
  </conditionalFormatting>
  <conditionalFormatting sqref="GG7:HD9">
    <cfRule type="cellIs" dxfId="411" priority="19" operator="between">
      <formula>-0.00000045</formula>
      <formula>0.00000045</formula>
    </cfRule>
  </conditionalFormatting>
  <conditionalFormatting sqref="GT13:GU74">
    <cfRule type="cellIs" dxfId="410" priority="7" operator="between">
      <formula>-0.00000045</formula>
      <formula>0.00000045</formula>
    </cfRule>
  </conditionalFormatting>
  <conditionalFormatting sqref="GV39:HG52 HI39:HT52 GV54:HG66 HI54:HT66 GV69:HG74 HI69:HT74">
    <cfRule type="cellIs" dxfId="409" priority="6" operator="between">
      <formula>-0.00000045</formula>
      <formula>0.00000045</formula>
    </cfRule>
  </conditionalFormatting>
  <conditionalFormatting sqref="HE7:HG37 HI7:HT37">
    <cfRule type="cellIs" dxfId="408" priority="4" operator="between">
      <formula>-0.00000045</formula>
      <formula>0.00000045</formula>
    </cfRule>
  </conditionalFormatting>
  <conditionalFormatting sqref="HH7:HH74">
    <cfRule type="cellIs" dxfId="407" priority="1" operator="between">
      <formula>-0.00000045</formula>
      <formula>0.00000045</formula>
    </cfRule>
  </conditionalFormatting>
  <conditionalFormatting sqref="HU74:HV75">
    <cfRule type="containsErrors" dxfId="406" priority="28">
      <formula>ISERROR(HU74)</formula>
    </cfRule>
    <cfRule type="cellIs" dxfId="405" priority="27" operator="equal">
      <formula>0</formula>
    </cfRule>
  </conditionalFormatting>
  <conditionalFormatting sqref="HU7:HX75">
    <cfRule type="cellIs" dxfId="404" priority="12888" operator="equal">
      <formula>0</formula>
    </cfRule>
    <cfRule type="containsErrors" dxfId="403" priority="12889">
      <formula>ISERROR(HU7)</formula>
    </cfRule>
  </conditionalFormatting>
  <conditionalFormatting sqref="HW7:HX7">
    <cfRule type="containsErrors" dxfId="402" priority="17112">
      <formula>ISERROR(HW7)</formula>
    </cfRule>
  </conditionalFormatting>
  <pageMargins left="0.23622047244094491" right="0.23622047244094491" top="0.74803149606299213" bottom="0.74803149606299213" header="0.31496062992125984" footer="0.31496062992125984"/>
  <pageSetup paperSize="8" scale="44" orientation="landscape" r:id="rId1"/>
  <ignoredErrors>
    <ignoredError sqref="BJ7:BJ9" formula="1"/>
    <ignoredError sqref="BJ68:BJ74 BJ32:BJ66 BJ12 BJ17:BJ30 BJ10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DDFBE"/>
  </sheetPr>
  <dimension ref="A1:HX78"/>
  <sheetViews>
    <sheetView zoomScale="55" zoomScaleNormal="55" zoomScaleSheetLayoutView="70" workbookViewId="0">
      <pane xSplit="3" ySplit="6" topLeftCell="DO7" activePane="bottomRight" state="frozen"/>
      <selection pane="topRight" activeCell="JA25" sqref="JA25"/>
      <selection pane="bottomLeft" activeCell="JA25" sqref="JA25"/>
      <selection pane="bottomRight" activeCell="IF27" sqref="IF27"/>
    </sheetView>
  </sheetViews>
  <sheetFormatPr defaultColWidth="9" defaultRowHeight="15.5" outlineLevelCol="2"/>
  <cols>
    <col min="1" max="1" width="9" style="2" hidden="1" customWidth="1"/>
    <col min="2" max="2" width="9.5" style="3" hidden="1" customWidth="1"/>
    <col min="3" max="3" width="44.58203125" style="2" customWidth="1"/>
    <col min="4" max="5" width="10.58203125" style="2" hidden="1" customWidth="1" outlineLevel="1"/>
    <col min="6" max="6" width="12" style="2" hidden="1" customWidth="1" outlineLevel="1"/>
    <col min="7" max="7" width="11.58203125" style="2" hidden="1" customWidth="1" outlineLevel="1"/>
    <col min="8" max="20" width="12.5" style="2" hidden="1" customWidth="1" outlineLevel="2"/>
    <col min="21" max="21" width="10.58203125" style="2" hidden="1" customWidth="1" outlineLevel="1" collapsed="1"/>
    <col min="22" max="32" width="12.5" style="2" hidden="1" customWidth="1" outlineLevel="2"/>
    <col min="33" max="33" width="11.75" style="2" hidden="1" customWidth="1" outlineLevel="2"/>
    <col min="34" max="34" width="12" style="2" hidden="1" customWidth="1" outlineLevel="2"/>
    <col min="35" max="35" width="10.08203125" style="2" hidden="1" customWidth="1" outlineLevel="1" collapsed="1"/>
    <col min="36" max="46" width="12" style="2" hidden="1" customWidth="1" outlineLevel="2"/>
    <col min="47" max="47" width="11.58203125" style="2" hidden="1" customWidth="1" outlineLevel="2"/>
    <col min="48" max="48" width="12" style="2" hidden="1" customWidth="1" outlineLevel="2"/>
    <col min="49" max="49" width="10.58203125" style="2" hidden="1" customWidth="1" outlineLevel="1" collapsed="1"/>
    <col min="50" max="59" width="7.58203125" style="2" hidden="1" customWidth="1" outlineLevel="1"/>
    <col min="60" max="60" width="8.5" style="2" hidden="1" customWidth="1" outlineLevel="1"/>
    <col min="61" max="61" width="9.58203125" style="2" hidden="1" customWidth="1" outlineLevel="1"/>
    <col min="62" max="62" width="11" style="2" hidden="1" customWidth="1" outlineLevel="1"/>
    <col min="63" max="63" width="11.08203125" style="2" hidden="1" customWidth="1" collapsed="1"/>
    <col min="64" max="73" width="7.58203125" style="2" hidden="1" customWidth="1" outlineLevel="1"/>
    <col min="74" max="74" width="8.5" style="2" hidden="1" customWidth="1" outlineLevel="1"/>
    <col min="75" max="76" width="9.58203125" style="2" hidden="1" customWidth="1" outlineLevel="1"/>
    <col min="77" max="77" width="10.5" style="2" hidden="1" customWidth="1" collapsed="1"/>
    <col min="78" max="82" width="9.58203125" style="2" hidden="1" customWidth="1" outlineLevel="1"/>
    <col min="83" max="83" width="11.08203125" style="2" hidden="1" customWidth="1" outlineLevel="1"/>
    <col min="84" max="84" width="7.58203125" style="2" hidden="1" customWidth="1" outlineLevel="1"/>
    <col min="85" max="90" width="9.58203125" style="2" hidden="1" customWidth="1" outlineLevel="1"/>
    <col min="91" max="91" width="11" style="2" hidden="1" customWidth="1" collapsed="1"/>
    <col min="92" max="93" width="7.58203125" style="2" hidden="1" customWidth="1" outlineLevel="1"/>
    <col min="94" max="96" width="9.58203125" style="2" hidden="1" customWidth="1" outlineLevel="1"/>
    <col min="97" max="97" width="9.08203125" style="2" hidden="1" customWidth="1" outlineLevel="1"/>
    <col min="98" max="101" width="9.58203125" style="2" hidden="1" customWidth="1" outlineLevel="1"/>
    <col min="102" max="102" width="11.58203125" style="2" hidden="1" customWidth="1" outlineLevel="1"/>
    <col min="103" max="103" width="9.58203125" style="2" hidden="1" customWidth="1" outlineLevel="1"/>
    <col min="104" max="104" width="12.58203125" style="2" hidden="1" customWidth="1" outlineLevel="1"/>
    <col min="105" max="105" width="12.58203125" style="2" hidden="1" customWidth="1" collapsed="1"/>
    <col min="106" max="116" width="13.08203125" style="2" hidden="1" customWidth="1" outlineLevel="1"/>
    <col min="117" max="117" width="11.08203125" style="2" hidden="1" customWidth="1" outlineLevel="1"/>
    <col min="118" max="118" width="13.5" style="2" hidden="1" customWidth="1" outlineLevel="1"/>
    <col min="119" max="119" width="12.08203125" style="2" customWidth="1" collapsed="1"/>
    <col min="120" max="132" width="11.08203125" style="2" hidden="1" customWidth="1" outlineLevel="1"/>
    <col min="133" max="133" width="13.58203125" style="2" customWidth="1" collapsed="1"/>
    <col min="134" max="136" width="11.08203125" style="2" hidden="1" customWidth="1" outlineLevel="1"/>
    <col min="137" max="137" width="10.58203125" style="2" hidden="1" customWidth="1" outlineLevel="1"/>
    <col min="138" max="145" width="11.08203125" style="2" hidden="1" customWidth="1" outlineLevel="1"/>
    <col min="146" max="146" width="14.58203125" style="2" hidden="1" customWidth="1" outlineLevel="1"/>
    <col min="147" max="147" width="14.58203125" style="2" customWidth="1" collapsed="1"/>
    <col min="148" max="159" width="11.08203125" style="2" hidden="1" customWidth="1" outlineLevel="1"/>
    <col min="160" max="160" width="14.58203125" style="2" hidden="1" customWidth="1" outlineLevel="1"/>
    <col min="161" max="161" width="16.75" style="2" bestFit="1" customWidth="1" collapsed="1"/>
    <col min="162" max="163" width="11.08203125" style="2" hidden="1" customWidth="1" outlineLevel="1"/>
    <col min="164" max="164" width="10.58203125" style="2" hidden="1" customWidth="1" outlineLevel="1"/>
    <col min="165" max="173" width="11.08203125" style="2" hidden="1" customWidth="1" outlineLevel="1"/>
    <col min="174" max="174" width="12.08203125" style="2" hidden="1" customWidth="1" outlineLevel="1" collapsed="1"/>
    <col min="175" max="175" width="17.08203125" style="2" bestFit="1" customWidth="1" collapsed="1"/>
    <col min="176" max="187" width="11.08203125" style="2" hidden="1" customWidth="1" outlineLevel="1"/>
    <col min="188" max="188" width="12.08203125" style="2" hidden="1" customWidth="1" outlineLevel="1"/>
    <col min="189" max="189" width="17.08203125" style="2" customWidth="1" collapsed="1"/>
    <col min="190" max="201" width="11.08203125" style="2" hidden="1" customWidth="1" outlineLevel="1"/>
    <col min="202" max="202" width="13.83203125" style="2" hidden="1" customWidth="1" outlineLevel="1"/>
    <col min="203" max="203" width="13.83203125" style="2" customWidth="1" collapsed="1"/>
    <col min="204" max="204" width="12.25" style="2" hidden="1" customWidth="1" outlineLevel="1"/>
    <col min="205" max="215" width="11.08203125" style="2" hidden="1" customWidth="1" outlineLevel="1"/>
    <col min="216" max="216" width="14.5" style="2" customWidth="1" collapsed="1"/>
    <col min="217" max="220" width="11.08203125" style="2" customWidth="1"/>
    <col min="221" max="228" width="11.08203125" style="2" hidden="1" customWidth="1" outlineLevel="1"/>
    <col min="229" max="230" width="13.08203125" style="2" customWidth="1" collapsed="1"/>
    <col min="231" max="232" width="14.58203125" style="105" customWidth="1"/>
    <col min="233" max="16384" width="9" style="3"/>
  </cols>
  <sheetData>
    <row r="1" spans="1:232" ht="15.75" hidden="1" customHeight="1">
      <c r="D1" s="2">
        <v>2007</v>
      </c>
      <c r="E1" s="2">
        <v>2008</v>
      </c>
      <c r="F1" s="2">
        <v>2009</v>
      </c>
      <c r="G1" s="2">
        <v>2010</v>
      </c>
      <c r="H1" s="2">
        <v>2011</v>
      </c>
      <c r="I1" s="2">
        <v>2011</v>
      </c>
      <c r="J1" s="2">
        <v>2011</v>
      </c>
      <c r="K1" s="2">
        <v>2011</v>
      </c>
      <c r="L1" s="2">
        <v>2011</v>
      </c>
      <c r="M1" s="2">
        <v>2011</v>
      </c>
      <c r="N1" s="2">
        <v>2011</v>
      </c>
      <c r="O1" s="2">
        <v>2011</v>
      </c>
      <c r="P1" s="2">
        <v>2011</v>
      </c>
      <c r="Q1" s="2">
        <v>2011</v>
      </c>
      <c r="R1" s="2">
        <v>2011</v>
      </c>
      <c r="S1" s="2">
        <v>2011</v>
      </c>
      <c r="T1" s="2">
        <v>2011</v>
      </c>
      <c r="U1" s="2">
        <v>2011</v>
      </c>
      <c r="V1" s="2">
        <v>2012</v>
      </c>
      <c r="W1" s="2">
        <v>2012</v>
      </c>
      <c r="X1" s="2">
        <v>2012</v>
      </c>
      <c r="Y1" s="2">
        <v>2012</v>
      </c>
      <c r="Z1" s="2">
        <v>2012</v>
      </c>
      <c r="AA1" s="2">
        <v>2012</v>
      </c>
      <c r="AB1" s="2">
        <v>2012</v>
      </c>
      <c r="AC1" s="2">
        <v>2012</v>
      </c>
      <c r="AD1" s="2">
        <v>2012</v>
      </c>
      <c r="AE1" s="2">
        <v>2012</v>
      </c>
      <c r="AF1" s="2">
        <v>2012</v>
      </c>
      <c r="AG1" s="2">
        <v>2012</v>
      </c>
      <c r="AH1" s="2">
        <v>2012</v>
      </c>
      <c r="AI1" s="2">
        <v>2012</v>
      </c>
      <c r="AJ1" s="2">
        <v>2013</v>
      </c>
      <c r="AK1" s="2">
        <v>2013</v>
      </c>
      <c r="AL1" s="2">
        <v>2013</v>
      </c>
      <c r="AM1" s="2">
        <v>2013</v>
      </c>
      <c r="AN1" s="2">
        <v>2013</v>
      </c>
      <c r="AO1" s="2">
        <v>2013</v>
      </c>
      <c r="AP1" s="2">
        <v>2013</v>
      </c>
      <c r="AQ1" s="2">
        <v>2013</v>
      </c>
      <c r="AR1" s="2">
        <v>2013</v>
      </c>
      <c r="AS1" s="2">
        <v>2013</v>
      </c>
      <c r="AT1" s="2">
        <v>2013</v>
      </c>
      <c r="AU1" s="2">
        <v>2013</v>
      </c>
      <c r="AV1" s="2">
        <v>2013</v>
      </c>
      <c r="AW1" s="2">
        <v>2013</v>
      </c>
      <c r="AX1" s="2">
        <v>2014</v>
      </c>
      <c r="AY1" s="2">
        <v>2014</v>
      </c>
      <c r="AZ1" s="2">
        <v>2014</v>
      </c>
      <c r="BA1" s="2">
        <v>2014</v>
      </c>
      <c r="BB1" s="2">
        <v>2014</v>
      </c>
      <c r="BC1" s="2">
        <v>2014</v>
      </c>
      <c r="BD1" s="2">
        <v>2014</v>
      </c>
      <c r="BE1" s="2">
        <v>2014</v>
      </c>
      <c r="BF1" s="2">
        <v>2014</v>
      </c>
      <c r="BG1" s="2">
        <v>2014</v>
      </c>
      <c r="BH1" s="2">
        <v>2014</v>
      </c>
      <c r="BI1" s="2">
        <v>2014</v>
      </c>
      <c r="BJ1" s="2">
        <v>2014</v>
      </c>
      <c r="BK1" s="2">
        <v>2014</v>
      </c>
      <c r="BL1" s="2">
        <v>2015</v>
      </c>
      <c r="BM1" s="2">
        <v>2015</v>
      </c>
      <c r="BN1" s="2">
        <v>2015</v>
      </c>
      <c r="BO1" s="2">
        <v>2015</v>
      </c>
      <c r="BP1" s="2">
        <v>2015</v>
      </c>
      <c r="BQ1" s="2">
        <v>2015</v>
      </c>
      <c r="BR1" s="2">
        <v>2015</v>
      </c>
      <c r="BS1" s="2">
        <v>2015</v>
      </c>
      <c r="BT1" s="2">
        <v>2015</v>
      </c>
      <c r="BU1" s="2">
        <v>2015</v>
      </c>
      <c r="BV1" s="2">
        <v>2015</v>
      </c>
      <c r="BW1" s="2">
        <v>2015</v>
      </c>
      <c r="BX1" s="2">
        <v>2015</v>
      </c>
      <c r="BY1" s="2">
        <v>2015</v>
      </c>
      <c r="BZ1" s="2">
        <v>2016</v>
      </c>
      <c r="CA1" s="2">
        <v>2016</v>
      </c>
      <c r="CB1" s="2">
        <v>2016</v>
      </c>
      <c r="CC1" s="2">
        <v>2016</v>
      </c>
      <c r="CD1" s="2">
        <v>2016</v>
      </c>
      <c r="CE1" s="2">
        <v>2016</v>
      </c>
      <c r="CF1" s="2">
        <v>2016</v>
      </c>
      <c r="CG1" s="2">
        <v>2016</v>
      </c>
      <c r="CH1" s="2">
        <v>2016</v>
      </c>
      <c r="CI1" s="2">
        <v>2016</v>
      </c>
      <c r="CJ1" s="2">
        <v>2016</v>
      </c>
      <c r="CK1" s="2">
        <v>2016</v>
      </c>
      <c r="CL1" s="2">
        <v>2016</v>
      </c>
      <c r="CM1" s="2">
        <v>2016</v>
      </c>
      <c r="CN1" s="2">
        <v>2017</v>
      </c>
      <c r="CO1" s="2">
        <v>2017</v>
      </c>
      <c r="CP1" s="2">
        <v>2017</v>
      </c>
      <c r="CQ1" s="2">
        <v>2017</v>
      </c>
      <c r="CR1" s="2">
        <v>2017</v>
      </c>
      <c r="CS1" s="2">
        <v>2017</v>
      </c>
      <c r="CT1" s="2">
        <v>2017</v>
      </c>
      <c r="CU1" s="2">
        <v>2017</v>
      </c>
      <c r="CV1" s="2">
        <v>2017</v>
      </c>
      <c r="CW1" s="2">
        <v>2017</v>
      </c>
      <c r="CX1" s="2">
        <v>2017</v>
      </c>
      <c r="CY1" s="2">
        <v>2017</v>
      </c>
      <c r="CZ1" s="2">
        <v>2017</v>
      </c>
      <c r="DA1" s="2">
        <v>2017</v>
      </c>
      <c r="DB1" s="2">
        <v>2018</v>
      </c>
      <c r="DC1" s="2">
        <v>2018</v>
      </c>
      <c r="DD1" s="2">
        <v>2018</v>
      </c>
      <c r="DE1" s="2">
        <v>2018</v>
      </c>
      <c r="DF1" s="2">
        <v>2018</v>
      </c>
      <c r="DG1" s="2">
        <v>2018</v>
      </c>
      <c r="DH1" s="2">
        <v>2018</v>
      </c>
      <c r="DI1" s="2">
        <v>2018</v>
      </c>
      <c r="DJ1" s="2">
        <v>2018</v>
      </c>
      <c r="DK1" s="2">
        <v>2018</v>
      </c>
      <c r="DL1" s="2">
        <v>2018</v>
      </c>
      <c r="DM1" s="2">
        <v>2018</v>
      </c>
      <c r="DN1" s="2">
        <v>2018</v>
      </c>
      <c r="DO1" s="2">
        <v>2018</v>
      </c>
      <c r="DP1" s="2">
        <v>2019</v>
      </c>
      <c r="DQ1" s="2">
        <v>2019</v>
      </c>
      <c r="DR1" s="2">
        <v>2019</v>
      </c>
      <c r="DS1" s="2">
        <v>2019</v>
      </c>
      <c r="DT1" s="2">
        <v>2019</v>
      </c>
      <c r="DU1" s="2">
        <v>2019</v>
      </c>
      <c r="DV1" s="2">
        <v>2019</v>
      </c>
      <c r="DW1" s="2">
        <v>2019</v>
      </c>
      <c r="DX1" s="2">
        <v>2019</v>
      </c>
      <c r="DY1" s="2">
        <v>2019</v>
      </c>
      <c r="DZ1" s="2">
        <v>2019</v>
      </c>
      <c r="EA1" s="2">
        <v>2019</v>
      </c>
      <c r="EB1" s="2">
        <v>2019</v>
      </c>
      <c r="EC1" s="2">
        <v>2019</v>
      </c>
      <c r="ED1" s="2">
        <v>2020</v>
      </c>
      <c r="EE1" s="2">
        <v>2020</v>
      </c>
      <c r="EF1" s="2">
        <v>2020</v>
      </c>
      <c r="EG1" s="2">
        <v>2020</v>
      </c>
      <c r="EH1" s="2">
        <v>2020</v>
      </c>
      <c r="EI1" s="2">
        <v>2020</v>
      </c>
      <c r="EJ1" s="2">
        <v>2020</v>
      </c>
      <c r="EK1" s="2">
        <v>2020</v>
      </c>
      <c r="EL1" s="2">
        <v>2020</v>
      </c>
      <c r="EM1" s="2">
        <v>2020</v>
      </c>
      <c r="EN1" s="2">
        <v>2020</v>
      </c>
      <c r="EO1" s="2">
        <v>2020</v>
      </c>
      <c r="EP1" s="2">
        <v>2020</v>
      </c>
      <c r="EQ1" s="2">
        <v>2020</v>
      </c>
      <c r="ER1" s="2">
        <v>2021</v>
      </c>
      <c r="ES1" s="2">
        <v>2021</v>
      </c>
      <c r="ET1" s="2">
        <v>2021</v>
      </c>
      <c r="EU1" s="2">
        <v>2021</v>
      </c>
      <c r="EV1" s="2">
        <v>2021</v>
      </c>
      <c r="EW1" s="2">
        <v>2021</v>
      </c>
      <c r="EX1" s="2">
        <v>2021</v>
      </c>
      <c r="EY1" s="2">
        <v>2021</v>
      </c>
      <c r="EZ1" s="2">
        <v>2021</v>
      </c>
      <c r="FA1" s="2">
        <v>2021</v>
      </c>
      <c r="FB1" s="2">
        <v>2021</v>
      </c>
      <c r="FC1" s="2">
        <v>2021</v>
      </c>
      <c r="FD1" s="2">
        <v>2021</v>
      </c>
      <c r="FE1" s="2">
        <v>2021</v>
      </c>
      <c r="FF1" s="2">
        <v>2022</v>
      </c>
      <c r="FG1" s="2">
        <v>2022</v>
      </c>
      <c r="FH1" s="2">
        <v>2022</v>
      </c>
      <c r="FI1" s="2">
        <v>2022</v>
      </c>
      <c r="FJ1" s="2">
        <v>2022</v>
      </c>
      <c r="FK1" s="2">
        <v>2022</v>
      </c>
      <c r="FL1" s="2">
        <v>2022</v>
      </c>
      <c r="FM1" s="2">
        <v>2022</v>
      </c>
      <c r="FN1" s="2">
        <v>2022</v>
      </c>
      <c r="FO1" s="2">
        <v>2022</v>
      </c>
      <c r="FP1" s="2">
        <v>2022</v>
      </c>
      <c r="FQ1" s="2">
        <v>2022</v>
      </c>
      <c r="FR1" s="2">
        <v>2022</v>
      </c>
      <c r="FS1" s="2">
        <v>2022</v>
      </c>
      <c r="FT1" s="2">
        <v>2023</v>
      </c>
      <c r="FU1" s="2">
        <v>2023</v>
      </c>
      <c r="FV1" s="2">
        <v>2023</v>
      </c>
      <c r="FW1" s="2">
        <v>2023</v>
      </c>
      <c r="FX1" s="2">
        <v>2023</v>
      </c>
      <c r="FY1" s="2">
        <v>2023</v>
      </c>
      <c r="FZ1" s="2">
        <v>2023</v>
      </c>
      <c r="GA1" s="2">
        <v>2023</v>
      </c>
      <c r="GB1" s="2">
        <v>2023</v>
      </c>
      <c r="GC1" s="2">
        <v>2023</v>
      </c>
      <c r="GD1" s="2">
        <v>2023</v>
      </c>
      <c r="GE1" s="2">
        <v>2023</v>
      </c>
      <c r="GF1" s="2">
        <v>2023</v>
      </c>
    </row>
    <row r="2" spans="1:232" ht="33.65" hidden="1" customHeight="1"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1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  <c r="AC2" s="2" t="s">
        <v>0</v>
      </c>
      <c r="AD2" s="2" t="s">
        <v>0</v>
      </c>
      <c r="AE2" s="2" t="s">
        <v>0</v>
      </c>
      <c r="AF2" s="2" t="s">
        <v>0</v>
      </c>
      <c r="AG2" s="2" t="s">
        <v>0</v>
      </c>
      <c r="AH2" s="2" t="s">
        <v>1</v>
      </c>
      <c r="AI2" s="2" t="s">
        <v>0</v>
      </c>
      <c r="AJ2" s="2" t="s">
        <v>0</v>
      </c>
      <c r="AK2" s="2" t="s">
        <v>0</v>
      </c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1</v>
      </c>
      <c r="AW2" s="2" t="s">
        <v>0</v>
      </c>
      <c r="AX2" s="2" t="s">
        <v>0</v>
      </c>
      <c r="AY2" s="2" t="s">
        <v>0</v>
      </c>
      <c r="AZ2" s="2" t="s">
        <v>0</v>
      </c>
      <c r="BA2" s="2" t="s">
        <v>0</v>
      </c>
      <c r="BB2" s="2" t="s">
        <v>0</v>
      </c>
      <c r="BC2" s="2" t="s">
        <v>0</v>
      </c>
      <c r="BD2" s="2" t="s">
        <v>0</v>
      </c>
      <c r="BE2" s="2" t="s">
        <v>0</v>
      </c>
      <c r="BF2" s="2" t="s">
        <v>0</v>
      </c>
      <c r="BG2" s="2" t="s">
        <v>0</v>
      </c>
      <c r="BH2" s="2" t="s">
        <v>0</v>
      </c>
      <c r="BI2" s="2" t="s">
        <v>0</v>
      </c>
      <c r="BJ2" s="2" t="s">
        <v>1</v>
      </c>
      <c r="BK2" s="2" t="s">
        <v>0</v>
      </c>
      <c r="BL2" s="2" t="s">
        <v>0</v>
      </c>
      <c r="BM2" s="2" t="s">
        <v>0</v>
      </c>
      <c r="BN2" s="2" t="s">
        <v>0</v>
      </c>
      <c r="BO2" s="2" t="s">
        <v>0</v>
      </c>
      <c r="BP2" s="2" t="s">
        <v>0</v>
      </c>
      <c r="BQ2" s="2" t="s">
        <v>0</v>
      </c>
      <c r="BR2" s="2" t="s">
        <v>0</v>
      </c>
      <c r="BS2" s="2" t="s">
        <v>0</v>
      </c>
      <c r="BT2" s="2" t="s">
        <v>0</v>
      </c>
      <c r="BU2" s="2" t="s">
        <v>0</v>
      </c>
      <c r="BV2" s="2" t="s">
        <v>0</v>
      </c>
      <c r="BW2" s="2" t="s">
        <v>0</v>
      </c>
      <c r="BX2" s="2" t="s">
        <v>1</v>
      </c>
      <c r="BY2" s="2" t="s">
        <v>0</v>
      </c>
      <c r="BZ2" s="2" t="s">
        <v>0</v>
      </c>
      <c r="CA2" s="2" t="s">
        <v>0</v>
      </c>
      <c r="CB2" s="2" t="s">
        <v>0</v>
      </c>
      <c r="CC2" s="2" t="s">
        <v>0</v>
      </c>
      <c r="CD2" s="2" t="s">
        <v>0</v>
      </c>
      <c r="CE2" s="2" t="s">
        <v>0</v>
      </c>
      <c r="CF2" s="2" t="s">
        <v>0</v>
      </c>
      <c r="CG2" s="2" t="s">
        <v>0</v>
      </c>
      <c r="CH2" s="2" t="s">
        <v>0</v>
      </c>
      <c r="CI2" s="2" t="s">
        <v>0</v>
      </c>
      <c r="CJ2" s="2" t="s">
        <v>0</v>
      </c>
      <c r="CK2" s="2" t="s">
        <v>0</v>
      </c>
      <c r="CL2" s="2" t="s">
        <v>1</v>
      </c>
      <c r="CM2" s="2" t="s">
        <v>0</v>
      </c>
      <c r="CN2" s="2" t="s">
        <v>0</v>
      </c>
      <c r="CO2" s="2" t="s">
        <v>0</v>
      </c>
      <c r="CP2" s="2" t="s">
        <v>0</v>
      </c>
      <c r="CQ2" s="2" t="s">
        <v>0</v>
      </c>
      <c r="CR2" s="2" t="s">
        <v>0</v>
      </c>
      <c r="CS2" s="2" t="s">
        <v>0</v>
      </c>
      <c r="CT2" s="2" t="s">
        <v>0</v>
      </c>
      <c r="CU2" s="2" t="s">
        <v>0</v>
      </c>
      <c r="CV2" s="2" t="s">
        <v>0</v>
      </c>
      <c r="CW2" s="2" t="s">
        <v>0</v>
      </c>
      <c r="CX2" s="2" t="s">
        <v>0</v>
      </c>
      <c r="CY2" s="2" t="s">
        <v>0</v>
      </c>
      <c r="CZ2" s="2" t="s">
        <v>1</v>
      </c>
      <c r="DA2" s="2" t="s">
        <v>0</v>
      </c>
      <c r="DB2" s="2" t="s">
        <v>0</v>
      </c>
      <c r="DC2" s="2" t="s">
        <v>0</v>
      </c>
      <c r="DD2" s="2" t="s">
        <v>0</v>
      </c>
      <c r="DE2" s="2" t="s">
        <v>0</v>
      </c>
      <c r="DF2" s="2" t="s">
        <v>0</v>
      </c>
      <c r="DG2" s="2" t="s">
        <v>0</v>
      </c>
      <c r="DH2" s="2" t="s">
        <v>0</v>
      </c>
      <c r="DI2" s="2" t="s">
        <v>0</v>
      </c>
      <c r="DJ2" s="2" t="s">
        <v>0</v>
      </c>
      <c r="DK2" s="2" t="s">
        <v>0</v>
      </c>
      <c r="DL2" s="2" t="s">
        <v>0</v>
      </c>
      <c r="DM2" s="2" t="s">
        <v>0</v>
      </c>
      <c r="DN2" s="2" t="s">
        <v>1</v>
      </c>
      <c r="DO2" s="2" t="s">
        <v>0</v>
      </c>
      <c r="DP2" s="2" t="s">
        <v>0</v>
      </c>
      <c r="DQ2" s="2" t="s">
        <v>0</v>
      </c>
      <c r="DR2" s="2" t="s">
        <v>0</v>
      </c>
      <c r="DS2" s="2" t="s">
        <v>0</v>
      </c>
      <c r="DT2" s="2" t="s">
        <v>0</v>
      </c>
      <c r="DU2" s="2" t="s">
        <v>0</v>
      </c>
      <c r="DV2" s="2" t="s">
        <v>0</v>
      </c>
      <c r="DW2" s="2" t="s">
        <v>0</v>
      </c>
      <c r="DX2" s="2" t="s">
        <v>0</v>
      </c>
      <c r="DY2" s="2" t="s">
        <v>0</v>
      </c>
      <c r="DZ2" s="2" t="s">
        <v>0</v>
      </c>
      <c r="EA2" s="2" t="s">
        <v>0</v>
      </c>
      <c r="EB2" s="2" t="s">
        <v>1</v>
      </c>
      <c r="EC2" s="2" t="s">
        <v>0</v>
      </c>
      <c r="ED2" s="2" t="s">
        <v>0</v>
      </c>
      <c r="EE2" s="2" t="s">
        <v>0</v>
      </c>
      <c r="EF2" s="2" t="s">
        <v>0</v>
      </c>
      <c r="EG2" s="2" t="s">
        <v>0</v>
      </c>
      <c r="EH2" s="2" t="s">
        <v>0</v>
      </c>
      <c r="EI2" s="2" t="s">
        <v>0</v>
      </c>
      <c r="EJ2" s="2" t="s">
        <v>0</v>
      </c>
      <c r="EK2" s="2" t="s">
        <v>0</v>
      </c>
      <c r="EL2" s="2" t="s">
        <v>0</v>
      </c>
      <c r="EM2" s="2" t="s">
        <v>0</v>
      </c>
      <c r="EN2" s="2" t="s">
        <v>0</v>
      </c>
      <c r="EO2" s="2" t="s">
        <v>0</v>
      </c>
      <c r="EP2" s="2" t="s">
        <v>1</v>
      </c>
      <c r="EQ2" s="2" t="s">
        <v>0</v>
      </c>
      <c r="ER2" s="2" t="s">
        <v>0</v>
      </c>
      <c r="ES2" s="2" t="s">
        <v>0</v>
      </c>
      <c r="ET2" s="2" t="s">
        <v>0</v>
      </c>
      <c r="EU2" s="2" t="s">
        <v>0</v>
      </c>
      <c r="EV2" s="2" t="s">
        <v>0</v>
      </c>
      <c r="EW2" s="2" t="s">
        <v>0</v>
      </c>
      <c r="EX2" s="2" t="s">
        <v>0</v>
      </c>
      <c r="EY2" s="2" t="s">
        <v>0</v>
      </c>
      <c r="EZ2" s="2" t="s">
        <v>0</v>
      </c>
      <c r="FA2" s="2" t="s">
        <v>0</v>
      </c>
      <c r="FB2" s="2" t="s">
        <v>0</v>
      </c>
      <c r="FC2" s="2" t="s">
        <v>0</v>
      </c>
      <c r="FD2" s="2" t="s">
        <v>1</v>
      </c>
      <c r="FE2" s="2" t="s">
        <v>0</v>
      </c>
      <c r="FF2" s="2" t="s">
        <v>0</v>
      </c>
      <c r="FG2" s="2" t="s">
        <v>0</v>
      </c>
      <c r="FH2" s="2" t="s">
        <v>0</v>
      </c>
      <c r="FI2" s="2" t="s">
        <v>0</v>
      </c>
      <c r="FJ2" s="2" t="s">
        <v>0</v>
      </c>
      <c r="FK2" s="2" t="s">
        <v>0</v>
      </c>
      <c r="FL2" s="2" t="s">
        <v>0</v>
      </c>
      <c r="FM2" s="2" t="s">
        <v>0</v>
      </c>
      <c r="FN2" s="2" t="s">
        <v>0</v>
      </c>
      <c r="FO2" s="2" t="s">
        <v>0</v>
      </c>
      <c r="FP2" s="2" t="s">
        <v>0</v>
      </c>
      <c r="FQ2" s="2" t="s">
        <v>0</v>
      </c>
      <c r="FR2" s="2" t="s">
        <v>1</v>
      </c>
      <c r="FS2" s="2" t="s">
        <v>0</v>
      </c>
      <c r="FT2" s="2" t="s">
        <v>0</v>
      </c>
      <c r="FU2" s="2" t="s">
        <v>0</v>
      </c>
      <c r="FV2" s="2" t="s">
        <v>0</v>
      </c>
      <c r="FW2" s="2" t="s">
        <v>0</v>
      </c>
      <c r="FX2" s="2" t="s">
        <v>0</v>
      </c>
      <c r="FY2" s="2" t="s">
        <v>0</v>
      </c>
      <c r="FZ2" s="2" t="s">
        <v>0</v>
      </c>
      <c r="GA2" s="2" t="s">
        <v>0</v>
      </c>
      <c r="GB2" s="2" t="s">
        <v>0</v>
      </c>
      <c r="GC2" s="2" t="s">
        <v>0</v>
      </c>
      <c r="GD2" s="2" t="s">
        <v>0</v>
      </c>
      <c r="GE2" s="2" t="s">
        <v>0</v>
      </c>
      <c r="GF2" s="2" t="s">
        <v>1</v>
      </c>
    </row>
    <row r="3" spans="1:232" ht="25">
      <c r="A3" s="33" t="s">
        <v>184</v>
      </c>
      <c r="C3" s="33" t="s">
        <v>185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69">
        <f>SUM(ED3:EO3)</f>
        <v>0</v>
      </c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114"/>
      <c r="HX3" s="114"/>
    </row>
    <row r="4" spans="1:232" ht="20.25" customHeight="1">
      <c r="A4" s="5"/>
      <c r="C4" s="5"/>
      <c r="D4" s="11"/>
      <c r="E4" s="10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114"/>
      <c r="HX4" s="114"/>
    </row>
    <row r="5" spans="1:232" ht="72" customHeight="1">
      <c r="A5" s="359"/>
      <c r="B5" s="361" t="s">
        <v>4</v>
      </c>
      <c r="C5" s="359"/>
      <c r="D5" s="329">
        <v>2007</v>
      </c>
      <c r="E5" s="329">
        <v>2008</v>
      </c>
      <c r="F5" s="329">
        <v>2009</v>
      </c>
      <c r="G5" s="329">
        <v>2010</v>
      </c>
      <c r="H5" s="335">
        <v>2011</v>
      </c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7"/>
      <c r="T5" s="20">
        <v>2011</v>
      </c>
      <c r="U5" s="329">
        <v>2011</v>
      </c>
      <c r="V5" s="335">
        <v>2012</v>
      </c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7"/>
      <c r="AH5" s="20">
        <v>2012</v>
      </c>
      <c r="AI5" s="329">
        <v>2012</v>
      </c>
      <c r="AJ5" s="335">
        <v>2013</v>
      </c>
      <c r="AK5" s="336"/>
      <c r="AL5" s="336"/>
      <c r="AM5" s="336"/>
      <c r="AN5" s="336"/>
      <c r="AO5" s="336"/>
      <c r="AP5" s="336"/>
      <c r="AQ5" s="336"/>
      <c r="AR5" s="336"/>
      <c r="AS5" s="336"/>
      <c r="AT5" s="336"/>
      <c r="AU5" s="336"/>
      <c r="AV5" s="20">
        <v>2013</v>
      </c>
      <c r="AW5" s="330">
        <v>2013</v>
      </c>
      <c r="AX5" s="335">
        <v>2014</v>
      </c>
      <c r="AY5" s="336"/>
      <c r="AZ5" s="336"/>
      <c r="BA5" s="336"/>
      <c r="BB5" s="336"/>
      <c r="BC5" s="336"/>
      <c r="BD5" s="336"/>
      <c r="BE5" s="336"/>
      <c r="BF5" s="336"/>
      <c r="BG5" s="336"/>
      <c r="BH5" s="336"/>
      <c r="BI5" s="337"/>
      <c r="BJ5" s="20">
        <v>2014</v>
      </c>
      <c r="BK5" s="20">
        <v>2014</v>
      </c>
      <c r="BL5" s="335">
        <v>2015</v>
      </c>
      <c r="BM5" s="336"/>
      <c r="BN5" s="336"/>
      <c r="BO5" s="336"/>
      <c r="BP5" s="336"/>
      <c r="BQ5" s="336"/>
      <c r="BR5" s="336"/>
      <c r="BS5" s="336"/>
      <c r="BT5" s="336"/>
      <c r="BU5" s="336"/>
      <c r="BV5" s="336"/>
      <c r="BW5" s="337"/>
      <c r="BX5" s="134">
        <v>2015</v>
      </c>
      <c r="BY5" s="20">
        <v>2015</v>
      </c>
      <c r="BZ5" s="335">
        <v>2016</v>
      </c>
      <c r="CA5" s="336"/>
      <c r="CB5" s="336"/>
      <c r="CC5" s="336"/>
      <c r="CD5" s="336"/>
      <c r="CE5" s="336"/>
      <c r="CF5" s="336"/>
      <c r="CG5" s="336"/>
      <c r="CH5" s="336"/>
      <c r="CI5" s="336"/>
      <c r="CJ5" s="336"/>
      <c r="CK5" s="337"/>
      <c r="CL5" s="134">
        <v>2016</v>
      </c>
      <c r="CM5" s="20">
        <v>2016</v>
      </c>
      <c r="CN5" s="335">
        <v>2017</v>
      </c>
      <c r="CO5" s="336"/>
      <c r="CP5" s="336"/>
      <c r="CQ5" s="336"/>
      <c r="CR5" s="336"/>
      <c r="CS5" s="336"/>
      <c r="CT5" s="336"/>
      <c r="CU5" s="336"/>
      <c r="CV5" s="336"/>
      <c r="CW5" s="336"/>
      <c r="CX5" s="336"/>
      <c r="CY5" s="337"/>
      <c r="CZ5" s="154">
        <v>2017</v>
      </c>
      <c r="DA5" s="20">
        <f>CZ5</f>
        <v>2017</v>
      </c>
      <c r="DB5" s="335">
        <v>2018</v>
      </c>
      <c r="DC5" s="336"/>
      <c r="DD5" s="336"/>
      <c r="DE5" s="336"/>
      <c r="DF5" s="336"/>
      <c r="DG5" s="336"/>
      <c r="DH5" s="336"/>
      <c r="DI5" s="336"/>
      <c r="DJ5" s="336"/>
      <c r="DK5" s="336"/>
      <c r="DL5" s="336"/>
      <c r="DM5" s="337"/>
      <c r="DN5" s="154">
        <v>2018</v>
      </c>
      <c r="DO5" s="20">
        <f>DN5</f>
        <v>2018</v>
      </c>
      <c r="DP5" s="335">
        <v>2019</v>
      </c>
      <c r="DQ5" s="336"/>
      <c r="DR5" s="336"/>
      <c r="DS5" s="336"/>
      <c r="DT5" s="336"/>
      <c r="DU5" s="336"/>
      <c r="DV5" s="336"/>
      <c r="DW5" s="336"/>
      <c r="DX5" s="336"/>
      <c r="DY5" s="336"/>
      <c r="DZ5" s="336"/>
      <c r="EA5" s="337"/>
      <c r="EB5" s="154">
        <v>2019</v>
      </c>
      <c r="EC5" s="154">
        <v>2019</v>
      </c>
      <c r="ED5" s="335">
        <v>2020</v>
      </c>
      <c r="EE5" s="336"/>
      <c r="EF5" s="336"/>
      <c r="EG5" s="336"/>
      <c r="EH5" s="336"/>
      <c r="EI5" s="336"/>
      <c r="EJ5" s="336"/>
      <c r="EK5" s="336"/>
      <c r="EL5" s="336"/>
      <c r="EM5" s="336"/>
      <c r="EN5" s="336"/>
      <c r="EO5" s="337"/>
      <c r="EP5" s="134">
        <v>2020</v>
      </c>
      <c r="EQ5" s="20">
        <v>2020</v>
      </c>
      <c r="ER5" s="335">
        <v>2021</v>
      </c>
      <c r="ES5" s="336"/>
      <c r="ET5" s="336"/>
      <c r="EU5" s="336"/>
      <c r="EV5" s="336"/>
      <c r="EW5" s="336"/>
      <c r="EX5" s="336"/>
      <c r="EY5" s="336"/>
      <c r="EZ5" s="336"/>
      <c r="FA5" s="336"/>
      <c r="FB5" s="336"/>
      <c r="FC5" s="337"/>
      <c r="FD5" s="20">
        <v>2021</v>
      </c>
      <c r="FE5" s="20">
        <v>2021</v>
      </c>
      <c r="FF5" s="335">
        <v>2022</v>
      </c>
      <c r="FG5" s="336"/>
      <c r="FH5" s="336"/>
      <c r="FI5" s="336"/>
      <c r="FJ5" s="336"/>
      <c r="FK5" s="336"/>
      <c r="FL5" s="336"/>
      <c r="FM5" s="336"/>
      <c r="FN5" s="336"/>
      <c r="FO5" s="336"/>
      <c r="FP5" s="336"/>
      <c r="FQ5" s="337"/>
      <c r="FR5" s="20">
        <v>2022</v>
      </c>
      <c r="FS5" s="20">
        <v>2022</v>
      </c>
      <c r="FT5" s="335">
        <v>2023</v>
      </c>
      <c r="FU5" s="336"/>
      <c r="FV5" s="336"/>
      <c r="FW5" s="336"/>
      <c r="FX5" s="336"/>
      <c r="FY5" s="336"/>
      <c r="FZ5" s="336"/>
      <c r="GA5" s="336"/>
      <c r="GB5" s="336"/>
      <c r="GC5" s="336"/>
      <c r="GD5" s="336"/>
      <c r="GE5" s="337"/>
      <c r="GF5" s="20">
        <v>2023</v>
      </c>
      <c r="GG5" s="20">
        <v>2023</v>
      </c>
      <c r="GH5" s="335">
        <v>2024</v>
      </c>
      <c r="GI5" s="336"/>
      <c r="GJ5" s="336"/>
      <c r="GK5" s="336"/>
      <c r="GL5" s="336"/>
      <c r="GM5" s="336"/>
      <c r="GN5" s="336"/>
      <c r="GO5" s="336"/>
      <c r="GP5" s="336"/>
      <c r="GQ5" s="336"/>
      <c r="GR5" s="336"/>
      <c r="GS5" s="337"/>
      <c r="GT5" s="20">
        <v>2024</v>
      </c>
      <c r="GU5" s="20">
        <v>2024</v>
      </c>
      <c r="GV5" s="335">
        <v>2025</v>
      </c>
      <c r="GW5" s="336"/>
      <c r="GX5" s="336"/>
      <c r="GY5" s="336"/>
      <c r="GZ5" s="336"/>
      <c r="HA5" s="336"/>
      <c r="HB5" s="336"/>
      <c r="HC5" s="336"/>
      <c r="HD5" s="336"/>
      <c r="HE5" s="336"/>
      <c r="HF5" s="336"/>
      <c r="HG5" s="337"/>
      <c r="HH5" s="20">
        <v>2025</v>
      </c>
      <c r="HI5" s="335">
        <v>2026</v>
      </c>
      <c r="HJ5" s="336"/>
      <c r="HK5" s="336"/>
      <c r="HL5" s="336"/>
      <c r="HM5" s="336"/>
      <c r="HN5" s="336"/>
      <c r="HO5" s="336"/>
      <c r="HP5" s="336"/>
      <c r="HQ5" s="336"/>
      <c r="HR5" s="336"/>
      <c r="HS5" s="336"/>
      <c r="HT5" s="337"/>
      <c r="HU5" s="270">
        <v>2025</v>
      </c>
      <c r="HV5" s="270">
        <v>2026</v>
      </c>
      <c r="HW5" s="271" t="str">
        <f>Kopbudžets!HW5</f>
        <v>2026/2025</v>
      </c>
      <c r="HX5" s="271" t="str">
        <f>Kopbudžets!HX5</f>
        <v>2026/2025</v>
      </c>
    </row>
    <row r="6" spans="1:232" ht="62.25" customHeight="1">
      <c r="A6" s="360"/>
      <c r="B6" s="361"/>
      <c r="C6" s="360"/>
      <c r="D6" s="24" t="s">
        <v>0</v>
      </c>
      <c r="E6" s="24" t="s">
        <v>0</v>
      </c>
      <c r="F6" s="24" t="s">
        <v>0</v>
      </c>
      <c r="G6" s="24" t="s">
        <v>0</v>
      </c>
      <c r="H6" s="25" t="s">
        <v>6</v>
      </c>
      <c r="I6" s="25" t="s">
        <v>7</v>
      </c>
      <c r="J6" s="25" t="s">
        <v>8</v>
      </c>
      <c r="K6" s="25" t="s">
        <v>9</v>
      </c>
      <c r="L6" s="25" t="s">
        <v>10</v>
      </c>
      <c r="M6" s="25" t="s">
        <v>11</v>
      </c>
      <c r="N6" s="25" t="s">
        <v>12</v>
      </c>
      <c r="O6" s="25" t="s">
        <v>13</v>
      </c>
      <c r="P6" s="25" t="s">
        <v>14</v>
      </c>
      <c r="Q6" s="25" t="s">
        <v>15</v>
      </c>
      <c r="R6" s="25" t="s">
        <v>16</v>
      </c>
      <c r="S6" s="25" t="s">
        <v>17</v>
      </c>
      <c r="T6" s="24" t="s">
        <v>1</v>
      </c>
      <c r="U6" s="24" t="s">
        <v>0</v>
      </c>
      <c r="V6" s="25" t="s">
        <v>6</v>
      </c>
      <c r="W6" s="25" t="s">
        <v>7</v>
      </c>
      <c r="X6" s="25" t="s">
        <v>8</v>
      </c>
      <c r="Y6" s="25" t="s">
        <v>9</v>
      </c>
      <c r="Z6" s="25" t="s">
        <v>10</v>
      </c>
      <c r="AA6" s="25" t="s">
        <v>11</v>
      </c>
      <c r="AB6" s="25" t="s">
        <v>12</v>
      </c>
      <c r="AC6" s="25" t="s">
        <v>13</v>
      </c>
      <c r="AD6" s="25" t="s">
        <v>14</v>
      </c>
      <c r="AE6" s="25" t="s">
        <v>15</v>
      </c>
      <c r="AF6" s="25" t="s">
        <v>16</v>
      </c>
      <c r="AG6" s="25" t="s">
        <v>17</v>
      </c>
      <c r="AH6" s="24" t="s">
        <v>1</v>
      </c>
      <c r="AI6" s="24" t="s">
        <v>0</v>
      </c>
      <c r="AJ6" s="25" t="s">
        <v>6</v>
      </c>
      <c r="AK6" s="25" t="s">
        <v>7</v>
      </c>
      <c r="AL6" s="25" t="s">
        <v>8</v>
      </c>
      <c r="AM6" s="25" t="s">
        <v>9</v>
      </c>
      <c r="AN6" s="25" t="s">
        <v>10</v>
      </c>
      <c r="AO6" s="25" t="s">
        <v>11</v>
      </c>
      <c r="AP6" s="25" t="s">
        <v>12</v>
      </c>
      <c r="AQ6" s="25" t="s">
        <v>13</v>
      </c>
      <c r="AR6" s="25" t="s">
        <v>14</v>
      </c>
      <c r="AS6" s="25" t="s">
        <v>15</v>
      </c>
      <c r="AT6" s="25" t="s">
        <v>16</v>
      </c>
      <c r="AU6" s="26" t="s">
        <v>17</v>
      </c>
      <c r="AV6" s="24" t="s">
        <v>1</v>
      </c>
      <c r="AW6" s="24" t="s">
        <v>0</v>
      </c>
      <c r="AX6" s="24" t="s">
        <v>6</v>
      </c>
      <c r="AY6" s="24" t="s">
        <v>7</v>
      </c>
      <c r="AZ6" s="24" t="s">
        <v>8</v>
      </c>
      <c r="BA6" s="24" t="s">
        <v>9</v>
      </c>
      <c r="BB6" s="24" t="s">
        <v>10</v>
      </c>
      <c r="BC6" s="24" t="s">
        <v>11</v>
      </c>
      <c r="BD6" s="24" t="s">
        <v>12</v>
      </c>
      <c r="BE6" s="24" t="s">
        <v>13</v>
      </c>
      <c r="BF6" s="24" t="s">
        <v>14</v>
      </c>
      <c r="BG6" s="24" t="s">
        <v>15</v>
      </c>
      <c r="BH6" s="24" t="s">
        <v>16</v>
      </c>
      <c r="BI6" s="24" t="s">
        <v>17</v>
      </c>
      <c r="BJ6" s="24" t="s">
        <v>1</v>
      </c>
      <c r="BK6" s="24" t="s">
        <v>0</v>
      </c>
      <c r="BL6" s="24" t="s">
        <v>6</v>
      </c>
      <c r="BM6" s="24" t="s">
        <v>7</v>
      </c>
      <c r="BN6" s="24" t="s">
        <v>8</v>
      </c>
      <c r="BO6" s="24" t="s">
        <v>9</v>
      </c>
      <c r="BP6" s="24" t="s">
        <v>10</v>
      </c>
      <c r="BQ6" s="24" t="s">
        <v>11</v>
      </c>
      <c r="BR6" s="24" t="s">
        <v>12</v>
      </c>
      <c r="BS6" s="24" t="s">
        <v>13</v>
      </c>
      <c r="BT6" s="24" t="s">
        <v>14</v>
      </c>
      <c r="BU6" s="24" t="s">
        <v>15</v>
      </c>
      <c r="BV6" s="24" t="s">
        <v>16</v>
      </c>
      <c r="BW6" s="24" t="s">
        <v>17</v>
      </c>
      <c r="BX6" s="24" t="s">
        <v>1</v>
      </c>
      <c r="BY6" s="24" t="s">
        <v>0</v>
      </c>
      <c r="BZ6" s="24" t="s">
        <v>6</v>
      </c>
      <c r="CA6" s="24" t="s">
        <v>7</v>
      </c>
      <c r="CB6" s="24" t="s">
        <v>8</v>
      </c>
      <c r="CC6" s="24" t="s">
        <v>9</v>
      </c>
      <c r="CD6" s="24" t="s">
        <v>10</v>
      </c>
      <c r="CE6" s="24" t="s">
        <v>11</v>
      </c>
      <c r="CF6" s="24" t="s">
        <v>12</v>
      </c>
      <c r="CG6" s="24" t="s">
        <v>13</v>
      </c>
      <c r="CH6" s="24" t="s">
        <v>14</v>
      </c>
      <c r="CI6" s="24" t="s">
        <v>15</v>
      </c>
      <c r="CJ6" s="24" t="s">
        <v>16</v>
      </c>
      <c r="CK6" s="24" t="s">
        <v>17</v>
      </c>
      <c r="CL6" s="157" t="s">
        <v>1</v>
      </c>
      <c r="CM6" s="157" t="s">
        <v>0</v>
      </c>
      <c r="CN6" s="24" t="s">
        <v>6</v>
      </c>
      <c r="CO6" s="24" t="s">
        <v>7</v>
      </c>
      <c r="CP6" s="24" t="s">
        <v>8</v>
      </c>
      <c r="CQ6" s="24" t="s">
        <v>9</v>
      </c>
      <c r="CR6" s="24" t="s">
        <v>10</v>
      </c>
      <c r="CS6" s="24" t="s">
        <v>11</v>
      </c>
      <c r="CT6" s="24" t="s">
        <v>12</v>
      </c>
      <c r="CU6" s="24" t="s">
        <v>13</v>
      </c>
      <c r="CV6" s="24" t="s">
        <v>14</v>
      </c>
      <c r="CW6" s="24" t="s">
        <v>15</v>
      </c>
      <c r="CX6" s="24" t="s">
        <v>16</v>
      </c>
      <c r="CY6" s="24" t="s">
        <v>17</v>
      </c>
      <c r="CZ6" s="24" t="s">
        <v>1</v>
      </c>
      <c r="DA6" s="24" t="s">
        <v>0</v>
      </c>
      <c r="DB6" s="24" t="s">
        <v>6</v>
      </c>
      <c r="DC6" s="24" t="s">
        <v>7</v>
      </c>
      <c r="DD6" s="24" t="s">
        <v>8</v>
      </c>
      <c r="DE6" s="24" t="s">
        <v>9</v>
      </c>
      <c r="DF6" s="24" t="s">
        <v>10</v>
      </c>
      <c r="DG6" s="24" t="s">
        <v>11</v>
      </c>
      <c r="DH6" s="24" t="s">
        <v>12</v>
      </c>
      <c r="DI6" s="24" t="s">
        <v>13</v>
      </c>
      <c r="DJ6" s="24" t="s">
        <v>14</v>
      </c>
      <c r="DK6" s="24" t="s">
        <v>15</v>
      </c>
      <c r="DL6" s="24" t="s">
        <v>16</v>
      </c>
      <c r="DM6" s="24" t="s">
        <v>17</v>
      </c>
      <c r="DN6" s="24" t="s">
        <v>1</v>
      </c>
      <c r="DO6" s="24" t="s">
        <v>18</v>
      </c>
      <c r="DP6" s="24" t="s">
        <v>6</v>
      </c>
      <c r="DQ6" s="24" t="s">
        <v>7</v>
      </c>
      <c r="DR6" s="24" t="s">
        <v>8</v>
      </c>
      <c r="DS6" s="24" t="s">
        <v>9</v>
      </c>
      <c r="DT6" s="24" t="s">
        <v>10</v>
      </c>
      <c r="DU6" s="24" t="s">
        <v>11</v>
      </c>
      <c r="DV6" s="24" t="s">
        <v>12</v>
      </c>
      <c r="DW6" s="24" t="s">
        <v>13</v>
      </c>
      <c r="DX6" s="24" t="s">
        <v>14</v>
      </c>
      <c r="DY6" s="24" t="s">
        <v>15</v>
      </c>
      <c r="DZ6" s="24" t="s">
        <v>16</v>
      </c>
      <c r="EA6" s="24" t="s">
        <v>17</v>
      </c>
      <c r="EB6" s="24" t="s">
        <v>1</v>
      </c>
      <c r="EC6" s="24" t="s">
        <v>18</v>
      </c>
      <c r="ED6" s="24" t="s">
        <v>6</v>
      </c>
      <c r="EE6" s="24" t="s">
        <v>7</v>
      </c>
      <c r="EF6" s="24" t="s">
        <v>8</v>
      </c>
      <c r="EG6" s="24" t="s">
        <v>9</v>
      </c>
      <c r="EH6" s="24" t="s">
        <v>10</v>
      </c>
      <c r="EI6" s="24" t="s">
        <v>11</v>
      </c>
      <c r="EJ6" s="24" t="s">
        <v>12</v>
      </c>
      <c r="EK6" s="24" t="s">
        <v>13</v>
      </c>
      <c r="EL6" s="24" t="s">
        <v>14</v>
      </c>
      <c r="EM6" s="24" t="s">
        <v>15</v>
      </c>
      <c r="EN6" s="24" t="s">
        <v>16</v>
      </c>
      <c r="EO6" s="24" t="s">
        <v>17</v>
      </c>
      <c r="EP6" s="24" t="s">
        <v>1</v>
      </c>
      <c r="EQ6" s="24" t="s">
        <v>18</v>
      </c>
      <c r="ER6" s="24" t="s">
        <v>6</v>
      </c>
      <c r="ES6" s="24" t="s">
        <v>7</v>
      </c>
      <c r="ET6" s="24" t="s">
        <v>8</v>
      </c>
      <c r="EU6" s="24" t="s">
        <v>9</v>
      </c>
      <c r="EV6" s="24" t="s">
        <v>10</v>
      </c>
      <c r="EW6" s="24" t="s">
        <v>11</v>
      </c>
      <c r="EX6" s="24" t="s">
        <v>12</v>
      </c>
      <c r="EY6" s="24" t="s">
        <v>13</v>
      </c>
      <c r="EZ6" s="24" t="s">
        <v>14</v>
      </c>
      <c r="FA6" s="24" t="s">
        <v>15</v>
      </c>
      <c r="FB6" s="24" t="s">
        <v>16</v>
      </c>
      <c r="FC6" s="24" t="s">
        <v>17</v>
      </c>
      <c r="FD6" s="24" t="s">
        <v>1</v>
      </c>
      <c r="FE6" s="24" t="s">
        <v>18</v>
      </c>
      <c r="FF6" s="24" t="s">
        <v>6</v>
      </c>
      <c r="FG6" s="24" t="s">
        <v>7</v>
      </c>
      <c r="FH6" s="24" t="s">
        <v>8</v>
      </c>
      <c r="FI6" s="24" t="s">
        <v>9</v>
      </c>
      <c r="FJ6" s="24" t="s">
        <v>10</v>
      </c>
      <c r="FK6" s="24" t="s">
        <v>11</v>
      </c>
      <c r="FL6" s="24" t="s">
        <v>12</v>
      </c>
      <c r="FM6" s="24" t="s">
        <v>13</v>
      </c>
      <c r="FN6" s="24" t="s">
        <v>14</v>
      </c>
      <c r="FO6" s="24" t="s">
        <v>15</v>
      </c>
      <c r="FP6" s="24" t="s">
        <v>16</v>
      </c>
      <c r="FQ6" s="24" t="s">
        <v>17</v>
      </c>
      <c r="FR6" s="24" t="s">
        <v>1</v>
      </c>
      <c r="FS6" s="24" t="s">
        <v>18</v>
      </c>
      <c r="FT6" s="24" t="s">
        <v>6</v>
      </c>
      <c r="FU6" s="24" t="s">
        <v>7</v>
      </c>
      <c r="FV6" s="24" t="s">
        <v>8</v>
      </c>
      <c r="FW6" s="24" t="s">
        <v>9</v>
      </c>
      <c r="FX6" s="24" t="s">
        <v>10</v>
      </c>
      <c r="FY6" s="24" t="s">
        <v>11</v>
      </c>
      <c r="FZ6" s="24" t="s">
        <v>12</v>
      </c>
      <c r="GA6" s="24" t="s">
        <v>13</v>
      </c>
      <c r="GB6" s="24" t="s">
        <v>14</v>
      </c>
      <c r="GC6" s="24" t="s">
        <v>15</v>
      </c>
      <c r="GD6" s="24" t="s">
        <v>16</v>
      </c>
      <c r="GE6" s="24" t="s">
        <v>17</v>
      </c>
      <c r="GF6" s="24" t="s">
        <v>1</v>
      </c>
      <c r="GG6" s="24" t="s">
        <v>18</v>
      </c>
      <c r="GH6" s="24" t="s">
        <v>6</v>
      </c>
      <c r="GI6" s="24" t="s">
        <v>7</v>
      </c>
      <c r="GJ6" s="24" t="s">
        <v>8</v>
      </c>
      <c r="GK6" s="24" t="s">
        <v>9</v>
      </c>
      <c r="GL6" s="24" t="s">
        <v>10</v>
      </c>
      <c r="GM6" s="24" t="s">
        <v>11</v>
      </c>
      <c r="GN6" s="24" t="s">
        <v>12</v>
      </c>
      <c r="GO6" s="24" t="s">
        <v>13</v>
      </c>
      <c r="GP6" s="24" t="s">
        <v>14</v>
      </c>
      <c r="GQ6" s="24" t="s">
        <v>15</v>
      </c>
      <c r="GR6" s="24" t="s">
        <v>16</v>
      </c>
      <c r="GS6" s="24" t="s">
        <v>17</v>
      </c>
      <c r="GT6" s="25" t="s">
        <v>1</v>
      </c>
      <c r="GU6" s="24" t="s">
        <v>18</v>
      </c>
      <c r="GV6" s="24" t="s">
        <v>6</v>
      </c>
      <c r="GW6" s="24" t="s">
        <v>7</v>
      </c>
      <c r="GX6" s="24" t="s">
        <v>8</v>
      </c>
      <c r="GY6" s="24" t="s">
        <v>9</v>
      </c>
      <c r="GZ6" s="24" t="s">
        <v>10</v>
      </c>
      <c r="HA6" s="24" t="s">
        <v>11</v>
      </c>
      <c r="HB6" s="24" t="s">
        <v>12</v>
      </c>
      <c r="HC6" s="24" t="s">
        <v>13</v>
      </c>
      <c r="HD6" s="24" t="s">
        <v>14</v>
      </c>
      <c r="HE6" s="24" t="s">
        <v>15</v>
      </c>
      <c r="HF6" s="24" t="s">
        <v>16</v>
      </c>
      <c r="HG6" s="24" t="s">
        <v>17</v>
      </c>
      <c r="HH6" s="24" t="s">
        <v>1</v>
      </c>
      <c r="HI6" s="24" t="s">
        <v>6</v>
      </c>
      <c r="HJ6" s="24" t="s">
        <v>7</v>
      </c>
      <c r="HK6" s="24" t="s">
        <v>8</v>
      </c>
      <c r="HL6" s="24" t="s">
        <v>9</v>
      </c>
      <c r="HM6" s="24" t="s">
        <v>10</v>
      </c>
      <c r="HN6" s="24" t="s">
        <v>11</v>
      </c>
      <c r="HO6" s="24" t="s">
        <v>12</v>
      </c>
      <c r="HP6" s="24" t="s">
        <v>13</v>
      </c>
      <c r="HQ6" s="24" t="s">
        <v>14</v>
      </c>
      <c r="HR6" s="24" t="s">
        <v>15</v>
      </c>
      <c r="HS6" s="24" t="s">
        <v>16</v>
      </c>
      <c r="HT6" s="24" t="s">
        <v>17</v>
      </c>
      <c r="HU6" s="272" t="str">
        <f>Kopbudžets!HU6</f>
        <v>I-IV</v>
      </c>
      <c r="HV6" s="272" t="str">
        <f>Kopbudžets!HV6</f>
        <v>I-IV</v>
      </c>
      <c r="HW6" s="273" t="str">
        <f>"Izmaiņas "&amp;HV6&amp;" "&amp;HW5&amp;", milj. euro"</f>
        <v>Izmaiņas I-IV 2026/2025, milj. euro</v>
      </c>
      <c r="HX6" s="273" t="str">
        <f>"Izmaiņas "&amp;HV6&amp;" "&amp;HX5&amp;", %"</f>
        <v>Izmaiņas I-IV 2026/2025, %</v>
      </c>
    </row>
    <row r="7" spans="1:232" s="12" customFormat="1" ht="20">
      <c r="A7" s="40" t="s">
        <v>25</v>
      </c>
      <c r="C7" s="40" t="s">
        <v>26</v>
      </c>
      <c r="D7" s="40">
        <v>6255.3544487509998</v>
      </c>
      <c r="E7" s="40">
        <v>6655.3176362115191</v>
      </c>
      <c r="F7" s="40">
        <v>5572.700344619554</v>
      </c>
      <c r="G7" s="40">
        <v>5389.8702412052298</v>
      </c>
      <c r="H7" s="40">
        <v>437.85430219520663</v>
      </c>
      <c r="I7" s="40">
        <v>390.63889790041043</v>
      </c>
      <c r="J7" s="40">
        <v>386.28979203305613</v>
      </c>
      <c r="K7" s="40">
        <v>453.01730069834537</v>
      </c>
      <c r="L7" s="40">
        <v>492.19919351625782</v>
      </c>
      <c r="M7" s="40">
        <v>560.5762986551016</v>
      </c>
      <c r="N7" s="40">
        <v>467.08265604635142</v>
      </c>
      <c r="O7" s="40">
        <v>768.33818248046396</v>
      </c>
      <c r="P7" s="40">
        <v>536.94281905054606</v>
      </c>
      <c r="Q7" s="40">
        <v>504.50000853723083</v>
      </c>
      <c r="R7" s="40">
        <v>490.28030432382292</v>
      </c>
      <c r="S7" s="40">
        <v>509.4682130437505</v>
      </c>
      <c r="T7" s="40">
        <v>5997.1879684805435</v>
      </c>
      <c r="U7" s="40">
        <v>5997.5027973659799</v>
      </c>
      <c r="V7" s="40">
        <v>543.64743797701783</v>
      </c>
      <c r="W7" s="40">
        <v>432.26106372473691</v>
      </c>
      <c r="X7" s="40">
        <v>470.41949832385706</v>
      </c>
      <c r="Y7" s="40">
        <v>539.69586917547429</v>
      </c>
      <c r="Z7" s="40">
        <v>543.64941150021923</v>
      </c>
      <c r="AA7" s="40">
        <v>587.73322291848081</v>
      </c>
      <c r="AB7" s="40">
        <v>694.59224789557265</v>
      </c>
      <c r="AC7" s="40">
        <v>742.23865686592558</v>
      </c>
      <c r="AD7" s="40">
        <v>552.67784446303665</v>
      </c>
      <c r="AE7" s="40">
        <v>562.61056880723504</v>
      </c>
      <c r="AF7" s="40">
        <v>538.95708476331959</v>
      </c>
      <c r="AG7" s="40">
        <v>627.49155810154741</v>
      </c>
      <c r="AH7" s="40">
        <v>6835.9744645164228</v>
      </c>
      <c r="AI7" s="40">
        <v>6835.9417960057144</v>
      </c>
      <c r="AJ7" s="40">
        <v>554.17523377783846</v>
      </c>
      <c r="AK7" s="40">
        <v>469.5133963380971</v>
      </c>
      <c r="AL7" s="40">
        <v>612.34204557742987</v>
      </c>
      <c r="AM7" s="40">
        <v>636.56604828657782</v>
      </c>
      <c r="AN7" s="40">
        <v>619.76272141308243</v>
      </c>
      <c r="AO7" s="40">
        <v>566.34417703940221</v>
      </c>
      <c r="AP7" s="40">
        <v>632.53522888315956</v>
      </c>
      <c r="AQ7" s="40">
        <v>623.21421335109073</v>
      </c>
      <c r="AR7" s="40">
        <v>577.42416520110874</v>
      </c>
      <c r="AS7" s="40">
        <v>605.45909101257257</v>
      </c>
      <c r="AT7" s="40">
        <v>490.27406218518962</v>
      </c>
      <c r="AU7" s="40">
        <v>558.13342553542668</v>
      </c>
      <c r="AV7" s="40">
        <v>6945.7438086009761</v>
      </c>
      <c r="AW7" s="40">
        <v>6940.9326455171004</v>
      </c>
      <c r="AX7" s="40">
        <f>AX8+AX31+AX32+AX33+AX34+AX38</f>
        <v>572.45325844000013</v>
      </c>
      <c r="AY7" s="40">
        <f>AY8+AY31+AY32+AY33+AY34+AY38</f>
        <v>577.89349600000003</v>
      </c>
      <c r="AZ7" s="40">
        <f t="shared" ref="AZ7:BG7" si="0">AZ8+AZ31+AZ32+AZ33+AZ34+AZ38</f>
        <v>491.31613468</v>
      </c>
      <c r="BA7" s="40">
        <f t="shared" si="0"/>
        <v>609.32107769000004</v>
      </c>
      <c r="BB7" s="40">
        <f t="shared" si="0"/>
        <v>567.51872514000002</v>
      </c>
      <c r="BC7" s="40">
        <f t="shared" si="0"/>
        <v>812.50460559999988</v>
      </c>
      <c r="BD7" s="40">
        <f t="shared" si="0"/>
        <v>592.10034180000002</v>
      </c>
      <c r="BE7" s="40">
        <f t="shared" si="0"/>
        <v>575.10020087999999</v>
      </c>
      <c r="BF7" s="40">
        <f t="shared" si="0"/>
        <v>559.62655221</v>
      </c>
      <c r="BG7" s="40">
        <f t="shared" si="0"/>
        <v>573.35365074999993</v>
      </c>
      <c r="BH7" s="40">
        <f>BH8+BH31+BH32+BH33+BH34+BH38</f>
        <v>504.54757747000008</v>
      </c>
      <c r="BI7" s="40">
        <f>BI8+BI31+BI32+BI33+BI34+BI38</f>
        <v>616.42122578999999</v>
      </c>
      <c r="BJ7" s="39">
        <f t="shared" ref="BJ7:BJ32" si="1">SUM(AX7:BI7)</f>
        <v>7052.1568464500006</v>
      </c>
      <c r="BK7" s="40">
        <f>BK8+BK31+BK32+BK33+BK34+BK38</f>
        <v>7049.4650470000015</v>
      </c>
      <c r="BL7" s="40">
        <f>BL8+BL31+BL32+BL33+BL34+BL38</f>
        <v>632.42837940999993</v>
      </c>
      <c r="BM7" s="40">
        <v>542.09310970999991</v>
      </c>
      <c r="BN7" s="40">
        <v>636.60910368000009</v>
      </c>
      <c r="BO7" s="40">
        <v>758.2419920000001</v>
      </c>
      <c r="BP7" s="40">
        <v>596.15030542</v>
      </c>
      <c r="BQ7" s="40">
        <v>657.24579293000011</v>
      </c>
      <c r="BR7" s="40">
        <v>549.50963980000006</v>
      </c>
      <c r="BS7" s="40">
        <v>673.48301213000013</v>
      </c>
      <c r="BT7" s="40">
        <v>511.5304710399999</v>
      </c>
      <c r="BU7" s="40">
        <v>616.84265458999994</v>
      </c>
      <c r="BV7" s="40">
        <v>527.15793918999998</v>
      </c>
      <c r="BW7" s="40">
        <v>591.07041255000001</v>
      </c>
      <c r="BX7" s="39">
        <f>SUM(BL7:BW7)</f>
        <v>7292.3628124499992</v>
      </c>
      <c r="BY7" s="39">
        <f>BY8+BY31+BY32+BY33+BY34+BY38</f>
        <v>7290.2849470900001</v>
      </c>
      <c r="BZ7" s="39">
        <v>609.78000941000005</v>
      </c>
      <c r="CA7" s="39">
        <v>674.15770870999995</v>
      </c>
      <c r="CB7" s="39">
        <v>515.20584341999995</v>
      </c>
      <c r="CC7" s="39">
        <v>642.78961191000008</v>
      </c>
      <c r="CD7" s="39">
        <v>691.09119531000022</v>
      </c>
      <c r="CE7" s="39">
        <v>606.23034338999992</v>
      </c>
      <c r="CF7" s="39">
        <v>611.37598550999996</v>
      </c>
      <c r="CG7" s="39">
        <v>593.1751324600001</v>
      </c>
      <c r="CH7" s="39">
        <v>602.64762617000008</v>
      </c>
      <c r="CI7" s="39">
        <v>615.73438217000012</v>
      </c>
      <c r="CJ7" s="39">
        <v>572.30344938000007</v>
      </c>
      <c r="CK7" s="39">
        <v>691.70600033000005</v>
      </c>
      <c r="CL7" s="39">
        <f>SUM(BZ7:CK7)</f>
        <v>7426.1972881700012</v>
      </c>
      <c r="CM7" s="39">
        <f>CM8+CM31+CM32+CM33+CM34+CM38</f>
        <v>7425.1548970000003</v>
      </c>
      <c r="CN7" s="39">
        <v>669.9370937000001</v>
      </c>
      <c r="CO7" s="39">
        <v>640.88115491999997</v>
      </c>
      <c r="CP7" s="39">
        <v>543.61831486000005</v>
      </c>
      <c r="CQ7" s="39">
        <v>704.16960757999982</v>
      </c>
      <c r="CR7" s="39">
        <v>669.02544029000001</v>
      </c>
      <c r="CS7" s="39">
        <v>720.11664905000009</v>
      </c>
      <c r="CT7" s="39">
        <v>646.02995758999987</v>
      </c>
      <c r="CU7" s="39">
        <v>653.7964089100002</v>
      </c>
      <c r="CV7" s="39">
        <v>595.17744375999996</v>
      </c>
      <c r="CW7" s="39">
        <v>672.23519587999999</v>
      </c>
      <c r="CX7" s="39">
        <v>593.56946673000004</v>
      </c>
      <c r="CY7" s="39">
        <v>731.65506090999997</v>
      </c>
      <c r="CZ7" s="39">
        <f>SUM(CN7:CY7)</f>
        <v>7840.2117941800007</v>
      </c>
      <c r="DA7" s="39">
        <f>DA8+DA31+DA32+DA33+DA34+DA38</f>
        <v>7840.5388870000015</v>
      </c>
      <c r="DB7" s="39">
        <v>738.73043739000025</v>
      </c>
      <c r="DC7" s="39">
        <v>757.4841059200005</v>
      </c>
      <c r="DD7" s="39">
        <v>593.92089920999956</v>
      </c>
      <c r="DE7" s="39">
        <v>792.3224060700004</v>
      </c>
      <c r="DF7" s="39">
        <v>900.1833791800002</v>
      </c>
      <c r="DG7" s="39">
        <v>748.40239100000133</v>
      </c>
      <c r="DH7" s="39">
        <v>927.3867392199993</v>
      </c>
      <c r="DI7" s="39">
        <v>732.74969623999914</v>
      </c>
      <c r="DJ7" s="39">
        <v>654.5557235</v>
      </c>
      <c r="DK7" s="39">
        <v>739.68869134999966</v>
      </c>
      <c r="DL7" s="39">
        <v>722.22466969000163</v>
      </c>
      <c r="DM7" s="39">
        <v>753.11362977000022</v>
      </c>
      <c r="DN7" s="39">
        <f>SUM(DB7:DM7)</f>
        <v>9060.7627685400003</v>
      </c>
      <c r="DO7" s="39">
        <f>DO8+DO31+DO32+DO33+DO34+DO38</f>
        <v>9059.3793189999997</v>
      </c>
      <c r="DP7" s="39">
        <v>832.43899722000026</v>
      </c>
      <c r="DQ7" s="39">
        <v>836.7598311600002</v>
      </c>
      <c r="DR7" s="39">
        <v>580.29413888999977</v>
      </c>
      <c r="DS7" s="39">
        <v>858.39425152999945</v>
      </c>
      <c r="DT7" s="39">
        <v>935.37762686000076</v>
      </c>
      <c r="DU7" s="39">
        <v>932.38538648000122</v>
      </c>
      <c r="DV7" s="39">
        <v>728.92965204999939</v>
      </c>
      <c r="DW7" s="39">
        <v>677.38658208000049</v>
      </c>
      <c r="DX7" s="39">
        <v>623.63209858000039</v>
      </c>
      <c r="DY7" s="39">
        <v>839.81342502000041</v>
      </c>
      <c r="DZ7" s="39">
        <v>669.32741402999966</v>
      </c>
      <c r="EA7" s="39">
        <v>913.29751883999904</v>
      </c>
      <c r="EB7" s="39">
        <f>SUM(DP7:EA7)</f>
        <v>9428.0369227400006</v>
      </c>
      <c r="EC7" s="39">
        <f>EC8+EC31+EC32+EC33+EC34+EC38</f>
        <v>9425.8532230000001</v>
      </c>
      <c r="ED7" s="39">
        <v>800.10457315999872</v>
      </c>
      <c r="EE7" s="39">
        <v>830.02511662999984</v>
      </c>
      <c r="EF7" s="39">
        <v>663.24471864000043</v>
      </c>
      <c r="EG7" s="39">
        <v>886.23106668999924</v>
      </c>
      <c r="EH7" s="39">
        <v>782.26877970999976</v>
      </c>
      <c r="EI7" s="39">
        <v>687.9837126499998</v>
      </c>
      <c r="EJ7" s="39">
        <v>977.50356906999923</v>
      </c>
      <c r="EK7" s="39">
        <v>736.63349941000024</v>
      </c>
      <c r="EL7" s="39">
        <v>701.44534085000021</v>
      </c>
      <c r="EM7" s="39">
        <v>749.60838843000022</v>
      </c>
      <c r="EN7" s="39">
        <v>720.93062445000089</v>
      </c>
      <c r="EO7" s="39">
        <v>928.82608499999992</v>
      </c>
      <c r="EP7" s="39">
        <f>SUM(ED7:EO7)</f>
        <v>9464.8054746899998</v>
      </c>
      <c r="EQ7" s="220">
        <f>EQ8+EQ31+EQ32+EQ33+EQ34+EQ38</f>
        <v>9486.9283140000007</v>
      </c>
      <c r="ER7" s="39">
        <v>892.17247599999996</v>
      </c>
      <c r="ES7" s="39">
        <v>877.66841099999999</v>
      </c>
      <c r="ET7" s="39">
        <v>558.64248754000073</v>
      </c>
      <c r="EU7" s="39">
        <v>1048.8823896400011</v>
      </c>
      <c r="EV7" s="39">
        <v>928.75868039999989</v>
      </c>
      <c r="EW7" s="39">
        <v>845.2756216300005</v>
      </c>
      <c r="EX7" s="39">
        <v>1009.8155378100012</v>
      </c>
      <c r="EY7" s="39">
        <v>864.02232228000003</v>
      </c>
      <c r="EZ7" s="39">
        <v>1047.0246460000001</v>
      </c>
      <c r="FA7" s="39">
        <v>789.87020900000005</v>
      </c>
      <c r="FB7" s="39">
        <v>906.37221000000125</v>
      </c>
      <c r="FC7" s="39">
        <v>931.52161250000051</v>
      </c>
      <c r="FD7" s="39">
        <f>SUM(ER7:FC7)</f>
        <v>10700.026603800006</v>
      </c>
      <c r="FE7" s="39">
        <f>FE8+FE31+FE32+FE33+FE34+FE38</f>
        <v>10676.9330808</v>
      </c>
      <c r="FF7" s="39">
        <v>1040.9983558499998</v>
      </c>
      <c r="FG7" s="39">
        <v>971.70031595999978</v>
      </c>
      <c r="FH7" s="39">
        <v>773.89034958000047</v>
      </c>
      <c r="FI7" s="39">
        <v>1085.1491808699993</v>
      </c>
      <c r="FJ7" s="39">
        <v>967.18208941</v>
      </c>
      <c r="FK7" s="39">
        <v>936.52128366000022</v>
      </c>
      <c r="FL7" s="39">
        <v>1027.6141044400008</v>
      </c>
      <c r="FM7" s="39">
        <v>1012.7780137900002</v>
      </c>
      <c r="FN7" s="39">
        <v>897.6097946299999</v>
      </c>
      <c r="FO7" s="39">
        <v>1137.7057681400004</v>
      </c>
      <c r="FP7" s="39">
        <v>1062.3297897700004</v>
      </c>
      <c r="FQ7" s="39">
        <v>1197.371789190001</v>
      </c>
      <c r="FR7" s="39">
        <f>SUM(FF7:FQ7)</f>
        <v>12110.850835290003</v>
      </c>
      <c r="FS7" s="39">
        <f>FS8+FS31+FS32+FS33+FS34+FS38</f>
        <v>12134.764918000001</v>
      </c>
      <c r="FT7" s="39">
        <v>1108.0076261699992</v>
      </c>
      <c r="FU7" s="39">
        <v>1116.7763188399992</v>
      </c>
      <c r="FV7" s="39">
        <v>794.24645699999996</v>
      </c>
      <c r="FW7" s="39">
        <v>1245.1983032099995</v>
      </c>
      <c r="FX7" s="39">
        <v>1185.2302964299997</v>
      </c>
      <c r="FY7" s="39">
        <v>1114.6180906300001</v>
      </c>
      <c r="FZ7" s="39">
        <v>1241.7404537499995</v>
      </c>
      <c r="GA7" s="39">
        <v>1050.1062768899992</v>
      </c>
      <c r="GB7" s="39">
        <v>1044.8192961399996</v>
      </c>
      <c r="GC7" s="39">
        <v>1033.59515577</v>
      </c>
      <c r="GD7" s="39">
        <v>1129.5773593700007</v>
      </c>
      <c r="GE7" s="39">
        <v>1152.8463504599995</v>
      </c>
      <c r="GF7" s="39">
        <f>SUM(FT7:GE7)</f>
        <v>13216.761984659999</v>
      </c>
      <c r="GG7" s="39">
        <f>GG8+GG31+GG32+GG33+GG34+GG38</f>
        <v>13306.762751999999</v>
      </c>
      <c r="GH7" s="39">
        <v>1342.7401105900005</v>
      </c>
      <c r="GI7" s="39">
        <v>1110.5832789599997</v>
      </c>
      <c r="GJ7" s="39">
        <v>1050.0826160800002</v>
      </c>
      <c r="GK7" s="39">
        <v>1240.6333197100012</v>
      </c>
      <c r="GL7" s="39">
        <v>1484.6664972200003</v>
      </c>
      <c r="GM7" s="39">
        <v>1585.9536254099996</v>
      </c>
      <c r="GN7" s="39">
        <v>1261.0419433300001</v>
      </c>
      <c r="GO7" s="39">
        <v>1122.6609532400003</v>
      </c>
      <c r="GP7" s="39">
        <v>1046.6303419999999</v>
      </c>
      <c r="GQ7" s="39">
        <v>1070.0727580399994</v>
      </c>
      <c r="GR7" s="39">
        <v>1019.9648917599992</v>
      </c>
      <c r="GS7" s="39">
        <v>1240.2758627399994</v>
      </c>
      <c r="GT7" s="39">
        <f>SUM(GH7:GS7)</f>
        <v>14575.30619908</v>
      </c>
      <c r="GU7" s="39">
        <f>GU8+GU31+GU32+GU33+GU34+GU38</f>
        <v>14605.474674729998</v>
      </c>
      <c r="GV7" s="39">
        <v>1283.2387590599997</v>
      </c>
      <c r="GW7" s="39">
        <v>1215.1751118399998</v>
      </c>
      <c r="GX7" s="39">
        <v>922.23662103999959</v>
      </c>
      <c r="GY7" s="39">
        <v>1209.2616140599994</v>
      </c>
      <c r="GZ7" s="39">
        <v>1543.7860905</v>
      </c>
      <c r="HA7" s="39">
        <v>1518.1780551400009</v>
      </c>
      <c r="HB7" s="39">
        <v>1216.86732424</v>
      </c>
      <c r="HC7" s="39">
        <v>1364.5757284400006</v>
      </c>
      <c r="HD7" s="39">
        <v>1072.4031305399997</v>
      </c>
      <c r="HE7" s="39">
        <v>1136.217414</v>
      </c>
      <c r="HF7" s="39">
        <v>1082.9061690000001</v>
      </c>
      <c r="HG7" s="39">
        <v>1571.7070590000001</v>
      </c>
      <c r="HH7" s="39">
        <f>SUM(GV7:HG7)</f>
        <v>15136.55307686</v>
      </c>
      <c r="HI7" s="39">
        <v>1322.453395</v>
      </c>
      <c r="HJ7" s="39">
        <v>1800.150547</v>
      </c>
      <c r="HK7" s="39">
        <v>993.4291197</v>
      </c>
      <c r="HL7" s="39">
        <v>1233.8977977499999</v>
      </c>
      <c r="HM7" s="39"/>
      <c r="HN7" s="39"/>
      <c r="HO7" s="39"/>
      <c r="HP7" s="39"/>
      <c r="HQ7" s="39"/>
      <c r="HR7" s="39"/>
      <c r="HS7" s="39"/>
      <c r="HT7" s="39"/>
      <c r="HU7" s="274">
        <f>ROUND(SUM(GV7:GY7),6)</f>
        <v>4629.9121059999998</v>
      </c>
      <c r="HV7" s="274">
        <f>ROUND(SUM(HI7:HL7),6)</f>
        <v>5349.9308590000001</v>
      </c>
      <c r="HW7" s="279">
        <f>HV7-HU7</f>
        <v>720.01875300000029</v>
      </c>
      <c r="HX7" s="279">
        <f t="shared" ref="HX7:HX8" si="2">HV7/HU7*100-100</f>
        <v>15.551456194317666</v>
      </c>
    </row>
    <row r="8" spans="1:232" s="12" customFormat="1" ht="20.5">
      <c r="A8" s="42" t="s">
        <v>27</v>
      </c>
      <c r="B8" s="12" t="s">
        <v>28</v>
      </c>
      <c r="C8" s="42" t="s">
        <v>29</v>
      </c>
      <c r="D8" s="42">
        <v>5089.9895063203967</v>
      </c>
      <c r="E8" s="42">
        <v>5452.7568240932032</v>
      </c>
      <c r="F8" s="42">
        <v>4026.1996431437506</v>
      </c>
      <c r="G8" s="42">
        <v>3817.3360780530561</v>
      </c>
      <c r="H8" s="42">
        <v>359.15372564754892</v>
      </c>
      <c r="I8" s="42">
        <v>282.01213851941651</v>
      </c>
      <c r="J8" s="42">
        <v>313.74603872487921</v>
      </c>
      <c r="K8" s="42">
        <v>362.57885697861701</v>
      </c>
      <c r="L8" s="42">
        <v>364.26408643092526</v>
      </c>
      <c r="M8" s="42">
        <v>368.2042404425701</v>
      </c>
      <c r="N8" s="42">
        <v>414.24236060124866</v>
      </c>
      <c r="O8" s="42">
        <v>382.89060107796769</v>
      </c>
      <c r="P8" s="42">
        <v>397.65364454385571</v>
      </c>
      <c r="Q8" s="42">
        <v>400.28531994695533</v>
      </c>
      <c r="R8" s="42">
        <v>389.25928850717986</v>
      </c>
      <c r="S8" s="42">
        <v>391.37763871577289</v>
      </c>
      <c r="T8" s="42">
        <v>4425.6679401369374</v>
      </c>
      <c r="U8" s="42">
        <v>4425.6679401369374</v>
      </c>
      <c r="V8" s="42">
        <v>422.02877900524192</v>
      </c>
      <c r="W8" s="42">
        <v>344.71347937689598</v>
      </c>
      <c r="X8" s="42">
        <v>368.50735767013282</v>
      </c>
      <c r="Y8" s="42">
        <v>409.81156339463064</v>
      </c>
      <c r="Z8" s="42">
        <v>413.25878907917428</v>
      </c>
      <c r="AA8" s="42">
        <v>416.90207369337685</v>
      </c>
      <c r="AB8" s="42">
        <v>441.33995537874</v>
      </c>
      <c r="AC8" s="42">
        <v>421.52278302343183</v>
      </c>
      <c r="AD8" s="42">
        <v>413.57973489052421</v>
      </c>
      <c r="AE8" s="42">
        <v>424.69234381136135</v>
      </c>
      <c r="AF8" s="42">
        <v>418.75780872049677</v>
      </c>
      <c r="AG8" s="42">
        <v>433.19148866540314</v>
      </c>
      <c r="AH8" s="42">
        <v>4928.3061567094092</v>
      </c>
      <c r="AI8" s="42">
        <v>4928.3061579046216</v>
      </c>
      <c r="AJ8" s="42">
        <v>454.28404363094114</v>
      </c>
      <c r="AK8" s="42">
        <v>364.96965441289467</v>
      </c>
      <c r="AL8" s="42">
        <v>385.78666029220096</v>
      </c>
      <c r="AM8" s="42">
        <v>451.70497321663032</v>
      </c>
      <c r="AN8" s="42">
        <v>433.08217227485812</v>
      </c>
      <c r="AO8" s="42">
        <v>419.29862095264116</v>
      </c>
      <c r="AP8" s="42">
        <v>461.35786791196415</v>
      </c>
      <c r="AQ8" s="42">
        <v>452.04822681714961</v>
      </c>
      <c r="AR8" s="42">
        <v>430.63451687810539</v>
      </c>
      <c r="AS8" s="42">
        <v>430.03198046681581</v>
      </c>
      <c r="AT8" s="42">
        <v>428.68181598283456</v>
      </c>
      <c r="AU8" s="42">
        <v>458.2239742517117</v>
      </c>
      <c r="AV8" s="42">
        <v>5170.1045070887467</v>
      </c>
      <c r="AW8" s="42">
        <v>5170.1045085116193</v>
      </c>
      <c r="AX8" s="42">
        <f>AX9+AX17+AX29</f>
        <v>478.58896499999997</v>
      </c>
      <c r="AY8" s="42">
        <f>AY9+AY17+AY29</f>
        <v>374.19485900000001</v>
      </c>
      <c r="AZ8" s="42">
        <f t="shared" ref="AZ8:BG8" si="3">AZ9+AZ17+AZ29</f>
        <v>393.852644</v>
      </c>
      <c r="BA8" s="42">
        <f t="shared" si="3"/>
        <v>469.59004600000003</v>
      </c>
      <c r="BB8" s="42">
        <f t="shared" si="3"/>
        <v>426.75138300000003</v>
      </c>
      <c r="BC8" s="42">
        <f t="shared" si="3"/>
        <v>460.49237599999998</v>
      </c>
      <c r="BD8" s="42">
        <f t="shared" si="3"/>
        <v>476.805635</v>
      </c>
      <c r="BE8" s="42">
        <f t="shared" si="3"/>
        <v>473.298496</v>
      </c>
      <c r="BF8" s="42">
        <f t="shared" si="3"/>
        <v>453.75865668</v>
      </c>
      <c r="BG8" s="42">
        <f t="shared" si="3"/>
        <v>440.51386365999997</v>
      </c>
      <c r="BH8" s="42">
        <f>BH9+BH17+BH29</f>
        <v>448.26846059000007</v>
      </c>
      <c r="BI8" s="42">
        <f>BI9+BI17+BI29</f>
        <v>463.80457809000001</v>
      </c>
      <c r="BJ8" s="45">
        <f t="shared" si="1"/>
        <v>5359.9199630200001</v>
      </c>
      <c r="BK8" s="42">
        <f>BK9+BK17+BK29</f>
        <v>5359.9199640000006</v>
      </c>
      <c r="BL8" s="42">
        <f>BL9+BL17+BL29</f>
        <v>501.37976515999998</v>
      </c>
      <c r="BM8" s="42">
        <v>391.07869818</v>
      </c>
      <c r="BN8" s="42">
        <v>426.81142922000004</v>
      </c>
      <c r="BO8" s="42">
        <v>484.55035204000006</v>
      </c>
      <c r="BP8" s="42">
        <v>472.44657603000002</v>
      </c>
      <c r="BQ8" s="42">
        <v>457.21914827000001</v>
      </c>
      <c r="BR8" s="42">
        <v>489.00732005000003</v>
      </c>
      <c r="BS8" s="42">
        <v>491.25766461000006</v>
      </c>
      <c r="BT8" s="42">
        <v>468.68281365999991</v>
      </c>
      <c r="BU8" s="42">
        <v>494.92742671000002</v>
      </c>
      <c r="BV8" s="42">
        <v>480.40573806000003</v>
      </c>
      <c r="BW8" s="42">
        <v>482.07205704999996</v>
      </c>
      <c r="BX8" s="45">
        <f t="shared" ref="BX8:BX72" si="4">SUM(BL8:BW8)</f>
        <v>5639.8389890399994</v>
      </c>
      <c r="BY8" s="45">
        <f>BY9+BY17+BY29</f>
        <v>5639.8389890900007</v>
      </c>
      <c r="BZ8" s="45">
        <v>493.37450318000003</v>
      </c>
      <c r="CA8" s="45">
        <v>422.81843114999998</v>
      </c>
      <c r="CB8" s="45">
        <v>441.17916466000003</v>
      </c>
      <c r="CC8" s="45">
        <v>511.98879141999998</v>
      </c>
      <c r="CD8" s="45">
        <v>502.98867429000006</v>
      </c>
      <c r="CE8" s="45">
        <v>500.83085467999996</v>
      </c>
      <c r="CF8" s="45">
        <v>520.41120359999991</v>
      </c>
      <c r="CG8" s="45">
        <v>503.03426501000007</v>
      </c>
      <c r="CH8" s="45">
        <v>505.15539770999999</v>
      </c>
      <c r="CI8" s="45">
        <v>523.96578370999998</v>
      </c>
      <c r="CJ8" s="45">
        <v>491.94150981000007</v>
      </c>
      <c r="CK8" s="45">
        <v>532.88461056000017</v>
      </c>
      <c r="CL8" s="45">
        <f t="shared" ref="CL8:CL72" si="5">SUM(BZ8:CK8)</f>
        <v>5950.5731897800006</v>
      </c>
      <c r="CM8" s="45">
        <f>CM9+CM17+CM29</f>
        <v>5950.5731909999995</v>
      </c>
      <c r="CN8" s="45">
        <v>546.45125349</v>
      </c>
      <c r="CO8" s="45">
        <v>428.21451177000006</v>
      </c>
      <c r="CP8" s="45">
        <v>464.88049164</v>
      </c>
      <c r="CQ8" s="45">
        <v>542.44139691999987</v>
      </c>
      <c r="CR8" s="45">
        <v>527.76874303</v>
      </c>
      <c r="CS8" s="45">
        <v>555.32453541000007</v>
      </c>
      <c r="CT8" s="45">
        <v>557.68119867999997</v>
      </c>
      <c r="CU8" s="45">
        <v>556.56959877000008</v>
      </c>
      <c r="CV8" s="45">
        <v>548.66585548</v>
      </c>
      <c r="CW8" s="45">
        <v>561.66307132999998</v>
      </c>
      <c r="CX8" s="45">
        <v>536.58457164000004</v>
      </c>
      <c r="CY8" s="45">
        <v>591.93849480000006</v>
      </c>
      <c r="CZ8" s="45">
        <f t="shared" ref="CZ8:CZ72" si="6">SUM(CN8:CY8)</f>
        <v>6418.1837229599996</v>
      </c>
      <c r="DA8" s="45">
        <f>DA9+DA17+DA29</f>
        <v>6418.183723000001</v>
      </c>
      <c r="DB8" s="45">
        <v>573.83796151999991</v>
      </c>
      <c r="DC8" s="45">
        <v>496.0539833499999</v>
      </c>
      <c r="DD8" s="45">
        <v>515.5355301699999</v>
      </c>
      <c r="DE8" s="45">
        <v>605.82677818999991</v>
      </c>
      <c r="DF8" s="45">
        <v>608.24861833999967</v>
      </c>
      <c r="DG8" s="45">
        <v>629.1136992500002</v>
      </c>
      <c r="DH8" s="45">
        <v>622.35185923000006</v>
      </c>
      <c r="DI8" s="45">
        <v>595.80231396999989</v>
      </c>
      <c r="DJ8" s="45">
        <v>578.07015973999989</v>
      </c>
      <c r="DK8" s="45">
        <v>580.74459211999965</v>
      </c>
      <c r="DL8" s="45">
        <v>586.9164465299998</v>
      </c>
      <c r="DM8" s="45">
        <v>633.46393876000013</v>
      </c>
      <c r="DN8" s="45">
        <f t="shared" ref="DN8:DN72" si="7">SUM(DB8:DM8)</f>
        <v>7025.9658811699992</v>
      </c>
      <c r="DO8" s="45">
        <f>DO9+DO17+DO29</f>
        <v>7025.9668919999995</v>
      </c>
      <c r="DP8" s="45">
        <v>593.10068312000021</v>
      </c>
      <c r="DQ8" s="45">
        <v>523.48238498999979</v>
      </c>
      <c r="DR8" s="45">
        <v>512.36479310999994</v>
      </c>
      <c r="DS8" s="45">
        <v>598.90970338000022</v>
      </c>
      <c r="DT8" s="45">
        <v>613.95463857999994</v>
      </c>
      <c r="DU8" s="45">
        <v>599.46336470000017</v>
      </c>
      <c r="DV8" s="45">
        <v>639.44653882000023</v>
      </c>
      <c r="DW8" s="45">
        <v>618.68773284999963</v>
      </c>
      <c r="DX8" s="45">
        <v>634.00044262999995</v>
      </c>
      <c r="DY8" s="45">
        <v>641.30831657999954</v>
      </c>
      <c r="DZ8" s="45">
        <v>613.27643951000039</v>
      </c>
      <c r="EA8" s="45">
        <v>680.04560529000003</v>
      </c>
      <c r="EB8" s="45">
        <f>SUM(DP8:EA8)</f>
        <v>7268.0406435600007</v>
      </c>
      <c r="EC8" s="45">
        <f>EC9+EC17+EC29</f>
        <v>7268.0406409999996</v>
      </c>
      <c r="ED8" s="45">
        <v>634.5840281400001</v>
      </c>
      <c r="EE8" s="45">
        <v>567.72934182999995</v>
      </c>
      <c r="EF8" s="45">
        <v>506.56094383999988</v>
      </c>
      <c r="EG8" s="45">
        <v>575.77729133000003</v>
      </c>
      <c r="EH8" s="45">
        <v>508.90543007999997</v>
      </c>
      <c r="EI8" s="45">
        <v>573.32768720999957</v>
      </c>
      <c r="EJ8" s="45">
        <v>653.98068363000016</v>
      </c>
      <c r="EK8" s="45">
        <v>648.9450468299998</v>
      </c>
      <c r="EL8" s="45">
        <v>651.43399522999994</v>
      </c>
      <c r="EM8" s="45">
        <v>682.89743700000008</v>
      </c>
      <c r="EN8" s="45">
        <v>639.46992152999985</v>
      </c>
      <c r="EO8" s="45">
        <v>674.51922131000094</v>
      </c>
      <c r="EP8" s="45">
        <f>SUM(ED8:EO8)</f>
        <v>7318.1310279600002</v>
      </c>
      <c r="EQ8" s="45">
        <f>EQ9+EQ17+EQ29</f>
        <v>7318.1310290000001</v>
      </c>
      <c r="ER8" s="45">
        <v>659.79689015000031</v>
      </c>
      <c r="ES8" s="45">
        <v>574.76083130000018</v>
      </c>
      <c r="ET8" s="45">
        <v>484.01471397000017</v>
      </c>
      <c r="EU8" s="45">
        <v>805.07976673999974</v>
      </c>
      <c r="EV8" s="45">
        <v>697.37418172000002</v>
      </c>
      <c r="EW8" s="45">
        <v>655.93245197999977</v>
      </c>
      <c r="EX8" s="45">
        <v>788.63935605000017</v>
      </c>
      <c r="EY8" s="45">
        <v>750.47470282999984</v>
      </c>
      <c r="EZ8" s="45">
        <v>729.92831895000029</v>
      </c>
      <c r="FA8" s="45">
        <v>708.73575700000004</v>
      </c>
      <c r="FB8" s="45">
        <v>702.01261299999999</v>
      </c>
      <c r="FC8" s="45">
        <v>790.44866151999986</v>
      </c>
      <c r="FD8" s="45">
        <f>SUM(ER8:FC8)</f>
        <v>8347.1982452100001</v>
      </c>
      <c r="FE8" s="45">
        <f>FE9+FE17+FE29+FE30</f>
        <v>8347.1982399999997</v>
      </c>
      <c r="FF8" s="45">
        <v>765.45781272000022</v>
      </c>
      <c r="FG8" s="45">
        <v>691.43981547999999</v>
      </c>
      <c r="FH8" s="45">
        <v>666.60194263000005</v>
      </c>
      <c r="FI8" s="45">
        <v>817.54568916999983</v>
      </c>
      <c r="FJ8" s="45">
        <v>823.11043491999999</v>
      </c>
      <c r="FK8" s="45">
        <v>735.16779193000002</v>
      </c>
      <c r="FL8" s="45">
        <v>852.53472775000012</v>
      </c>
      <c r="FM8" s="45">
        <v>784.00067999000021</v>
      </c>
      <c r="FN8" s="45">
        <v>821.98672609000005</v>
      </c>
      <c r="FO8" s="45">
        <v>850.38060885000016</v>
      </c>
      <c r="FP8" s="45">
        <v>859.32983514</v>
      </c>
      <c r="FQ8" s="45">
        <v>950.23645654999984</v>
      </c>
      <c r="FR8" s="45">
        <f>SUM(FF8:FQ8)</f>
        <v>9617.7925212200007</v>
      </c>
      <c r="FS8" s="45">
        <f>FS9+FS17+FS29+FS30</f>
        <v>9617.7925210000012</v>
      </c>
      <c r="FT8" s="45">
        <v>889.73781456000006</v>
      </c>
      <c r="FU8" s="45">
        <v>785.8743437600001</v>
      </c>
      <c r="FV8" s="45">
        <v>716.13918146999993</v>
      </c>
      <c r="FW8" s="45">
        <v>930.77112098000021</v>
      </c>
      <c r="FX8" s="45">
        <v>875.23389313999996</v>
      </c>
      <c r="FY8" s="45">
        <v>851.34339724000006</v>
      </c>
      <c r="FZ8" s="45">
        <v>908.84565219999979</v>
      </c>
      <c r="GA8" s="45">
        <v>867.38326153000014</v>
      </c>
      <c r="GB8" s="45">
        <v>920.95947583999987</v>
      </c>
      <c r="GC8" s="45">
        <v>919.87950134000016</v>
      </c>
      <c r="GD8" s="45">
        <v>816.30475895999996</v>
      </c>
      <c r="GE8" s="45">
        <v>992.32056134999993</v>
      </c>
      <c r="GF8" s="45">
        <f>SUM(FT8:GE8)</f>
        <v>10474.792962369998</v>
      </c>
      <c r="GG8" s="45">
        <f>GG9+GG17+GG29+GG30</f>
        <v>10474.792962</v>
      </c>
      <c r="GH8" s="45">
        <v>868.53666963000001</v>
      </c>
      <c r="GI8" s="45">
        <v>799.26916199000004</v>
      </c>
      <c r="GJ8" s="45">
        <v>840.03967794999994</v>
      </c>
      <c r="GK8" s="45">
        <v>928.01774580999995</v>
      </c>
      <c r="GL8" s="45">
        <v>987.98173273999998</v>
      </c>
      <c r="GM8" s="45">
        <v>992.6204289799997</v>
      </c>
      <c r="GN8" s="45">
        <v>955.27641183000014</v>
      </c>
      <c r="GO8" s="45">
        <v>931.63749221</v>
      </c>
      <c r="GP8" s="45">
        <v>951.8864393299998</v>
      </c>
      <c r="GQ8" s="45">
        <v>938.95790915999999</v>
      </c>
      <c r="GR8" s="45">
        <v>911.01457030000006</v>
      </c>
      <c r="GS8" s="45">
        <v>1114.26980811</v>
      </c>
      <c r="GT8" s="45">
        <f>SUM(GH8:GS8)</f>
        <v>11219.508048040001</v>
      </c>
      <c r="GU8" s="45">
        <f>GU9+GU17+GU29+GU30</f>
        <v>11219.508050729999</v>
      </c>
      <c r="GV8" s="45">
        <v>1032.8449930099998</v>
      </c>
      <c r="GW8" s="45">
        <v>870.14854757000001</v>
      </c>
      <c r="GX8" s="45">
        <v>767.74158703999979</v>
      </c>
      <c r="GY8" s="45">
        <v>978.06604361999996</v>
      </c>
      <c r="GZ8" s="45">
        <v>1031.0812676799999</v>
      </c>
      <c r="HA8" s="45">
        <v>1084.2574665999998</v>
      </c>
      <c r="HB8" s="45">
        <v>1039.46726623</v>
      </c>
      <c r="HC8" s="45">
        <v>1033.0491334800001</v>
      </c>
      <c r="HD8" s="45">
        <v>980.78703508000035</v>
      </c>
      <c r="HE8" s="45">
        <v>1030.6718194500004</v>
      </c>
      <c r="HF8" s="45">
        <v>976.59360000000004</v>
      </c>
      <c r="HG8" s="45">
        <v>1093.0580399999999</v>
      </c>
      <c r="HH8" s="45">
        <f>SUM(GV8:HG8)</f>
        <v>11917.766799760002</v>
      </c>
      <c r="HI8" s="45">
        <v>1072.1556249399998</v>
      </c>
      <c r="HJ8" s="45">
        <v>953.46303797999985</v>
      </c>
      <c r="HK8" s="45">
        <v>826.27453539999999</v>
      </c>
      <c r="HL8" s="45">
        <v>1067.12529918</v>
      </c>
      <c r="HM8" s="45"/>
      <c r="HN8" s="45"/>
      <c r="HO8" s="45"/>
      <c r="HP8" s="45"/>
      <c r="HQ8" s="45"/>
      <c r="HR8" s="45"/>
      <c r="HS8" s="45"/>
      <c r="HT8" s="45"/>
      <c r="HU8" s="283">
        <f>ROUND(SUM(GV8:GY8),6)</f>
        <v>3648.8011710000001</v>
      </c>
      <c r="HV8" s="283">
        <f>ROUND(SUM(HI8:HL8),6)</f>
        <v>3919.0184979999999</v>
      </c>
      <c r="HW8" s="280">
        <f t="shared" ref="HW8" si="8">HV8-HU8</f>
        <v>270.21732699999984</v>
      </c>
      <c r="HX8" s="280">
        <f t="shared" si="2"/>
        <v>7.405646795655457</v>
      </c>
    </row>
    <row r="9" spans="1:232" s="12" customFormat="1" ht="20.5">
      <c r="A9" s="46" t="s">
        <v>30</v>
      </c>
      <c r="C9" s="46" t="s">
        <v>31</v>
      </c>
      <c r="D9" s="42">
        <v>2634.0160058850001</v>
      </c>
      <c r="E9" s="42">
        <v>3001.6241484112215</v>
      </c>
      <c r="F9" s="42">
        <v>2117.7509590156005</v>
      </c>
      <c r="G9" s="42">
        <v>1936.4811127995856</v>
      </c>
      <c r="H9" s="42">
        <v>149.19752875623928</v>
      </c>
      <c r="I9" s="42">
        <v>168.16930040238816</v>
      </c>
      <c r="J9" s="42">
        <v>172.42270106601558</v>
      </c>
      <c r="K9" s="42">
        <v>178.91875544248467</v>
      </c>
      <c r="L9" s="42">
        <v>198.89610901474668</v>
      </c>
      <c r="M9" s="42">
        <v>175.01625773330829</v>
      </c>
      <c r="N9" s="42">
        <v>212.18661390657991</v>
      </c>
      <c r="O9" s="42">
        <v>181.59237852943355</v>
      </c>
      <c r="P9" s="42">
        <v>185.49638163698555</v>
      </c>
      <c r="Q9" s="42">
        <v>188.84649205183808</v>
      </c>
      <c r="R9" s="42">
        <v>193.71634196731949</v>
      </c>
      <c r="S9" s="42">
        <v>227.73599324989613</v>
      </c>
      <c r="T9" s="42">
        <v>2232.1948537572353</v>
      </c>
      <c r="U9" s="42">
        <v>2232.1948537572353</v>
      </c>
      <c r="V9" s="42">
        <v>181.32910882692758</v>
      </c>
      <c r="W9" s="42">
        <v>188.16786922100616</v>
      </c>
      <c r="X9" s="42">
        <v>187.2406161604089</v>
      </c>
      <c r="Y9" s="42">
        <v>206.05671709324363</v>
      </c>
      <c r="Z9" s="42">
        <v>223.22344209765456</v>
      </c>
      <c r="AA9" s="42">
        <v>210.37207955560868</v>
      </c>
      <c r="AB9" s="42">
        <v>222.90671367835134</v>
      </c>
      <c r="AC9" s="42">
        <v>207.77058468648443</v>
      </c>
      <c r="AD9" s="42">
        <v>194.2186882829352</v>
      </c>
      <c r="AE9" s="42">
        <v>216.26953602995999</v>
      </c>
      <c r="AF9" s="42">
        <v>214.58717793296566</v>
      </c>
      <c r="AG9" s="42">
        <v>226.96907245832409</v>
      </c>
      <c r="AH9" s="42">
        <v>2479.1116060238701</v>
      </c>
      <c r="AI9" s="42">
        <v>2479.1116072190825</v>
      </c>
      <c r="AJ9" s="42">
        <v>213.9720064199976</v>
      </c>
      <c r="AK9" s="42">
        <v>200.1496363139652</v>
      </c>
      <c r="AL9" s="42">
        <v>200.4640440293453</v>
      </c>
      <c r="AM9" s="42">
        <v>230.04202309113299</v>
      </c>
      <c r="AN9" s="42">
        <v>236.67426196131404</v>
      </c>
      <c r="AO9" s="42">
        <v>193.15318068764549</v>
      </c>
      <c r="AP9" s="42">
        <v>230.45251592193557</v>
      </c>
      <c r="AQ9" s="42">
        <v>214.60506200875349</v>
      </c>
      <c r="AR9" s="42">
        <v>202.49163209088167</v>
      </c>
      <c r="AS9" s="42">
        <v>218.66132378301779</v>
      </c>
      <c r="AT9" s="42">
        <v>212.36569655266618</v>
      </c>
      <c r="AU9" s="42">
        <v>256.24293401858841</v>
      </c>
      <c r="AV9" s="42">
        <v>2609.2743168792435</v>
      </c>
      <c r="AW9" s="42">
        <v>2609.2743183021157</v>
      </c>
      <c r="AX9" s="42">
        <f>AX10+AX12+AX14</f>
        <v>197.36785600000002</v>
      </c>
      <c r="AY9" s="42">
        <f>AY10+AY12+AY14</f>
        <v>200.03071199999999</v>
      </c>
      <c r="AZ9" s="42">
        <f t="shared" ref="AZ9:BG9" si="9">AZ10+AZ12+AZ14</f>
        <v>204.83077300000002</v>
      </c>
      <c r="BA9" s="42">
        <f t="shared" si="9"/>
        <v>240.444806</v>
      </c>
      <c r="BB9" s="42">
        <f t="shared" si="9"/>
        <v>216.66169500000001</v>
      </c>
      <c r="BC9" s="42">
        <f t="shared" si="9"/>
        <v>206.14301999999998</v>
      </c>
      <c r="BD9" s="42">
        <f t="shared" si="9"/>
        <v>239.60081700000001</v>
      </c>
      <c r="BE9" s="42">
        <f t="shared" si="9"/>
        <v>218.46940899999998</v>
      </c>
      <c r="BF9" s="42">
        <f t="shared" si="9"/>
        <v>200.78066792000001</v>
      </c>
      <c r="BG9" s="42">
        <f t="shared" si="9"/>
        <v>227.00941361999998</v>
      </c>
      <c r="BH9" s="42">
        <f>BH10+BH12+BH14</f>
        <v>207.25929516000002</v>
      </c>
      <c r="BI9" s="42">
        <f>BI10+BI12+BI14</f>
        <v>249.51788946000002</v>
      </c>
      <c r="BJ9" s="45">
        <f t="shared" si="1"/>
        <v>2608.1163541599999</v>
      </c>
      <c r="BK9" s="42">
        <f>BK10+BK12+BK14</f>
        <v>2608.1163550000001</v>
      </c>
      <c r="BL9" s="42">
        <f>BL10+BL12+BL14</f>
        <v>208.91169371000001</v>
      </c>
      <c r="BM9" s="42">
        <v>209.00239185000001</v>
      </c>
      <c r="BN9" s="42">
        <v>223.15032439000004</v>
      </c>
      <c r="BO9" s="42">
        <v>240.20408375000005</v>
      </c>
      <c r="BP9" s="42">
        <v>237.43250266999999</v>
      </c>
      <c r="BQ9" s="42">
        <v>204.61815432000003</v>
      </c>
      <c r="BR9" s="42">
        <v>248.17410816</v>
      </c>
      <c r="BS9" s="42">
        <v>228.51734693000003</v>
      </c>
      <c r="BT9" s="42">
        <v>215.06004897</v>
      </c>
      <c r="BU9" s="42">
        <v>233.07077464999998</v>
      </c>
      <c r="BV9" s="42">
        <v>217.56907870999999</v>
      </c>
      <c r="BW9" s="42">
        <v>254.93481302999999</v>
      </c>
      <c r="BX9" s="45">
        <f t="shared" si="4"/>
        <v>2720.6453211400008</v>
      </c>
      <c r="BY9" s="45">
        <f>BY10+BY12+BY14</f>
        <v>2720.6453212299998</v>
      </c>
      <c r="BZ9" s="45">
        <v>215.25640187999997</v>
      </c>
      <c r="CA9" s="45">
        <v>215.24884913999998</v>
      </c>
      <c r="CB9" s="45">
        <v>217.96021488000002</v>
      </c>
      <c r="CC9" s="45">
        <v>264.23545620000004</v>
      </c>
      <c r="CD9" s="45">
        <v>247.61740975000004</v>
      </c>
      <c r="CE9" s="45">
        <v>230.79850508999999</v>
      </c>
      <c r="CF9" s="45">
        <v>250.87093899999996</v>
      </c>
      <c r="CG9" s="45">
        <v>238.04351770000005</v>
      </c>
      <c r="CH9" s="45">
        <v>225.55928074999997</v>
      </c>
      <c r="CI9" s="45">
        <v>243.91176960000001</v>
      </c>
      <c r="CJ9" s="45">
        <v>225.45423422000005</v>
      </c>
      <c r="CK9" s="45">
        <v>270.9883265900001</v>
      </c>
      <c r="CL9" s="45">
        <f t="shared" si="5"/>
        <v>2845.9449048000006</v>
      </c>
      <c r="CM9" s="45">
        <f>CM10+CM12+CM14+CM15</f>
        <v>2845.9449049999998</v>
      </c>
      <c r="CN9" s="45">
        <v>235.91964086999999</v>
      </c>
      <c r="CO9" s="45">
        <v>226.51382370000005</v>
      </c>
      <c r="CP9" s="45">
        <v>232.37975020000002</v>
      </c>
      <c r="CQ9" s="45">
        <v>266.16499751999999</v>
      </c>
      <c r="CR9" s="45">
        <v>262.17991973000005</v>
      </c>
      <c r="CS9" s="45">
        <v>266.72411737000004</v>
      </c>
      <c r="CT9" s="45">
        <v>279.61515312</v>
      </c>
      <c r="CU9" s="45">
        <v>256.55093930999999</v>
      </c>
      <c r="CV9" s="45">
        <v>242.08768976999997</v>
      </c>
      <c r="CW9" s="45">
        <v>266.95751385000005</v>
      </c>
      <c r="CX9" s="45">
        <v>253.05840786000002</v>
      </c>
      <c r="CY9" s="45">
        <v>296.73097902000001</v>
      </c>
      <c r="CZ9" s="45">
        <f t="shared" si="6"/>
        <v>3084.8829323200002</v>
      </c>
      <c r="DA9" s="45">
        <f>DA10+DA12+DA14+DA15</f>
        <v>3084.9016310000002</v>
      </c>
      <c r="DB9" s="45">
        <v>256.51411125999999</v>
      </c>
      <c r="DC9" s="45">
        <v>254.16989290999999</v>
      </c>
      <c r="DD9" s="45">
        <v>258.46430400000003</v>
      </c>
      <c r="DE9" s="45">
        <v>306.20786893000002</v>
      </c>
      <c r="DF9" s="45">
        <v>317.19415421999997</v>
      </c>
      <c r="DG9" s="45">
        <v>306.94532699000007</v>
      </c>
      <c r="DH9" s="45">
        <v>289.33066472000007</v>
      </c>
      <c r="DI9" s="45">
        <v>254.12573876000005</v>
      </c>
      <c r="DJ9" s="45">
        <v>231.37065991</v>
      </c>
      <c r="DK9" s="45">
        <v>270.33531902999999</v>
      </c>
      <c r="DL9" s="45">
        <v>261.98476295</v>
      </c>
      <c r="DM9" s="45">
        <v>300.57412152999996</v>
      </c>
      <c r="DN9" s="45">
        <f t="shared" si="7"/>
        <v>3307.2169252099998</v>
      </c>
      <c r="DO9" s="45">
        <f>DO10+DO12+DO14+DO15+DO16</f>
        <v>3307.217936</v>
      </c>
      <c r="DP9" s="45">
        <v>258.25998412000001</v>
      </c>
      <c r="DQ9" s="45">
        <v>237.76365759999996</v>
      </c>
      <c r="DR9" s="45">
        <v>228.12209906000004</v>
      </c>
      <c r="DS9" s="45">
        <v>273.07849152000006</v>
      </c>
      <c r="DT9" s="45">
        <v>301.85031776</v>
      </c>
      <c r="DU9" s="45">
        <v>257.11078730000003</v>
      </c>
      <c r="DV9" s="45">
        <v>312.21477953000004</v>
      </c>
      <c r="DW9" s="45">
        <v>278.91419377</v>
      </c>
      <c r="DX9" s="45">
        <v>268.52553785000003</v>
      </c>
      <c r="DY9" s="45">
        <v>298.22675880000003</v>
      </c>
      <c r="DZ9" s="45">
        <v>287.29650051000004</v>
      </c>
      <c r="EA9" s="45">
        <v>328.29847462999999</v>
      </c>
      <c r="EB9" s="45">
        <f t="shared" ref="EB9:EB72" si="10">SUM(DP9:EA9)</f>
        <v>3329.66158245</v>
      </c>
      <c r="EC9" s="45">
        <f>EC10+EC12+EC14+EC15+EC16</f>
        <v>3329.6615800000004</v>
      </c>
      <c r="ED9" s="45">
        <v>293.1968997300001</v>
      </c>
      <c r="EE9" s="45">
        <v>270.368381</v>
      </c>
      <c r="EF9" s="45">
        <v>250.09647464999995</v>
      </c>
      <c r="EG9" s="45">
        <v>296.76870067999999</v>
      </c>
      <c r="EH9" s="45">
        <v>252.44159986</v>
      </c>
      <c r="EI9" s="45">
        <v>264.69862682000002</v>
      </c>
      <c r="EJ9" s="45">
        <v>316.27747396999996</v>
      </c>
      <c r="EK9" s="45">
        <v>288.65031316000005</v>
      </c>
      <c r="EL9" s="45">
        <v>291.05730487</v>
      </c>
      <c r="EM9" s="45">
        <v>328.58405888000004</v>
      </c>
      <c r="EN9" s="45">
        <v>286.591204</v>
      </c>
      <c r="EO9" s="45">
        <v>345.21358365000128</v>
      </c>
      <c r="EP9" s="45">
        <f t="shared" ref="EP9:EP72" si="11">SUM(ED9:EO9)</f>
        <v>3483.9446212700013</v>
      </c>
      <c r="EQ9" s="45">
        <f>EQ10+EQ12+EQ14+EQ15+EQ16</f>
        <v>3483.944622</v>
      </c>
      <c r="ER9" s="45">
        <v>219.61295353000003</v>
      </c>
      <c r="ES9" s="45">
        <v>260.87037391000001</v>
      </c>
      <c r="ET9" s="45">
        <v>174.52617579000002</v>
      </c>
      <c r="EU9" s="45">
        <v>383.16271270000004</v>
      </c>
      <c r="EV9" s="45">
        <v>291.06970107000001</v>
      </c>
      <c r="EW9" s="45">
        <v>330.71099658999998</v>
      </c>
      <c r="EX9" s="45">
        <v>373.69892934000001</v>
      </c>
      <c r="EY9" s="45">
        <v>355.98928338000002</v>
      </c>
      <c r="EZ9" s="45">
        <v>341.00774106</v>
      </c>
      <c r="FA9" s="45">
        <v>377.73470498</v>
      </c>
      <c r="FB9" s="45">
        <v>309.49613846999995</v>
      </c>
      <c r="FC9" s="45">
        <v>461.52312308000006</v>
      </c>
      <c r="FD9" s="45">
        <f t="shared" ref="FD9:FD72" si="12">SUM(ER9:FC9)</f>
        <v>3879.4028339000006</v>
      </c>
      <c r="FE9" s="45">
        <f>FE10+FE12+FE14+FE15+FE16</f>
        <v>3879.4028319999998</v>
      </c>
      <c r="FF9" s="45">
        <v>429.06598811000009</v>
      </c>
      <c r="FG9" s="45">
        <v>348.05944496000006</v>
      </c>
      <c r="FH9" s="45">
        <v>308.94047806000003</v>
      </c>
      <c r="FI9" s="45">
        <v>367.98111167000002</v>
      </c>
      <c r="FJ9" s="45">
        <v>409.61801066999999</v>
      </c>
      <c r="FK9" s="45">
        <v>412.24225473000007</v>
      </c>
      <c r="FL9" s="45">
        <v>391.5661069200001</v>
      </c>
      <c r="FM9" s="45">
        <v>385.67096442999997</v>
      </c>
      <c r="FN9" s="45">
        <v>401.77046261999988</v>
      </c>
      <c r="FO9" s="45">
        <v>418.76052628999997</v>
      </c>
      <c r="FP9" s="45">
        <v>376.25919879999992</v>
      </c>
      <c r="FQ9" s="45">
        <v>360.69074397999998</v>
      </c>
      <c r="FR9" s="45">
        <f t="shared" ref="FR9:FR72" si="13">SUM(FF9:FQ9)</f>
        <v>4610.6252912399996</v>
      </c>
      <c r="FS9" s="45">
        <f>FS10+FS12+FS14+FS15+FS16</f>
        <v>4610.6253080000006</v>
      </c>
      <c r="FT9" s="45">
        <v>493.30402921999996</v>
      </c>
      <c r="FU9" s="45">
        <v>374.8272451599999</v>
      </c>
      <c r="FV9" s="45">
        <v>287.00394073000007</v>
      </c>
      <c r="FW9" s="45">
        <v>448.72399696999997</v>
      </c>
      <c r="FX9" s="45">
        <v>399.98902202999994</v>
      </c>
      <c r="FY9" s="45">
        <v>528.76923784999997</v>
      </c>
      <c r="FZ9" s="45">
        <v>457.26604283</v>
      </c>
      <c r="GA9" s="45">
        <v>442.03810814999997</v>
      </c>
      <c r="GB9" s="45">
        <v>481.96998327</v>
      </c>
      <c r="GC9" s="45">
        <v>426.7353554799999</v>
      </c>
      <c r="GD9" s="45">
        <v>432.38986059000001</v>
      </c>
      <c r="GE9" s="45">
        <v>420.33806029000004</v>
      </c>
      <c r="GF9" s="45">
        <f t="shared" ref="GF9:GF72" si="14">SUM(FT9:GE9)</f>
        <v>5193.35488257</v>
      </c>
      <c r="GG9" s="45">
        <f>GG10+GG12+GG14+GG15+GG16</f>
        <v>5193.3550290000003</v>
      </c>
      <c r="GH9" s="45">
        <v>531.44012649000001</v>
      </c>
      <c r="GI9" s="45">
        <v>432.93596969999999</v>
      </c>
      <c r="GJ9" s="45">
        <v>358.92140044999996</v>
      </c>
      <c r="GK9" s="45">
        <v>579.18233532999989</v>
      </c>
      <c r="GL9" s="45">
        <v>505.82644500999993</v>
      </c>
      <c r="GM9" s="45">
        <v>518.84723250999991</v>
      </c>
      <c r="GN9" s="45">
        <v>528.33670273999996</v>
      </c>
      <c r="GO9" s="45">
        <v>481.37289599000002</v>
      </c>
      <c r="GP9" s="45">
        <v>482.83533462999992</v>
      </c>
      <c r="GQ9" s="45">
        <v>481.49580571000001</v>
      </c>
      <c r="GR9" s="45">
        <v>450.37417882</v>
      </c>
      <c r="GS9" s="45">
        <v>468.82064117999988</v>
      </c>
      <c r="GT9" s="45">
        <f>SUM(GH9:GS9)</f>
        <v>5820.3890685599999</v>
      </c>
      <c r="GU9" s="45">
        <f>GU10+GU12+GU14+GU15+GU16</f>
        <v>5820.3599340000001</v>
      </c>
      <c r="GV9" s="45">
        <v>728.69856243000004</v>
      </c>
      <c r="GW9" s="45">
        <v>463.69398089000003</v>
      </c>
      <c r="GX9" s="45">
        <v>293.25930033999998</v>
      </c>
      <c r="GY9" s="45">
        <v>541.21320584000011</v>
      </c>
      <c r="GZ9" s="45">
        <v>559.55107935999979</v>
      </c>
      <c r="HA9" s="45">
        <v>583.93033879999984</v>
      </c>
      <c r="HB9" s="45">
        <v>575.84731443999999</v>
      </c>
      <c r="HC9" s="45">
        <v>540.73429742999997</v>
      </c>
      <c r="HD9" s="45">
        <v>539.38944576999995</v>
      </c>
      <c r="HE9" s="45">
        <v>521.68783195000026</v>
      </c>
      <c r="HF9" s="45">
        <v>490.11772060000004</v>
      </c>
      <c r="HG9" s="45">
        <v>446.21874469999983</v>
      </c>
      <c r="HH9" s="45">
        <f t="shared" ref="HH9:HH72" si="15">SUM(GV9:HG9)</f>
        <v>6284.34182255</v>
      </c>
      <c r="HI9" s="45">
        <v>686.04384026000002</v>
      </c>
      <c r="HJ9" s="45">
        <v>495.97881729999995</v>
      </c>
      <c r="HK9" s="45">
        <v>344.17828714999996</v>
      </c>
      <c r="HL9" s="45">
        <v>554.60110141999996</v>
      </c>
      <c r="HM9" s="45"/>
      <c r="HN9" s="45"/>
      <c r="HO9" s="45"/>
      <c r="HP9" s="45"/>
      <c r="HQ9" s="45"/>
      <c r="HR9" s="45"/>
      <c r="HS9" s="45"/>
      <c r="HT9" s="45"/>
      <c r="HU9" s="283">
        <f t="shared" ref="HU9:HU72" si="16">ROUND(SUM(GV9:GY9),6)</f>
        <v>2026.8650500000001</v>
      </c>
      <c r="HV9" s="283">
        <f t="shared" ref="HV9:HV72" si="17">ROUND(SUM(HI9:HL9),6)</f>
        <v>2080.8020459999998</v>
      </c>
      <c r="HW9" s="280">
        <f t="shared" ref="HW9:HW14" si="18">HV9-HU9</f>
        <v>53.936995999999681</v>
      </c>
      <c r="HX9" s="280">
        <f t="shared" ref="HX9:HX14" si="19">HV9/HU9*100-100</f>
        <v>2.6611044479749637</v>
      </c>
    </row>
    <row r="10" spans="1:232" s="12" customFormat="1" ht="20.5">
      <c r="A10" s="47" t="s">
        <v>32</v>
      </c>
      <c r="B10" s="12" t="s">
        <v>33</v>
      </c>
      <c r="C10" s="47" t="s">
        <v>34</v>
      </c>
      <c r="D10" s="42">
        <v>568.79496274921598</v>
      </c>
      <c r="E10" s="42">
        <v>715.87073778749129</v>
      </c>
      <c r="F10" s="42">
        <v>280.55708419417078</v>
      </c>
      <c r="G10" s="42">
        <v>159.61333316258873</v>
      </c>
      <c r="H10" s="42">
        <v>14.441666524379485</v>
      </c>
      <c r="I10" s="42">
        <v>17.225195075725239</v>
      </c>
      <c r="J10" s="42">
        <v>17.137531943472148</v>
      </c>
      <c r="K10" s="42">
        <v>22.853811304431961</v>
      </c>
      <c r="L10" s="42">
        <v>37.771722983932932</v>
      </c>
      <c r="M10" s="42">
        <v>13.327372923318594</v>
      </c>
      <c r="N10" s="42">
        <v>31.110616900302219</v>
      </c>
      <c r="O10" s="42">
        <v>20.93976699051229</v>
      </c>
      <c r="P10" s="42">
        <v>21.794194398438258</v>
      </c>
      <c r="Q10" s="42">
        <v>25.951868515261726</v>
      </c>
      <c r="R10" s="42">
        <v>27.641386503207151</v>
      </c>
      <c r="S10" s="42">
        <v>29.303576815157573</v>
      </c>
      <c r="T10" s="42">
        <v>279.49871087813955</v>
      </c>
      <c r="U10" s="42">
        <v>279.4987108781396</v>
      </c>
      <c r="V10" s="42">
        <v>21.806744127808038</v>
      </c>
      <c r="W10" s="42">
        <v>22.126234341295724</v>
      </c>
      <c r="X10" s="42">
        <v>21.388371437840423</v>
      </c>
      <c r="Y10" s="42">
        <v>28.664721600901533</v>
      </c>
      <c r="Z10" s="42">
        <v>49.389246504003964</v>
      </c>
      <c r="AA10" s="42">
        <v>34.283628152372501</v>
      </c>
      <c r="AB10" s="42">
        <v>28.17673775334233</v>
      </c>
      <c r="AC10" s="42">
        <v>26.859165571055374</v>
      </c>
      <c r="AD10" s="42">
        <v>25.36023414778516</v>
      </c>
      <c r="AE10" s="42">
        <v>30.118483958543205</v>
      </c>
      <c r="AF10" s="42">
        <v>30.818117142190427</v>
      </c>
      <c r="AG10" s="42">
        <v>28.002665038901316</v>
      </c>
      <c r="AH10" s="42">
        <v>346.99434977604005</v>
      </c>
      <c r="AI10" s="42">
        <v>346.99434977604</v>
      </c>
      <c r="AJ10" s="42">
        <v>29.245751304773449</v>
      </c>
      <c r="AK10" s="42">
        <v>25.421729244568898</v>
      </c>
      <c r="AL10" s="42">
        <v>26.90054695192401</v>
      </c>
      <c r="AM10" s="42">
        <v>36.651736472757698</v>
      </c>
      <c r="AN10" s="42">
        <v>55.095050682693895</v>
      </c>
      <c r="AO10" s="42">
        <v>15.696521362997364</v>
      </c>
      <c r="AP10" s="42">
        <v>29.564596957330924</v>
      </c>
      <c r="AQ10" s="42">
        <v>27.12316378392838</v>
      </c>
      <c r="AR10" s="42">
        <v>27.198553223942952</v>
      </c>
      <c r="AS10" s="42">
        <v>27.26917462052009</v>
      </c>
      <c r="AT10" s="42">
        <v>30.734183356953007</v>
      </c>
      <c r="AU10" s="42">
        <v>31.589531362940452</v>
      </c>
      <c r="AV10" s="42">
        <v>362.4905393253311</v>
      </c>
      <c r="AW10" s="42">
        <v>362.4905393253311</v>
      </c>
      <c r="AX10" s="42">
        <v>28.247026000000002</v>
      </c>
      <c r="AY10" s="42">
        <v>26.132507</v>
      </c>
      <c r="AZ10" s="42">
        <v>29.393079</v>
      </c>
      <c r="BA10" s="42">
        <v>44.586378000000003</v>
      </c>
      <c r="BB10" s="42">
        <v>33.826210000000003</v>
      </c>
      <c r="BC10" s="42">
        <v>23.007891999999998</v>
      </c>
      <c r="BD10" s="42">
        <v>26.330514999999998</v>
      </c>
      <c r="BE10" s="42">
        <v>29.809446000000001</v>
      </c>
      <c r="BF10" s="42">
        <v>25.484736300000002</v>
      </c>
      <c r="BG10" s="42">
        <v>27.7688731</v>
      </c>
      <c r="BH10" s="42">
        <v>28.461669199999999</v>
      </c>
      <c r="BI10" s="42">
        <v>31.788992789999998</v>
      </c>
      <c r="BJ10" s="45">
        <f t="shared" si="1"/>
        <v>354.83732439000005</v>
      </c>
      <c r="BK10" s="44">
        <v>354.83732400000002</v>
      </c>
      <c r="BL10" s="42">
        <v>28.212305570000002</v>
      </c>
      <c r="BM10" s="42">
        <v>27.358282280000001</v>
      </c>
      <c r="BN10" s="42">
        <v>34.447539120000002</v>
      </c>
      <c r="BO10" s="42">
        <v>38.335775720000001</v>
      </c>
      <c r="BP10" s="42">
        <v>53.474539579999998</v>
      </c>
      <c r="BQ10" s="42">
        <v>14.222454620000001</v>
      </c>
      <c r="BR10" s="42">
        <v>26.52258337</v>
      </c>
      <c r="BS10" s="42">
        <v>33.441507739999999</v>
      </c>
      <c r="BT10" s="42">
        <v>30.088575629999998</v>
      </c>
      <c r="BU10" s="42">
        <v>33.741664190000002</v>
      </c>
      <c r="BV10" s="42">
        <v>31.473049679999999</v>
      </c>
      <c r="BW10" s="42">
        <v>31.789599819999999</v>
      </c>
      <c r="BX10" s="45">
        <f t="shared" si="4"/>
        <v>383.10787731999994</v>
      </c>
      <c r="BY10" s="45">
        <v>383.10787699999997</v>
      </c>
      <c r="BZ10" s="45">
        <v>30.288463960000001</v>
      </c>
      <c r="CA10" s="45">
        <v>29.430840149999998</v>
      </c>
      <c r="CB10" s="45">
        <v>29.151649299999999</v>
      </c>
      <c r="CC10" s="45">
        <v>49.647001889999999</v>
      </c>
      <c r="CD10" s="45">
        <v>58.299561200000007</v>
      </c>
      <c r="CE10" s="45">
        <v>26.681343440000003</v>
      </c>
      <c r="CF10" s="45">
        <v>26.253297850000003</v>
      </c>
      <c r="CG10" s="45">
        <v>40.559124679999996</v>
      </c>
      <c r="CH10" s="45">
        <v>30.41834923</v>
      </c>
      <c r="CI10" s="45">
        <v>32.20607519</v>
      </c>
      <c r="CJ10" s="45">
        <v>32.80329905</v>
      </c>
      <c r="CK10" s="45">
        <v>33.973359200000004</v>
      </c>
      <c r="CL10" s="45">
        <f t="shared" si="5"/>
        <v>419.71236513999997</v>
      </c>
      <c r="CM10" s="45">
        <v>419.71236499999998</v>
      </c>
      <c r="CN10" s="45">
        <v>31.48983556</v>
      </c>
      <c r="CO10" s="45">
        <v>30.142880160000001</v>
      </c>
      <c r="CP10" s="45">
        <v>30.855846920000001</v>
      </c>
      <c r="CQ10" s="45">
        <v>43.566518380000005</v>
      </c>
      <c r="CR10" s="45">
        <v>47.593566670000001</v>
      </c>
      <c r="CS10" s="45">
        <v>43.340328049999997</v>
      </c>
      <c r="CT10" s="45">
        <v>32.400716850000002</v>
      </c>
      <c r="CU10" s="45">
        <v>37.762499399999996</v>
      </c>
      <c r="CV10" s="45">
        <v>29.582614379999999</v>
      </c>
      <c r="CW10" s="45">
        <v>33.096257890000004</v>
      </c>
      <c r="CX10" s="45">
        <v>32.232957460000002</v>
      </c>
      <c r="CY10" s="45">
        <v>33.553443350000002</v>
      </c>
      <c r="CZ10" s="45">
        <f t="shared" si="6"/>
        <v>425.61746507000004</v>
      </c>
      <c r="DA10" s="45">
        <v>425.61746499999998</v>
      </c>
      <c r="DB10" s="45">
        <v>31.63167091</v>
      </c>
      <c r="DC10" s="45">
        <v>30.04849428</v>
      </c>
      <c r="DD10" s="45">
        <v>35.201047250000002</v>
      </c>
      <c r="DE10" s="45">
        <v>52.898293500000001</v>
      </c>
      <c r="DF10" s="45">
        <v>78.113698870000007</v>
      </c>
      <c r="DG10" s="45">
        <v>52.282005939999998</v>
      </c>
      <c r="DH10" s="45">
        <v>13.58020267</v>
      </c>
      <c r="DI10" s="45">
        <v>2.8189035599999999</v>
      </c>
      <c r="DJ10" s="45">
        <v>-6.5208364000000003</v>
      </c>
      <c r="DK10" s="45">
        <v>1.9318923700000001</v>
      </c>
      <c r="DL10" s="45">
        <v>9.4695978599999986</v>
      </c>
      <c r="DM10" s="45">
        <v>2.5492539999999999</v>
      </c>
      <c r="DN10" s="45">
        <f t="shared" si="7"/>
        <v>304.0042248100001</v>
      </c>
      <c r="DO10" s="45">
        <v>304.00422500000002</v>
      </c>
      <c r="DP10" s="45">
        <v>4.2403021599999997</v>
      </c>
      <c r="DQ10" s="45">
        <v>-7.5230799199999998</v>
      </c>
      <c r="DR10" s="45">
        <v>-7.8026390499999998</v>
      </c>
      <c r="DS10" s="45">
        <v>-3.8054649199999999</v>
      </c>
      <c r="DT10" s="45">
        <v>35.612966049999997</v>
      </c>
      <c r="DU10" s="45">
        <v>-11.352853169999999</v>
      </c>
      <c r="DV10" s="45">
        <v>5.9560205899999996</v>
      </c>
      <c r="DW10" s="45">
        <v>2.7293382400000001</v>
      </c>
      <c r="DX10" s="45">
        <v>2.4155111699999998</v>
      </c>
      <c r="DY10" s="45">
        <v>5.7616180300000002</v>
      </c>
      <c r="DZ10" s="45">
        <v>13.68501917</v>
      </c>
      <c r="EA10" s="45">
        <v>4.8602736200000001</v>
      </c>
      <c r="EB10" s="45">
        <f t="shared" si="10"/>
        <v>44.777011969999997</v>
      </c>
      <c r="EC10" s="45">
        <v>44.777011999999999</v>
      </c>
      <c r="ED10" s="45">
        <v>14.17052253</v>
      </c>
      <c r="EE10" s="45">
        <v>7.7459849500000004</v>
      </c>
      <c r="EF10" s="45">
        <v>10.90475848</v>
      </c>
      <c r="EG10" s="45">
        <v>31.789565190000001</v>
      </c>
      <c r="EH10" s="45">
        <v>26.398273460000002</v>
      </c>
      <c r="EI10" s="45">
        <v>19.323995870000001</v>
      </c>
      <c r="EJ10" s="45">
        <v>19.441162550000001</v>
      </c>
      <c r="EK10" s="45">
        <v>15.91741026</v>
      </c>
      <c r="EL10" s="45">
        <v>15.538953130000001</v>
      </c>
      <c r="EM10" s="45">
        <v>13.752924160000001</v>
      </c>
      <c r="EN10" s="45">
        <v>12.68367658</v>
      </c>
      <c r="EO10" s="45">
        <v>19.78506952</v>
      </c>
      <c r="EP10" s="45">
        <f t="shared" si="11"/>
        <v>207.45229667999999</v>
      </c>
      <c r="EQ10" s="45">
        <v>207.45229699999999</v>
      </c>
      <c r="ER10" s="45">
        <v>21.150622289999998</v>
      </c>
      <c r="ES10" s="45">
        <v>8.1905985599999998</v>
      </c>
      <c r="ET10" s="45">
        <v>15.553265789999999</v>
      </c>
      <c r="EU10" s="45">
        <v>47.54659754</v>
      </c>
      <c r="EV10" s="45">
        <v>36.815854420000001</v>
      </c>
      <c r="EW10" s="45">
        <v>41.259417090000007</v>
      </c>
      <c r="EX10" s="45">
        <v>26.677355600000002</v>
      </c>
      <c r="EY10" s="45">
        <v>26.080295899999999</v>
      </c>
      <c r="EZ10" s="45">
        <v>14.512897949999999</v>
      </c>
      <c r="FA10" s="45">
        <v>23.384588999999998</v>
      </c>
      <c r="FB10" s="45">
        <v>28.75122009</v>
      </c>
      <c r="FC10" s="45">
        <v>-8.8433306199999997</v>
      </c>
      <c r="FD10" s="45">
        <f t="shared" si="12"/>
        <v>281.07938360999998</v>
      </c>
      <c r="FE10" s="45">
        <v>281.079384</v>
      </c>
      <c r="FF10" s="45">
        <v>36.645934600000004</v>
      </c>
      <c r="FG10" s="45">
        <v>28.807555710000003</v>
      </c>
      <c r="FH10" s="45">
        <v>18.87608148</v>
      </c>
      <c r="FI10" s="45">
        <v>34.442598700000005</v>
      </c>
      <c r="FJ10" s="45">
        <v>49.467463700000003</v>
      </c>
      <c r="FK10" s="45">
        <v>44.263114659999999</v>
      </c>
      <c r="FL10" s="45">
        <v>27.860116649999998</v>
      </c>
      <c r="FM10" s="45">
        <v>31.240999370000001</v>
      </c>
      <c r="FN10" s="45">
        <v>25.169041270000001</v>
      </c>
      <c r="FO10" s="45">
        <v>29.345910280000002</v>
      </c>
      <c r="FP10" s="45">
        <v>24.25913654</v>
      </c>
      <c r="FQ10" s="45">
        <v>28.372493200000001</v>
      </c>
      <c r="FR10" s="45">
        <f t="shared" si="13"/>
        <v>378.75044615999997</v>
      </c>
      <c r="FS10" s="45">
        <v>378.75044600000001</v>
      </c>
      <c r="FT10" s="45">
        <v>61.791102840000001</v>
      </c>
      <c r="FU10" s="45">
        <v>19.323077089999998</v>
      </c>
      <c r="FV10" s="45">
        <v>31.007726399999999</v>
      </c>
      <c r="FW10" s="45">
        <v>47.875981899999999</v>
      </c>
      <c r="FX10" s="45">
        <v>50.344546159999993</v>
      </c>
      <c r="FY10" s="45">
        <v>121.50320755</v>
      </c>
      <c r="FZ10" s="45">
        <v>36.14371457</v>
      </c>
      <c r="GA10" s="45">
        <v>32.975626829999996</v>
      </c>
      <c r="GB10" s="45">
        <v>53.2216849</v>
      </c>
      <c r="GC10" s="45">
        <v>27.909649039999998</v>
      </c>
      <c r="GD10" s="45">
        <v>35.854767159999994</v>
      </c>
      <c r="GE10" s="45">
        <v>26.856984570000002</v>
      </c>
      <c r="GF10" s="45">
        <f t="shared" si="14"/>
        <v>544.80806900999994</v>
      </c>
      <c r="GG10" s="45">
        <v>544.80806900000005</v>
      </c>
      <c r="GH10" s="45">
        <v>66.341426999999996</v>
      </c>
      <c r="GI10" s="45">
        <v>20.887850459999999</v>
      </c>
      <c r="GJ10" s="45">
        <v>24.280711780000001</v>
      </c>
      <c r="GK10" s="45">
        <v>105.69563192</v>
      </c>
      <c r="GL10" s="45">
        <v>87.686189580000004</v>
      </c>
      <c r="GM10" s="45">
        <v>145.37870212999999</v>
      </c>
      <c r="GN10" s="45">
        <v>46.37264442</v>
      </c>
      <c r="GO10" s="45">
        <v>37.146848649999995</v>
      </c>
      <c r="GP10" s="45">
        <v>71.016618780000002</v>
      </c>
      <c r="GQ10" s="45">
        <v>39.869539140000001</v>
      </c>
      <c r="GR10" s="45">
        <v>28.49051815</v>
      </c>
      <c r="GS10" s="45">
        <v>46.254548870000001</v>
      </c>
      <c r="GT10" s="45">
        <f t="shared" ref="GT10:GT70" si="20">SUM(GH10:GS10)</f>
        <v>719.42123088000005</v>
      </c>
      <c r="GU10" s="45">
        <v>719.42123100000003</v>
      </c>
      <c r="GV10" s="45">
        <v>137.08453331999999</v>
      </c>
      <c r="GW10" s="45">
        <v>20.043219319999999</v>
      </c>
      <c r="GX10" s="45">
        <v>20.72689308</v>
      </c>
      <c r="GY10" s="45">
        <v>120.18695436</v>
      </c>
      <c r="GZ10" s="45">
        <v>81.672789609999995</v>
      </c>
      <c r="HA10" s="45">
        <v>115.30458259999999</v>
      </c>
      <c r="HB10" s="45">
        <v>53.397609450000004</v>
      </c>
      <c r="HC10" s="45">
        <v>31.667238949999998</v>
      </c>
      <c r="HD10" s="45">
        <v>103.9762867</v>
      </c>
      <c r="HE10" s="45">
        <v>34.78629969</v>
      </c>
      <c r="HF10" s="45">
        <v>28.135584600000001</v>
      </c>
      <c r="HG10" s="45">
        <v>40.57725069</v>
      </c>
      <c r="HH10" s="45">
        <f t="shared" si="15"/>
        <v>787.55924236999999</v>
      </c>
      <c r="HI10" s="45">
        <v>106.24033799999999</v>
      </c>
      <c r="HJ10" s="45">
        <v>22.9687707</v>
      </c>
      <c r="HK10" s="45">
        <v>24.169487929999999</v>
      </c>
      <c r="HL10" s="45">
        <v>80.604557880000002</v>
      </c>
      <c r="HM10" s="45"/>
      <c r="HN10" s="45"/>
      <c r="HO10" s="45"/>
      <c r="HP10" s="45"/>
      <c r="HQ10" s="45"/>
      <c r="HR10" s="45"/>
      <c r="HS10" s="45"/>
      <c r="HT10" s="45"/>
      <c r="HU10" s="283">
        <f t="shared" si="16"/>
        <v>298.04160000000002</v>
      </c>
      <c r="HV10" s="283">
        <f t="shared" si="17"/>
        <v>233.98315500000001</v>
      </c>
      <c r="HW10" s="280">
        <f t="shared" si="18"/>
        <v>-64.058445000000006</v>
      </c>
      <c r="HX10" s="280">
        <f t="shared" si="19"/>
        <v>-21.493122101075826</v>
      </c>
    </row>
    <row r="11" spans="1:232" s="12" customFormat="1" ht="20.5">
      <c r="A11" s="47" t="s">
        <v>35</v>
      </c>
      <c r="C11" s="47" t="s">
        <v>36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5"/>
      <c r="BK11" s="44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>
        <f t="shared" si="20"/>
        <v>0</v>
      </c>
      <c r="GU11" s="45"/>
      <c r="GV11" s="45"/>
      <c r="GW11" s="45"/>
      <c r="GX11" s="45"/>
      <c r="GY11" s="45"/>
      <c r="GZ11" s="45">
        <v>30.677752999999999</v>
      </c>
      <c r="HA11" s="45"/>
      <c r="HB11" s="45">
        <v>5.4334000000000001E-4</v>
      </c>
      <c r="HC11" s="45">
        <v>24.759549660000001</v>
      </c>
      <c r="HD11" s="45">
        <v>7.7620000000000006E-5</v>
      </c>
      <c r="HE11" s="45"/>
      <c r="HF11" s="45">
        <v>18.657013679999999</v>
      </c>
      <c r="HG11" s="45">
        <v>-1.080368E-2</v>
      </c>
      <c r="HH11" s="45">
        <f t="shared" si="15"/>
        <v>74.084133620000003</v>
      </c>
      <c r="HI11" s="45">
        <v>8.0849999999999997E-4</v>
      </c>
      <c r="HJ11" s="45">
        <v>17.3008825</v>
      </c>
      <c r="HK11" s="45">
        <v>6.6319999999999999E-3</v>
      </c>
      <c r="HL11" s="45"/>
      <c r="HM11" s="45"/>
      <c r="HN11" s="45"/>
      <c r="HO11" s="45"/>
      <c r="HP11" s="45"/>
      <c r="HQ11" s="45"/>
      <c r="HR11" s="45"/>
      <c r="HS11" s="45"/>
      <c r="HT11" s="45"/>
      <c r="HU11" s="283">
        <f t="shared" si="16"/>
        <v>0</v>
      </c>
      <c r="HV11" s="283">
        <f t="shared" si="17"/>
        <v>17.308323000000001</v>
      </c>
      <c r="HW11" s="280"/>
      <c r="HX11" s="280"/>
    </row>
    <row r="12" spans="1:232" s="12" customFormat="1" ht="20.5">
      <c r="A12" s="47" t="s">
        <v>37</v>
      </c>
      <c r="B12" s="12" t="s">
        <v>38</v>
      </c>
      <c r="C12" s="47" t="s">
        <v>39</v>
      </c>
      <c r="D12" s="42">
        <v>265.31850274045109</v>
      </c>
      <c r="E12" s="42">
        <v>291.31938065235829</v>
      </c>
      <c r="F12" s="42">
        <v>177.15839266708784</v>
      </c>
      <c r="G12" s="42">
        <v>221.35286936329331</v>
      </c>
      <c r="H12" s="42">
        <v>15.551752693496338</v>
      </c>
      <c r="I12" s="42">
        <v>15.042391619854186</v>
      </c>
      <c r="J12" s="42">
        <v>16.414375843051548</v>
      </c>
      <c r="K12" s="42">
        <v>17.03113812670389</v>
      </c>
      <c r="L12" s="42">
        <v>17.296028480202164</v>
      </c>
      <c r="M12" s="42">
        <v>17.256815555972931</v>
      </c>
      <c r="N12" s="42">
        <v>18.074144427180268</v>
      </c>
      <c r="O12" s="42">
        <v>16.435683348415775</v>
      </c>
      <c r="P12" s="42">
        <v>16.158944741350364</v>
      </c>
      <c r="Q12" s="42">
        <v>16.442745061211944</v>
      </c>
      <c r="R12" s="42">
        <v>17.350407795060928</v>
      </c>
      <c r="S12" s="42">
        <v>20.072518084700715</v>
      </c>
      <c r="T12" s="42">
        <v>203.12694577720106</v>
      </c>
      <c r="U12" s="42">
        <v>203.12694577720106</v>
      </c>
      <c r="V12" s="42">
        <v>19.399651965555119</v>
      </c>
      <c r="W12" s="42">
        <v>19.27151524464858</v>
      </c>
      <c r="X12" s="42">
        <v>18.786520850763512</v>
      </c>
      <c r="Y12" s="42">
        <v>20.9093915230989</v>
      </c>
      <c r="Z12" s="42">
        <v>20.239506320396583</v>
      </c>
      <c r="AA12" s="42">
        <v>21.718671208473484</v>
      </c>
      <c r="AB12" s="42">
        <v>23.066561943301405</v>
      </c>
      <c r="AC12" s="42">
        <v>20.832324517219593</v>
      </c>
      <c r="AD12" s="42">
        <v>19.172639882527704</v>
      </c>
      <c r="AE12" s="42">
        <v>20.958166145895586</v>
      </c>
      <c r="AF12" s="42">
        <v>21.818203937370875</v>
      </c>
      <c r="AG12" s="42">
        <v>22.032062993380801</v>
      </c>
      <c r="AH12" s="42">
        <v>248.20521653263214</v>
      </c>
      <c r="AI12" s="42">
        <v>248.20521653263214</v>
      </c>
      <c r="AJ12" s="42">
        <v>23.388350094763261</v>
      </c>
      <c r="AK12" s="42">
        <v>19.65736819938418</v>
      </c>
      <c r="AL12" s="42">
        <v>20.920995042714612</v>
      </c>
      <c r="AM12" s="42">
        <v>21.867604623764237</v>
      </c>
      <c r="AN12" s="42">
        <v>22.981287812818366</v>
      </c>
      <c r="AO12" s="42">
        <v>21.937194438278667</v>
      </c>
      <c r="AP12" s="42">
        <v>23.269928742579726</v>
      </c>
      <c r="AQ12" s="42">
        <v>20.969349918327158</v>
      </c>
      <c r="AR12" s="42">
        <v>20.719098070016678</v>
      </c>
      <c r="AS12" s="42">
        <v>22.075716700531014</v>
      </c>
      <c r="AT12" s="42">
        <v>21.978066431039096</v>
      </c>
      <c r="AU12" s="42">
        <v>26.179344454499407</v>
      </c>
      <c r="AV12" s="42">
        <v>265.94430452871637</v>
      </c>
      <c r="AW12" s="42">
        <v>265.94430452871643</v>
      </c>
      <c r="AX12" s="42">
        <v>20.982786000000001</v>
      </c>
      <c r="AY12" s="42">
        <v>21.284703</v>
      </c>
      <c r="AZ12" s="42">
        <v>21.088723000000002</v>
      </c>
      <c r="BA12" s="42">
        <v>23.390782000000002</v>
      </c>
      <c r="BB12" s="42">
        <v>22.674706</v>
      </c>
      <c r="BC12" s="42">
        <v>22.730246999999999</v>
      </c>
      <c r="BD12" s="42">
        <v>26.392643</v>
      </c>
      <c r="BE12" s="42">
        <v>23.196256999999999</v>
      </c>
      <c r="BF12" s="42">
        <v>21.54494931</v>
      </c>
      <c r="BG12" s="42">
        <v>24.224437379999998</v>
      </c>
      <c r="BH12" s="42">
        <v>22.991881020000001</v>
      </c>
      <c r="BI12" s="42">
        <v>26.656573469999998</v>
      </c>
      <c r="BJ12" s="45">
        <f t="shared" si="1"/>
        <v>277.15868818000001</v>
      </c>
      <c r="BK12" s="42">
        <v>277.15868899999998</v>
      </c>
      <c r="BL12" s="42">
        <v>23.313562440000002</v>
      </c>
      <c r="BM12" s="42">
        <v>22.32370792</v>
      </c>
      <c r="BN12" s="42">
        <v>22.199314409999999</v>
      </c>
      <c r="BO12" s="42">
        <v>24.146046309999999</v>
      </c>
      <c r="BP12" s="42">
        <v>23.289576660000002</v>
      </c>
      <c r="BQ12" s="42">
        <v>24.803715760000003</v>
      </c>
      <c r="BR12" s="42">
        <v>25.677748789999999</v>
      </c>
      <c r="BS12" s="42">
        <v>23.859079300000001</v>
      </c>
      <c r="BT12" s="42">
        <v>22.623614410000002</v>
      </c>
      <c r="BU12" s="42">
        <v>24.2242712</v>
      </c>
      <c r="BV12" s="42">
        <v>23.676231789999999</v>
      </c>
      <c r="BW12" s="42">
        <v>28.655153600000002</v>
      </c>
      <c r="BX12" s="45">
        <f t="shared" si="4"/>
        <v>288.79202258999999</v>
      </c>
      <c r="BY12" s="45">
        <v>288.79202299999997</v>
      </c>
      <c r="BZ12" s="45">
        <v>23.577638409999999</v>
      </c>
      <c r="CA12" s="45">
        <v>23.149585829999999</v>
      </c>
      <c r="CB12" s="45">
        <v>22.02494063</v>
      </c>
      <c r="CC12" s="45">
        <v>25.711868110000001</v>
      </c>
      <c r="CD12" s="45">
        <v>23.804916070000001</v>
      </c>
      <c r="CE12" s="45">
        <v>26.48227558</v>
      </c>
      <c r="CF12" s="45">
        <v>27.632422260000002</v>
      </c>
      <c r="CG12" s="45">
        <v>25.136598030000002</v>
      </c>
      <c r="CH12" s="45">
        <v>24.412419239999998</v>
      </c>
      <c r="CI12" s="45">
        <v>25.721775449999999</v>
      </c>
      <c r="CJ12" s="45">
        <v>20.579662030000001</v>
      </c>
      <c r="CK12" s="45">
        <v>27.243369920000003</v>
      </c>
      <c r="CL12" s="45">
        <f t="shared" si="5"/>
        <v>295.47747155999997</v>
      </c>
      <c r="CM12" s="45">
        <v>295.47747099999998</v>
      </c>
      <c r="CN12" s="45">
        <v>26.410161309999999</v>
      </c>
      <c r="CO12" s="45">
        <v>25.81781484</v>
      </c>
      <c r="CP12" s="45">
        <v>23.727340390000002</v>
      </c>
      <c r="CQ12" s="45">
        <v>26.891215300000002</v>
      </c>
      <c r="CR12" s="45">
        <v>27.192370620000002</v>
      </c>
      <c r="CS12" s="45">
        <v>29.50864983</v>
      </c>
      <c r="CT12" s="45">
        <v>30.947907789999999</v>
      </c>
      <c r="CU12" s="45">
        <v>28.703566250000002</v>
      </c>
      <c r="CV12" s="45">
        <v>27.482797619999999</v>
      </c>
      <c r="CW12" s="45">
        <v>29.009576640000002</v>
      </c>
      <c r="CX12" s="45">
        <v>29.344892519999998</v>
      </c>
      <c r="CY12" s="45">
        <v>35.503725530000004</v>
      </c>
      <c r="CZ12" s="45">
        <f t="shared" si="6"/>
        <v>340.54001863999991</v>
      </c>
      <c r="DA12" s="45">
        <v>340.54001899999997</v>
      </c>
      <c r="DB12" s="45">
        <v>28.650026230000002</v>
      </c>
      <c r="DC12" s="45">
        <v>26.54579601</v>
      </c>
      <c r="DD12" s="45">
        <v>21.496518179999999</v>
      </c>
      <c r="DE12" s="45">
        <v>24.533685579999997</v>
      </c>
      <c r="DF12" s="45">
        <v>25.366584159999999</v>
      </c>
      <c r="DG12" s="45">
        <v>30.455170640000002</v>
      </c>
      <c r="DH12" s="45">
        <v>23.523130859999998</v>
      </c>
      <c r="DI12" s="45">
        <v>29.711267249999999</v>
      </c>
      <c r="DJ12" s="45">
        <v>28.459490940000002</v>
      </c>
      <c r="DK12" s="45">
        <v>29.71227914</v>
      </c>
      <c r="DL12" s="45">
        <v>31.213025780000002</v>
      </c>
      <c r="DM12" s="45">
        <v>40.906073670000005</v>
      </c>
      <c r="DN12" s="45">
        <f t="shared" si="7"/>
        <v>340.57304844000004</v>
      </c>
      <c r="DO12" s="45">
        <v>340.57304799999997</v>
      </c>
      <c r="DP12" s="45">
        <v>30.245679690000003</v>
      </c>
      <c r="DQ12" s="45">
        <v>29.630491679999999</v>
      </c>
      <c r="DR12" s="45">
        <v>21.85953537</v>
      </c>
      <c r="DS12" s="45">
        <v>27.80440128</v>
      </c>
      <c r="DT12" s="45">
        <v>28.739839149999998</v>
      </c>
      <c r="DU12" s="45">
        <v>31.771752719999999</v>
      </c>
      <c r="DV12" s="45">
        <v>34.036696579999997</v>
      </c>
      <c r="DW12" s="45">
        <v>32.801811020000002</v>
      </c>
      <c r="DX12" s="45">
        <v>35.333190780000002</v>
      </c>
      <c r="DY12" s="45">
        <v>34.598305809999999</v>
      </c>
      <c r="DZ12" s="45">
        <v>35.487160129999999</v>
      </c>
      <c r="EA12" s="45">
        <v>46.919439609999998</v>
      </c>
      <c r="EB12" s="45">
        <f t="shared" si="10"/>
        <v>389.22830381999995</v>
      </c>
      <c r="EC12" s="45">
        <v>389.20496800000001</v>
      </c>
      <c r="ED12" s="45">
        <v>36.674869119999997</v>
      </c>
      <c r="EE12" s="45">
        <v>31.702980789999998</v>
      </c>
      <c r="EF12" s="45">
        <v>19.22070931</v>
      </c>
      <c r="EG12" s="45">
        <v>26.005889360000001</v>
      </c>
      <c r="EH12" s="45">
        <v>23.580212209999999</v>
      </c>
      <c r="EI12" s="45">
        <v>27.534430539999999</v>
      </c>
      <c r="EJ12" s="45">
        <v>33.116280109999998</v>
      </c>
      <c r="EK12" s="45">
        <v>30.121927239999998</v>
      </c>
      <c r="EL12" s="45">
        <v>30.976083879999997</v>
      </c>
      <c r="EM12" s="45">
        <v>45.173129000000003</v>
      </c>
      <c r="EN12" s="45">
        <v>30.96818241999998</v>
      </c>
      <c r="EO12" s="45">
        <v>28.215742060001329</v>
      </c>
      <c r="EP12" s="45">
        <f t="shared" si="11"/>
        <v>363.29043604000134</v>
      </c>
      <c r="EQ12" s="45">
        <v>363.29031600000002</v>
      </c>
      <c r="ER12" s="45">
        <v>33.662314000000002</v>
      </c>
      <c r="ES12" s="45">
        <v>34.588760999999998</v>
      </c>
      <c r="ET12" s="45">
        <v>-61.977113000000003</v>
      </c>
      <c r="EU12" s="45">
        <v>80.358866030000002</v>
      </c>
      <c r="EV12" s="45">
        <v>-7.2263530000001186E-2</v>
      </c>
      <c r="EW12" s="45">
        <v>36.368523269999997</v>
      </c>
      <c r="EX12" s="45">
        <v>62.51231052</v>
      </c>
      <c r="EY12" s="45">
        <v>50.424078620000003</v>
      </c>
      <c r="EZ12" s="45">
        <v>52.594845920000004</v>
      </c>
      <c r="FA12" s="45">
        <v>90.585885000000005</v>
      </c>
      <c r="FB12" s="45">
        <v>42.077774150000003</v>
      </c>
      <c r="FC12" s="45">
        <v>56.133936030000001</v>
      </c>
      <c r="FD12" s="45">
        <f t="shared" si="12"/>
        <v>477.25791801000003</v>
      </c>
      <c r="FE12" s="45">
        <v>477.25791400000003</v>
      </c>
      <c r="FF12" s="45">
        <v>58.94312566</v>
      </c>
      <c r="FG12" s="45">
        <v>46.774481049999999</v>
      </c>
      <c r="FH12" s="45">
        <v>12.970383899999998</v>
      </c>
      <c r="FI12" s="45">
        <v>37.967668060000001</v>
      </c>
      <c r="FJ12" s="45">
        <v>46.30466036</v>
      </c>
      <c r="FK12" s="45">
        <v>48.99780801</v>
      </c>
      <c r="FL12" s="45">
        <v>55.465605910000001</v>
      </c>
      <c r="FM12" s="45">
        <v>50.586155589999997</v>
      </c>
      <c r="FN12" s="45">
        <v>52.215090749999995</v>
      </c>
      <c r="FO12" s="45">
        <v>54.208282789999998</v>
      </c>
      <c r="FP12" s="45">
        <v>50.069995499999997</v>
      </c>
      <c r="FQ12" s="45">
        <v>50.155457859999999</v>
      </c>
      <c r="FR12" s="45">
        <f t="shared" si="13"/>
        <v>564.65871543999992</v>
      </c>
      <c r="FS12" s="45">
        <v>564.65871600000003</v>
      </c>
      <c r="FT12" s="45">
        <v>59.816065999999999</v>
      </c>
      <c r="FU12" s="45">
        <v>50.844819999999999</v>
      </c>
      <c r="FV12" s="45">
        <v>4.3469519200000342</v>
      </c>
      <c r="FW12" s="45">
        <v>55.942308030000007</v>
      </c>
      <c r="FX12" s="45">
        <v>18.277729559999997</v>
      </c>
      <c r="FY12" s="45">
        <v>56.359219689999975</v>
      </c>
      <c r="FZ12" s="45">
        <v>61.047600659999993</v>
      </c>
      <c r="GA12" s="45">
        <v>59.11764642</v>
      </c>
      <c r="GB12" s="45">
        <v>76.465741239999929</v>
      </c>
      <c r="GC12" s="45">
        <v>67.126254889999998</v>
      </c>
      <c r="GD12" s="45">
        <v>57.468581020000073</v>
      </c>
      <c r="GE12" s="45">
        <v>58.20824721000001</v>
      </c>
      <c r="GF12" s="45">
        <f t="shared" si="14"/>
        <v>625.02116663999993</v>
      </c>
      <c r="GG12" s="45">
        <v>625.02116599999999</v>
      </c>
      <c r="GH12" s="45">
        <v>67.434435670000013</v>
      </c>
      <c r="GI12" s="45">
        <v>60.335550859999998</v>
      </c>
      <c r="GJ12" s="45">
        <v>-1.6284784499999994</v>
      </c>
      <c r="GK12" s="45">
        <v>70.847539479999995</v>
      </c>
      <c r="GL12" s="45">
        <v>54.06189329</v>
      </c>
      <c r="GM12" s="45">
        <v>42.147666210000004</v>
      </c>
      <c r="GN12" s="45">
        <v>86.160487550000084</v>
      </c>
      <c r="GO12" s="45">
        <v>66.273481360000005</v>
      </c>
      <c r="GP12" s="45">
        <v>62.219085910000004</v>
      </c>
      <c r="GQ12" s="45">
        <v>65.862382429999997</v>
      </c>
      <c r="GR12" s="45">
        <v>64.141175459999999</v>
      </c>
      <c r="GS12" s="45">
        <v>64.887109719999998</v>
      </c>
      <c r="GT12" s="45">
        <f t="shared" si="20"/>
        <v>702.74232949000009</v>
      </c>
      <c r="GU12" s="45">
        <v>702.74233000000004</v>
      </c>
      <c r="GV12" s="45">
        <v>160.31990773000001</v>
      </c>
      <c r="GW12" s="45">
        <v>84.943420610000004</v>
      </c>
      <c r="GX12" s="45">
        <v>-91.017070090000004</v>
      </c>
      <c r="GY12" s="45">
        <v>29.232877019999997</v>
      </c>
      <c r="GZ12" s="45">
        <v>43.42462046</v>
      </c>
      <c r="HA12" s="45">
        <v>69.789060829999997</v>
      </c>
      <c r="HB12" s="45">
        <v>87.124817949999994</v>
      </c>
      <c r="HC12" s="45">
        <v>65.694874339999998</v>
      </c>
      <c r="HD12" s="45">
        <v>47.086477369999997</v>
      </c>
      <c r="HE12" s="45">
        <v>58.139243980000202</v>
      </c>
      <c r="HF12" s="45">
        <v>41.918357520000001</v>
      </c>
      <c r="HG12" s="45">
        <v>11.857483</v>
      </c>
      <c r="HH12" s="45">
        <f t="shared" si="15"/>
        <v>608.51407072000018</v>
      </c>
      <c r="HI12" s="45">
        <v>121.61086233</v>
      </c>
      <c r="HJ12" s="45">
        <v>68.801453649999999</v>
      </c>
      <c r="HK12" s="45">
        <v>-67.802510249999997</v>
      </c>
      <c r="HL12" s="45">
        <v>42.780200229999998</v>
      </c>
      <c r="HM12" s="45"/>
      <c r="HN12" s="45"/>
      <c r="HO12" s="45"/>
      <c r="HP12" s="45"/>
      <c r="HQ12" s="45"/>
      <c r="HR12" s="45"/>
      <c r="HS12" s="45"/>
      <c r="HT12" s="45"/>
      <c r="HU12" s="283">
        <f t="shared" si="16"/>
        <v>183.47913500000001</v>
      </c>
      <c r="HV12" s="283">
        <f t="shared" si="17"/>
        <v>165.390006</v>
      </c>
      <c r="HW12" s="280">
        <f t="shared" si="18"/>
        <v>-18.089129000000014</v>
      </c>
      <c r="HX12" s="280">
        <f t="shared" si="19"/>
        <v>-9.8589569871255378</v>
      </c>
    </row>
    <row r="13" spans="1:232" s="12" customFormat="1" ht="20.5">
      <c r="A13" s="47" t="s">
        <v>40</v>
      </c>
      <c r="C13" s="47" t="s">
        <v>41</v>
      </c>
      <c r="D13" s="42">
        <v>1799.9025403953308</v>
      </c>
      <c r="E13" s="42">
        <v>1994.434029971372</v>
      </c>
      <c r="F13" s="42">
        <v>1660.0354821543419</v>
      </c>
      <c r="G13" s="42">
        <v>1555.5149102737037</v>
      </c>
      <c r="H13" s="42">
        <v>119.20410953836347</v>
      </c>
      <c r="I13" s="42">
        <v>135.90171370680875</v>
      </c>
      <c r="J13" s="42">
        <v>138.87079327949186</v>
      </c>
      <c r="K13" s="42">
        <v>139.03380601134884</v>
      </c>
      <c r="L13" s="42">
        <v>143.82835755061154</v>
      </c>
      <c r="M13" s="42">
        <v>144.43206925401677</v>
      </c>
      <c r="N13" s="42">
        <v>163.00185257909743</v>
      </c>
      <c r="O13" s="42">
        <v>144.21692819050546</v>
      </c>
      <c r="P13" s="42">
        <v>147.54324249719693</v>
      </c>
      <c r="Q13" s="42">
        <v>146.4518784753644</v>
      </c>
      <c r="R13" s="42">
        <v>148.72454766905142</v>
      </c>
      <c r="S13" s="42">
        <v>178.35989835003787</v>
      </c>
      <c r="T13" s="42">
        <v>1749.5691971018946</v>
      </c>
      <c r="U13" s="42">
        <v>1749.5691971018946</v>
      </c>
      <c r="V13" s="42">
        <v>140.12271273356441</v>
      </c>
      <c r="W13" s="42">
        <v>146.77011963506183</v>
      </c>
      <c r="X13" s="42">
        <v>147.06572387180495</v>
      </c>
      <c r="Y13" s="42">
        <v>156.4826039692432</v>
      </c>
      <c r="Z13" s="42">
        <v>153.59468927325401</v>
      </c>
      <c r="AA13" s="42">
        <v>154.36978019476268</v>
      </c>
      <c r="AB13" s="42">
        <v>171.66341398170758</v>
      </c>
      <c r="AC13" s="42">
        <v>160.07909459820945</v>
      </c>
      <c r="AD13" s="42">
        <v>149.68581425262235</v>
      </c>
      <c r="AE13" s="42">
        <v>165.19288592552118</v>
      </c>
      <c r="AF13" s="42">
        <v>161.95085685340436</v>
      </c>
      <c r="AG13" s="42">
        <v>176.93434442604197</v>
      </c>
      <c r="AH13" s="42"/>
      <c r="AI13" s="42">
        <v>1883.9120409104103</v>
      </c>
      <c r="AJ13" s="42">
        <v>161.33790502046091</v>
      </c>
      <c r="AK13" s="42">
        <v>155.07053887001211</v>
      </c>
      <c r="AL13" s="42">
        <v>152.64250203470669</v>
      </c>
      <c r="AM13" s="42">
        <v>171.52268199461105</v>
      </c>
      <c r="AN13" s="42">
        <v>158.59792346580181</v>
      </c>
      <c r="AO13" s="42">
        <v>155.51946488636946</v>
      </c>
      <c r="AP13" s="42">
        <v>177.61799022202493</v>
      </c>
      <c r="AQ13" s="42">
        <v>166.51254830649796</v>
      </c>
      <c r="AR13" s="42">
        <v>154.57398079692203</v>
      </c>
      <c r="AS13" s="42">
        <v>169.31643246196666</v>
      </c>
      <c r="AT13" s="42">
        <v>159.6534467646741</v>
      </c>
      <c r="AU13" s="42">
        <v>198.47405820114855</v>
      </c>
      <c r="AV13" s="42">
        <v>1980.8394730251964</v>
      </c>
      <c r="AW13" s="42">
        <v>1980.8394744480681</v>
      </c>
      <c r="AX13" s="42">
        <v>148.13804400000001</v>
      </c>
      <c r="AY13" s="42">
        <v>152.61350200000001</v>
      </c>
      <c r="AZ13" s="42">
        <v>154.34897100000001</v>
      </c>
      <c r="BA13" s="42">
        <v>172.467646</v>
      </c>
      <c r="BB13" s="42">
        <v>160.16077899999999</v>
      </c>
      <c r="BC13" s="42">
        <v>160.40488099999999</v>
      </c>
      <c r="BD13" s="42">
        <v>186.87765899999999</v>
      </c>
      <c r="BE13" s="42">
        <v>165.463706</v>
      </c>
      <c r="BF13" s="42">
        <v>153.75098231000001</v>
      </c>
      <c r="BG13" s="42">
        <v>175.01610313999998</v>
      </c>
      <c r="BH13" s="42">
        <v>155.80574494000004</v>
      </c>
      <c r="BI13" s="42">
        <v>191.07232320000003</v>
      </c>
      <c r="BJ13" s="42">
        <f>SUM(BJ14:BJ16)</f>
        <v>1976.12034159</v>
      </c>
      <c r="BK13" s="42">
        <f>SUM(BK14:BK16)</f>
        <v>1976.1203419999999</v>
      </c>
      <c r="BL13" s="42">
        <v>157.3858257</v>
      </c>
      <c r="BM13" s="42">
        <v>159.32040165000001</v>
      </c>
      <c r="BN13" s="42">
        <v>166.50347086000005</v>
      </c>
      <c r="BO13" s="42">
        <v>177.72226172000003</v>
      </c>
      <c r="BP13" s="42">
        <v>160.66838643</v>
      </c>
      <c r="BQ13" s="42">
        <v>165.59198394000003</v>
      </c>
      <c r="BR13" s="42">
        <v>195.97377599999999</v>
      </c>
      <c r="BS13" s="42">
        <v>171.21675989000002</v>
      </c>
      <c r="BT13" s="42">
        <v>162.34785893</v>
      </c>
      <c r="BU13" s="42">
        <v>175.10483925999998</v>
      </c>
      <c r="BV13" s="42">
        <v>162.41979723999998</v>
      </c>
      <c r="BW13" s="42">
        <v>194.49005961</v>
      </c>
      <c r="BX13" s="42">
        <f>SUM(BX14:BX16)</f>
        <v>2048.7454212300004</v>
      </c>
      <c r="BY13" s="42">
        <f>SUM(BY14:BY16)</f>
        <v>2048.7454212299999</v>
      </c>
      <c r="BZ13" s="42">
        <v>161.39029951000001</v>
      </c>
      <c r="CA13" s="42">
        <v>162.66842315999997</v>
      </c>
      <c r="CB13" s="42">
        <v>166.78362494999999</v>
      </c>
      <c r="CC13" s="42">
        <v>188.87658620000002</v>
      </c>
      <c r="CD13" s="42">
        <v>165.51293248000002</v>
      </c>
      <c r="CE13" s="42">
        <v>177.63488606999999</v>
      </c>
      <c r="CF13" s="42">
        <v>196.98521888999994</v>
      </c>
      <c r="CG13" s="42">
        <v>172.34779499000004</v>
      </c>
      <c r="CH13" s="42">
        <v>170.72851227999999</v>
      </c>
      <c r="CI13" s="42">
        <v>185.98391896000001</v>
      </c>
      <c r="CJ13" s="42">
        <v>172.07127314000005</v>
      </c>
      <c r="CK13" s="42">
        <v>209.77159747000005</v>
      </c>
      <c r="CL13" s="42">
        <f>SUM(CL14:CL16)</f>
        <v>2130.7550681000002</v>
      </c>
      <c r="CM13" s="42">
        <f>SUM(CM14:CM16)</f>
        <v>2130.7550689999998</v>
      </c>
      <c r="CN13" s="42">
        <v>178.019644</v>
      </c>
      <c r="CO13" s="42">
        <v>170.55312870000003</v>
      </c>
      <c r="CP13" s="42">
        <v>177.79656289000002</v>
      </c>
      <c r="CQ13" s="42">
        <v>195.70726384000002</v>
      </c>
      <c r="CR13" s="42">
        <v>187.39398244000003</v>
      </c>
      <c r="CS13" s="42">
        <v>193.87513949000004</v>
      </c>
      <c r="CT13" s="42">
        <v>216.26652848000001</v>
      </c>
      <c r="CU13" s="42">
        <v>190.08487366</v>
      </c>
      <c r="CV13" s="42">
        <v>185.02227776999996</v>
      </c>
      <c r="CW13" s="42">
        <v>204.85167932000004</v>
      </c>
      <c r="CX13" s="42">
        <v>191.48055788000002</v>
      </c>
      <c r="CY13" s="42">
        <v>227.67381014</v>
      </c>
      <c r="CZ13" s="42">
        <f>SUM(CZ14:CZ16)</f>
        <v>2318.7254486100001</v>
      </c>
      <c r="DA13" s="42">
        <f>SUM(DA14:DA16)</f>
        <v>2318.7441470000003</v>
      </c>
      <c r="DB13" s="42">
        <v>196.23241412000002</v>
      </c>
      <c r="DC13" s="42">
        <v>197.57560261999998</v>
      </c>
      <c r="DD13" s="42">
        <v>201.76673857000003</v>
      </c>
      <c r="DE13" s="42">
        <v>228.77588985000003</v>
      </c>
      <c r="DF13" s="42">
        <v>213.71387118999999</v>
      </c>
      <c r="DG13" s="42">
        <v>224.20815041</v>
      </c>
      <c r="DH13" s="42">
        <v>252.22733119</v>
      </c>
      <c r="DI13" s="42">
        <v>221.59556795000003</v>
      </c>
      <c r="DJ13" s="42">
        <v>209.43200536999998</v>
      </c>
      <c r="DK13" s="42">
        <v>238.69114751999999</v>
      </c>
      <c r="DL13" s="42">
        <v>221.30213931</v>
      </c>
      <c r="DM13" s="42">
        <v>257.11879386000004</v>
      </c>
      <c r="DN13" s="42">
        <f>SUM(DN14:DN16)</f>
        <v>2662.6396519599998</v>
      </c>
      <c r="DO13" s="42">
        <f>SUM(DO14:DO16)</f>
        <v>2662.6406630000001</v>
      </c>
      <c r="DP13" s="42">
        <f>SUM(DP14:DP16)</f>
        <v>223.77400227000001</v>
      </c>
      <c r="DQ13" s="42">
        <f>SUM(DQ14:DQ16)</f>
        <v>215.65624584</v>
      </c>
      <c r="DR13" s="42">
        <f>SUM(DR14:DR16)</f>
        <v>214.06520274000002</v>
      </c>
      <c r="DS13" s="45">
        <v>249.07955516000001</v>
      </c>
      <c r="DT13" s="45">
        <v>237.49751255999999</v>
      </c>
      <c r="DU13" s="45">
        <v>236.69188775000001</v>
      </c>
      <c r="DV13" s="45">
        <v>272.22206236</v>
      </c>
      <c r="DW13" s="45">
        <v>243.38304450999996</v>
      </c>
      <c r="DX13" s="45">
        <v>230.77683590000001</v>
      </c>
      <c r="DY13" s="45">
        <v>257.86683496000001</v>
      </c>
      <c r="DZ13" s="45">
        <v>238.12432121000001</v>
      </c>
      <c r="EA13" s="45">
        <v>276.51876140000002</v>
      </c>
      <c r="EB13" s="42">
        <f t="shared" si="10"/>
        <v>2895.6562666599998</v>
      </c>
      <c r="EC13" s="42">
        <f>SUM(EC14:EC16)</f>
        <v>2895.6796000000004</v>
      </c>
      <c r="ED13" s="45">
        <v>242.35150808</v>
      </c>
      <c r="EE13" s="45">
        <v>230.91941526000005</v>
      </c>
      <c r="EF13" s="45">
        <v>219.97100685999996</v>
      </c>
      <c r="EG13" s="45">
        <v>238.97324613000001</v>
      </c>
      <c r="EH13" s="45">
        <v>202.46311419</v>
      </c>
      <c r="EI13" s="45">
        <v>217.84020040999999</v>
      </c>
      <c r="EJ13" s="45">
        <v>263.72003131000002</v>
      </c>
      <c r="EK13" s="45">
        <v>242.61097566000001</v>
      </c>
      <c r="EL13" s="45">
        <v>244.54226786000001</v>
      </c>
      <c r="EM13" s="45">
        <v>269.65800772</v>
      </c>
      <c r="EN13" s="45">
        <v>242.939345</v>
      </c>
      <c r="EO13" s="45">
        <v>297.21277206999991</v>
      </c>
      <c r="EP13" s="45">
        <f t="shared" si="11"/>
        <v>2913.2018905499999</v>
      </c>
      <c r="EQ13" s="42">
        <f>SUM(EQ14:EQ16)</f>
        <v>2913.2020090000001</v>
      </c>
      <c r="ER13" s="45">
        <v>164.80001724000005</v>
      </c>
      <c r="ES13" s="45">
        <v>218.09101435000002</v>
      </c>
      <c r="ET13" s="45">
        <v>220.95002300000002</v>
      </c>
      <c r="EU13" s="45">
        <v>255.25724912999999</v>
      </c>
      <c r="EV13" s="45">
        <v>254.32611018</v>
      </c>
      <c r="EW13" s="45">
        <v>253.08305623000001</v>
      </c>
      <c r="EX13" s="45">
        <v>284.50926322000004</v>
      </c>
      <c r="EY13" s="45">
        <v>279.48490885999996</v>
      </c>
      <c r="EZ13" s="45">
        <v>273.89999719000002</v>
      </c>
      <c r="FA13" s="45">
        <v>263.76423499999999</v>
      </c>
      <c r="FB13" s="45">
        <v>238.66714422999999</v>
      </c>
      <c r="FC13" s="45">
        <v>414.23251767000005</v>
      </c>
      <c r="FD13" s="45">
        <f>SUM(ER13:FC13)</f>
        <v>3121.0655363000001</v>
      </c>
      <c r="FE13" s="42">
        <f>SUM(FE14:FE16)</f>
        <v>3121.0655339999998</v>
      </c>
      <c r="FF13" s="45">
        <v>333.47692785000004</v>
      </c>
      <c r="FG13" s="45">
        <v>272.47740819999996</v>
      </c>
      <c r="FH13" s="45">
        <v>277.09401267999999</v>
      </c>
      <c r="FI13" s="45">
        <v>295.57084490999995</v>
      </c>
      <c r="FJ13" s="45">
        <v>313.84588660999992</v>
      </c>
      <c r="FK13" s="45">
        <v>318.98133206</v>
      </c>
      <c r="FL13" s="45">
        <v>308.24038436000001</v>
      </c>
      <c r="FM13" s="45">
        <v>303.84380946999994</v>
      </c>
      <c r="FN13" s="45">
        <v>324.38634584999988</v>
      </c>
      <c r="FO13" s="45">
        <v>335.20633321999998</v>
      </c>
      <c r="FP13" s="45">
        <v>301.93006675999993</v>
      </c>
      <c r="FQ13" s="45">
        <v>282.16279291999996</v>
      </c>
      <c r="FR13" s="45">
        <f>SUM(FF13:FQ13)</f>
        <v>3667.2161448899997</v>
      </c>
      <c r="FS13" s="42">
        <f>SUM(FS14:FS16)</f>
        <v>3667.2161460000002</v>
      </c>
      <c r="FT13" s="45">
        <v>371.69686037999998</v>
      </c>
      <c r="FU13" s="45">
        <v>304.65934806999991</v>
      </c>
      <c r="FV13" s="45">
        <v>251.64926240999998</v>
      </c>
      <c r="FW13" s="45">
        <v>344.90570703999998</v>
      </c>
      <c r="FX13" s="45">
        <v>331.36674631</v>
      </c>
      <c r="FY13" s="45">
        <v>350.90681060999998</v>
      </c>
      <c r="FZ13" s="45">
        <v>360.07472760000002</v>
      </c>
      <c r="GA13" s="45">
        <v>349.94483490000005</v>
      </c>
      <c r="GB13" s="45">
        <v>352.28255713000004</v>
      </c>
      <c r="GC13" s="45">
        <v>331.69945154999999</v>
      </c>
      <c r="GD13" s="45">
        <v>339.06651240999997</v>
      </c>
      <c r="GE13" s="45">
        <v>335.27297600000003</v>
      </c>
      <c r="GF13" s="45">
        <f t="shared" si="14"/>
        <v>4023.5257944100003</v>
      </c>
      <c r="GG13" s="42">
        <f>SUM(GG14:GG16)</f>
        <v>4023.5257940000006</v>
      </c>
      <c r="GH13" s="45">
        <v>397.66426382000003</v>
      </c>
      <c r="GI13" s="45">
        <v>351.71256837999999</v>
      </c>
      <c r="GJ13" s="45">
        <v>336.26916712000002</v>
      </c>
      <c r="GK13" s="45">
        <v>402.61002842000005</v>
      </c>
      <c r="GL13" s="45">
        <v>364.07836214000008</v>
      </c>
      <c r="GM13" s="45">
        <v>331.32086416999994</v>
      </c>
      <c r="GN13" s="45">
        <v>395.80357076999996</v>
      </c>
      <c r="GO13" s="45">
        <v>377.95256597999997</v>
      </c>
      <c r="GP13" s="45">
        <v>349.59962993999989</v>
      </c>
      <c r="GQ13" s="45">
        <v>375.76388414000013</v>
      </c>
      <c r="GR13" s="45">
        <v>357.74248520999998</v>
      </c>
      <c r="GS13" s="45">
        <v>357.67898258999998</v>
      </c>
      <c r="GT13" s="45">
        <f t="shared" si="20"/>
        <v>4398.1963726800004</v>
      </c>
      <c r="GU13" s="42">
        <f>SUM(GU14:GU16)</f>
        <v>4398.1963729999998</v>
      </c>
      <c r="GV13" s="45">
        <v>431.29412137999998</v>
      </c>
      <c r="GW13" s="45">
        <v>358.70734095999995</v>
      </c>
      <c r="GX13" s="45">
        <v>363.54947734999996</v>
      </c>
      <c r="GY13" s="45">
        <v>391.79337446</v>
      </c>
      <c r="GZ13" s="45">
        <v>403.77591629</v>
      </c>
      <c r="HA13" s="45">
        <v>398.83669537000003</v>
      </c>
      <c r="HB13" s="45">
        <v>435.32434369999999</v>
      </c>
      <c r="HC13" s="45">
        <v>418.61263448</v>
      </c>
      <c r="HD13" s="45">
        <v>388.32660408000004</v>
      </c>
      <c r="HE13" s="45">
        <v>428.76228827999995</v>
      </c>
      <c r="HF13" s="45">
        <v>401.406791</v>
      </c>
      <c r="HG13" s="45">
        <v>393.79499499999997</v>
      </c>
      <c r="HH13" s="45">
        <f t="shared" si="15"/>
        <v>4814.1845823500007</v>
      </c>
      <c r="HI13" s="45">
        <v>458.19183134000002</v>
      </c>
      <c r="HJ13" s="45">
        <v>386.90771044999997</v>
      </c>
      <c r="HK13" s="45">
        <v>387.80467747</v>
      </c>
      <c r="HL13" s="45">
        <v>431.21634331000001</v>
      </c>
      <c r="HM13" s="45"/>
      <c r="HN13" s="45"/>
      <c r="HO13" s="45"/>
      <c r="HP13" s="45"/>
      <c r="HQ13" s="45"/>
      <c r="HR13" s="45"/>
      <c r="HS13" s="45"/>
      <c r="HT13" s="45"/>
      <c r="HU13" s="283">
        <f t="shared" si="16"/>
        <v>1545.3443139999999</v>
      </c>
      <c r="HV13" s="283">
        <f t="shared" si="17"/>
        <v>1664.1205629999999</v>
      </c>
      <c r="HW13" s="280">
        <f t="shared" si="18"/>
        <v>118.77624900000001</v>
      </c>
      <c r="HX13" s="280">
        <f t="shared" si="19"/>
        <v>7.686070212570101</v>
      </c>
    </row>
    <row r="14" spans="1:232" s="12" customFormat="1" ht="20.5">
      <c r="A14" s="77" t="s">
        <v>42</v>
      </c>
      <c r="B14" s="12" t="s">
        <v>43</v>
      </c>
      <c r="C14" s="77" t="s">
        <v>44</v>
      </c>
      <c r="D14" s="42">
        <v>1799.9025403953308</v>
      </c>
      <c r="E14" s="42">
        <v>1994.434029971372</v>
      </c>
      <c r="F14" s="42">
        <v>1660.0354821543419</v>
      </c>
      <c r="G14" s="42">
        <v>1555.5149102737037</v>
      </c>
      <c r="H14" s="42">
        <v>119.20410953836347</v>
      </c>
      <c r="I14" s="42">
        <v>135.90171370680875</v>
      </c>
      <c r="J14" s="42">
        <v>138.87079327949186</v>
      </c>
      <c r="K14" s="42">
        <v>139.03380601134884</v>
      </c>
      <c r="L14" s="42">
        <v>143.82835755061154</v>
      </c>
      <c r="M14" s="42">
        <v>144.43206925401677</v>
      </c>
      <c r="N14" s="42">
        <v>163.00185257909743</v>
      </c>
      <c r="O14" s="42">
        <v>144.21692819050546</v>
      </c>
      <c r="P14" s="42">
        <v>147.54324249719693</v>
      </c>
      <c r="Q14" s="42">
        <v>146.4518784753644</v>
      </c>
      <c r="R14" s="42">
        <v>148.72454766905142</v>
      </c>
      <c r="S14" s="42">
        <v>178.35989835003787</v>
      </c>
      <c r="T14" s="42">
        <v>1749.5691971018946</v>
      </c>
      <c r="U14" s="42">
        <v>1749.5691971018946</v>
      </c>
      <c r="V14" s="42">
        <v>140.12271273356441</v>
      </c>
      <c r="W14" s="42">
        <v>146.77011963506183</v>
      </c>
      <c r="X14" s="42">
        <v>147.06572387180495</v>
      </c>
      <c r="Y14" s="42">
        <v>156.4826039692432</v>
      </c>
      <c r="Z14" s="42">
        <v>153.59468927325401</v>
      </c>
      <c r="AA14" s="42">
        <v>154.36978019476268</v>
      </c>
      <c r="AB14" s="42">
        <v>171.66341398170758</v>
      </c>
      <c r="AC14" s="42">
        <v>160.07909459820945</v>
      </c>
      <c r="AD14" s="42">
        <v>149.68581425262235</v>
      </c>
      <c r="AE14" s="42">
        <v>165.19288592552118</v>
      </c>
      <c r="AF14" s="42">
        <v>161.95085685340436</v>
      </c>
      <c r="AG14" s="42">
        <v>176.93434442604197</v>
      </c>
      <c r="AH14" s="42">
        <v>1883.9120397151976</v>
      </c>
      <c r="AI14" s="42">
        <v>1883.9120409104103</v>
      </c>
      <c r="AJ14" s="42">
        <v>161.33790502046091</v>
      </c>
      <c r="AK14" s="42">
        <v>155.07053887001211</v>
      </c>
      <c r="AL14" s="42">
        <v>152.64250203470669</v>
      </c>
      <c r="AM14" s="42">
        <v>171.52268199461105</v>
      </c>
      <c r="AN14" s="42">
        <v>158.59792346580181</v>
      </c>
      <c r="AO14" s="42">
        <v>155.51946488636946</v>
      </c>
      <c r="AP14" s="42">
        <v>177.61799022202493</v>
      </c>
      <c r="AQ14" s="42">
        <v>166.51254830649796</v>
      </c>
      <c r="AR14" s="42">
        <v>154.57398079692203</v>
      </c>
      <c r="AS14" s="42">
        <v>169.31643246196666</v>
      </c>
      <c r="AT14" s="42">
        <v>159.6534467646741</v>
      </c>
      <c r="AU14" s="42">
        <v>198.47405820114855</v>
      </c>
      <c r="AV14" s="42">
        <v>1980.8394730251964</v>
      </c>
      <c r="AW14" s="42">
        <v>1980.8394744480681</v>
      </c>
      <c r="AX14" s="42">
        <v>148.13804400000001</v>
      </c>
      <c r="AY14" s="42">
        <v>152.61350200000001</v>
      </c>
      <c r="AZ14" s="42">
        <v>154.34897100000001</v>
      </c>
      <c r="BA14" s="42">
        <v>172.467646</v>
      </c>
      <c r="BB14" s="42">
        <v>160.16077899999999</v>
      </c>
      <c r="BC14" s="42">
        <v>160.40488099999999</v>
      </c>
      <c r="BD14" s="42">
        <v>186.87765899999999</v>
      </c>
      <c r="BE14" s="42">
        <v>165.463706</v>
      </c>
      <c r="BF14" s="42">
        <v>153.75098231000001</v>
      </c>
      <c r="BG14" s="42">
        <v>175.01610313999998</v>
      </c>
      <c r="BH14" s="42">
        <v>155.80574494000004</v>
      </c>
      <c r="BI14" s="42">
        <v>191.07232320000003</v>
      </c>
      <c r="BJ14" s="45">
        <f t="shared" si="1"/>
        <v>1976.12034159</v>
      </c>
      <c r="BK14" s="44">
        <v>1976.1203419999999</v>
      </c>
      <c r="BL14" s="42">
        <v>157.3858257</v>
      </c>
      <c r="BM14" s="42">
        <v>159.32040165000001</v>
      </c>
      <c r="BN14" s="42">
        <v>166.50347086000005</v>
      </c>
      <c r="BO14" s="42">
        <v>177.72226172000003</v>
      </c>
      <c r="BP14" s="42">
        <v>160.66838643</v>
      </c>
      <c r="BQ14" s="42">
        <v>165.59198394000003</v>
      </c>
      <c r="BR14" s="42">
        <v>195.97377599999999</v>
      </c>
      <c r="BS14" s="42">
        <v>171.21675989000002</v>
      </c>
      <c r="BT14" s="42">
        <v>162.34785893</v>
      </c>
      <c r="BU14" s="42">
        <v>175.10483925999998</v>
      </c>
      <c r="BV14" s="42">
        <v>162.41979723999998</v>
      </c>
      <c r="BW14" s="42">
        <v>194.49005961</v>
      </c>
      <c r="BX14" s="45">
        <f t="shared" si="4"/>
        <v>2048.7454212300004</v>
      </c>
      <c r="BY14" s="45">
        <v>2048.7454212299999</v>
      </c>
      <c r="BZ14" s="45">
        <v>161.39029951000001</v>
      </c>
      <c r="CA14" s="45">
        <v>162.66842315999997</v>
      </c>
      <c r="CB14" s="45">
        <v>166.78362494999999</v>
      </c>
      <c r="CC14" s="45">
        <v>188.87658620000002</v>
      </c>
      <c r="CD14" s="45">
        <v>165.51293248000002</v>
      </c>
      <c r="CE14" s="45">
        <v>177.63488606999999</v>
      </c>
      <c r="CF14" s="45">
        <v>196.98521888999994</v>
      </c>
      <c r="CG14" s="45">
        <v>172.34779499000004</v>
      </c>
      <c r="CH14" s="45">
        <v>170.72851227999999</v>
      </c>
      <c r="CI14" s="45">
        <v>172.03352106</v>
      </c>
      <c r="CJ14" s="45">
        <v>166.82329861000005</v>
      </c>
      <c r="CK14" s="45">
        <v>203.13172518000005</v>
      </c>
      <c r="CL14" s="45">
        <f t="shared" si="5"/>
        <v>2104.9168233800001</v>
      </c>
      <c r="CM14" s="45">
        <v>2104.9168239999999</v>
      </c>
      <c r="CN14" s="45">
        <v>170.82025884000001</v>
      </c>
      <c r="CO14" s="45">
        <v>161.31337772000003</v>
      </c>
      <c r="CP14" s="45">
        <v>165.29099899000002</v>
      </c>
      <c r="CQ14" s="45">
        <v>195.05160624000001</v>
      </c>
      <c r="CR14" s="45">
        <v>186.17727800000003</v>
      </c>
      <c r="CS14" s="45">
        <v>191.28330054000003</v>
      </c>
      <c r="CT14" s="45">
        <v>213.28743256000001</v>
      </c>
      <c r="CU14" s="45">
        <v>186.7784092</v>
      </c>
      <c r="CV14" s="45">
        <v>180.98094883999997</v>
      </c>
      <c r="CW14" s="45">
        <v>199.86176251000003</v>
      </c>
      <c r="CX14" s="45">
        <v>185.86341786000003</v>
      </c>
      <c r="CY14" s="45">
        <v>220.26289441</v>
      </c>
      <c r="CZ14" s="45">
        <f t="shared" si="6"/>
        <v>2256.9716857100002</v>
      </c>
      <c r="DA14" s="45">
        <v>2256.9903840000002</v>
      </c>
      <c r="DB14" s="45">
        <v>181.75206439000002</v>
      </c>
      <c r="DC14" s="45">
        <v>181.43439970999998</v>
      </c>
      <c r="DD14" s="45">
        <v>181.07308328000002</v>
      </c>
      <c r="DE14" s="45">
        <v>220.95350297000002</v>
      </c>
      <c r="DF14" s="45">
        <v>206.70613542999999</v>
      </c>
      <c r="DG14" s="45">
        <v>216.78296347</v>
      </c>
      <c r="DH14" s="45">
        <v>244.20716179000001</v>
      </c>
      <c r="DI14" s="45">
        <v>214.27476944000003</v>
      </c>
      <c r="DJ14" s="45">
        <v>202.34247002999999</v>
      </c>
      <c r="DK14" s="45">
        <v>230.78368494</v>
      </c>
      <c r="DL14" s="45">
        <v>214.04518825</v>
      </c>
      <c r="DM14" s="45">
        <v>248.86721048000001</v>
      </c>
      <c r="DN14" s="45">
        <f t="shared" si="7"/>
        <v>2543.2226341800001</v>
      </c>
      <c r="DO14" s="45">
        <v>2543.223645</v>
      </c>
      <c r="DP14" s="45">
        <v>215.90091520000001</v>
      </c>
      <c r="DQ14" s="45">
        <v>207.99268469999998</v>
      </c>
      <c r="DR14" s="45">
        <v>206.10569971000001</v>
      </c>
      <c r="DS14" s="45">
        <v>240.29015004000001</v>
      </c>
      <c r="DT14" s="45">
        <v>229.41528928</v>
      </c>
      <c r="DU14" s="45">
        <v>228.51998144000001</v>
      </c>
      <c r="DV14" s="45">
        <v>263.03059425000004</v>
      </c>
      <c r="DW14" s="45">
        <v>234.99714339999997</v>
      </c>
      <c r="DX14" s="45">
        <v>222.74379739000003</v>
      </c>
      <c r="DY14" s="45">
        <v>249.04644328000003</v>
      </c>
      <c r="DZ14" s="45">
        <v>229.81192466000002</v>
      </c>
      <c r="EA14" s="45">
        <v>267.12102262000002</v>
      </c>
      <c r="EB14" s="45">
        <f t="shared" si="10"/>
        <v>2794.9756459700002</v>
      </c>
      <c r="EC14" s="45">
        <v>2794.998979</v>
      </c>
      <c r="ED14" s="45">
        <v>234.18338947999999</v>
      </c>
      <c r="EE14" s="45">
        <v>223.01926175000003</v>
      </c>
      <c r="EF14" s="45">
        <v>212.35812472999996</v>
      </c>
      <c r="EG14" s="45">
        <v>230.89572601999998</v>
      </c>
      <c r="EH14" s="45">
        <v>195.52266638</v>
      </c>
      <c r="EI14" s="45">
        <v>210.49713252999999</v>
      </c>
      <c r="EJ14" s="45">
        <v>255.08218351000002</v>
      </c>
      <c r="EK14" s="45">
        <v>234.62107521999999</v>
      </c>
      <c r="EL14" s="45">
        <v>236.47018047000003</v>
      </c>
      <c r="EM14" s="45">
        <v>261.40587202</v>
      </c>
      <c r="EN14" s="45">
        <v>234.81775099999999</v>
      </c>
      <c r="EO14" s="45">
        <v>286.9945891399999</v>
      </c>
      <c r="EP14" s="45">
        <f t="shared" si="11"/>
        <v>2815.8679522499997</v>
      </c>
      <c r="EQ14" s="45">
        <v>2815.867984</v>
      </c>
      <c r="ER14" s="45">
        <v>158.87168991000001</v>
      </c>
      <c r="ES14" s="45">
        <v>210.77927879000003</v>
      </c>
      <c r="ET14" s="45">
        <v>213.33384063000003</v>
      </c>
      <c r="EU14" s="45">
        <v>246.67545585999997</v>
      </c>
      <c r="EV14" s="45">
        <v>245.97653829000001</v>
      </c>
      <c r="EW14" s="45">
        <v>244.7219029</v>
      </c>
      <c r="EX14" s="45">
        <v>275.1437866</v>
      </c>
      <c r="EY14" s="45">
        <v>270.27232116999994</v>
      </c>
      <c r="EZ14" s="45">
        <v>264.81603004999999</v>
      </c>
      <c r="FA14" s="45">
        <v>254.86796816000003</v>
      </c>
      <c r="FB14" s="45">
        <v>230.42994480000002</v>
      </c>
      <c r="FC14" s="45">
        <v>401.09155630999999</v>
      </c>
      <c r="FD14" s="45">
        <f t="shared" si="12"/>
        <v>3016.9803134700005</v>
      </c>
      <c r="FE14" s="45">
        <v>3018.049387</v>
      </c>
      <c r="FF14" s="45">
        <v>322.54656153000002</v>
      </c>
      <c r="FG14" s="45">
        <v>263.28996043000001</v>
      </c>
      <c r="FH14" s="45">
        <v>266.74150069000001</v>
      </c>
      <c r="FI14" s="45">
        <v>285.52989006999996</v>
      </c>
      <c r="FJ14" s="45">
        <v>302.96466939999993</v>
      </c>
      <c r="FK14" s="45">
        <v>308.24909193000002</v>
      </c>
      <c r="FL14" s="45">
        <v>297.50962722000003</v>
      </c>
      <c r="FM14" s="45">
        <v>293.33246056999997</v>
      </c>
      <c r="FN14" s="45">
        <v>313.25509824999989</v>
      </c>
      <c r="FO14" s="45">
        <v>323.73311581999997</v>
      </c>
      <c r="FP14" s="45">
        <v>291.30904610999994</v>
      </c>
      <c r="FQ14" s="45">
        <v>272.15342505999996</v>
      </c>
      <c r="FR14" s="45">
        <f t="shared" si="13"/>
        <v>3540.6144470799995</v>
      </c>
      <c r="FS14" s="45">
        <v>3539.526147</v>
      </c>
      <c r="FT14" s="45">
        <v>359.11147636999999</v>
      </c>
      <c r="FU14" s="45">
        <v>294.02487064999991</v>
      </c>
      <c r="FV14" s="45">
        <v>242.33633606999999</v>
      </c>
      <c r="FW14" s="45">
        <v>333.00810433999999</v>
      </c>
      <c r="FX14" s="45">
        <v>319.93229666999997</v>
      </c>
      <c r="FY14" s="50">
        <v>338.91222511999996</v>
      </c>
      <c r="FZ14" s="45">
        <v>347.67339190000001</v>
      </c>
      <c r="GA14" s="45">
        <v>337.88136481000004</v>
      </c>
      <c r="GB14" s="45">
        <v>340.04097742000005</v>
      </c>
      <c r="GC14" s="45">
        <v>320.05217954</v>
      </c>
      <c r="GD14" s="45">
        <v>327.18957671999999</v>
      </c>
      <c r="GE14" s="45">
        <v>323.46527173999999</v>
      </c>
      <c r="GF14" s="45">
        <f t="shared" si="14"/>
        <v>3883.6280713499996</v>
      </c>
      <c r="GG14" s="45">
        <v>3883.6329080000005</v>
      </c>
      <c r="GH14" s="45">
        <v>384.09372717000002</v>
      </c>
      <c r="GI14" s="45">
        <v>339.47916680000003</v>
      </c>
      <c r="GJ14" s="45">
        <v>324.40245211000001</v>
      </c>
      <c r="GK14" s="45">
        <v>388.87874191000003</v>
      </c>
      <c r="GL14" s="45">
        <v>351.46688944000005</v>
      </c>
      <c r="GM14" s="45">
        <v>319.12748218999997</v>
      </c>
      <c r="GN14" s="45">
        <v>382.78612325999995</v>
      </c>
      <c r="GO14" s="45">
        <v>364.86658386999994</v>
      </c>
      <c r="GP14" s="45">
        <v>337.29199225999992</v>
      </c>
      <c r="GQ14" s="45">
        <v>362.68189237000007</v>
      </c>
      <c r="GR14" s="45">
        <v>345.10720061000001</v>
      </c>
      <c r="GS14" s="45">
        <v>345.11374739000001</v>
      </c>
      <c r="GT14" s="45">
        <f>SUM(GH14:GS14)</f>
        <v>4245.2959993800005</v>
      </c>
      <c r="GU14" s="45">
        <v>4245.2959999999994</v>
      </c>
      <c r="GV14" s="45">
        <v>416.56017078999992</v>
      </c>
      <c r="GW14" s="45">
        <v>346.07450972999999</v>
      </c>
      <c r="GX14" s="45">
        <v>350.71940896999996</v>
      </c>
      <c r="GY14" s="45">
        <v>378.23775142000005</v>
      </c>
      <c r="GZ14" s="45">
        <v>390.27365369</v>
      </c>
      <c r="HA14" s="45">
        <v>385.50452447999999</v>
      </c>
      <c r="HB14" s="45">
        <v>420.80670679000002</v>
      </c>
      <c r="HC14" s="45">
        <v>404.57183178000002</v>
      </c>
      <c r="HD14" s="45">
        <v>375.14962677000005</v>
      </c>
      <c r="HE14" s="45">
        <v>414.38853737999995</v>
      </c>
      <c r="HF14" s="45">
        <v>387.73962185000005</v>
      </c>
      <c r="HG14" s="45">
        <v>380.41673562</v>
      </c>
      <c r="HH14" s="45">
        <f t="shared" si="15"/>
        <v>4650.4430792699995</v>
      </c>
      <c r="HI14" s="45">
        <v>442.91269677999998</v>
      </c>
      <c r="HJ14" s="45">
        <v>373.70111164999997</v>
      </c>
      <c r="HK14" s="45">
        <v>374.58530187999997</v>
      </c>
      <c r="HL14" s="45">
        <v>416.73530587000005</v>
      </c>
      <c r="HM14" s="45"/>
      <c r="HN14" s="45"/>
      <c r="HO14" s="45"/>
      <c r="HP14" s="45"/>
      <c r="HQ14" s="45"/>
      <c r="HR14" s="45"/>
      <c r="HS14" s="45"/>
      <c r="HT14" s="45"/>
      <c r="HU14" s="283">
        <f t="shared" si="16"/>
        <v>1491.5918409999999</v>
      </c>
      <c r="HV14" s="283">
        <f t="shared" si="17"/>
        <v>1607.9344160000001</v>
      </c>
      <c r="HW14" s="280">
        <f t="shared" si="18"/>
        <v>116.34257500000012</v>
      </c>
      <c r="HX14" s="280">
        <f t="shared" si="19"/>
        <v>7.7998934964675897</v>
      </c>
    </row>
    <row r="15" spans="1:232" s="12" customFormat="1" ht="21" hidden="1" customHeight="1">
      <c r="A15" s="77" t="s">
        <v>45</v>
      </c>
      <c r="C15" s="77" t="s">
        <v>45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5"/>
      <c r="BK15" s="44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5">
        <f t="shared" si="4"/>
        <v>0</v>
      </c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>
        <v>13.9503979</v>
      </c>
      <c r="CJ15" s="45">
        <v>5.2479745300000005</v>
      </c>
      <c r="CK15" s="45">
        <v>6.6398722900000005</v>
      </c>
      <c r="CL15" s="45">
        <f t="shared" si="5"/>
        <v>25.838244719999999</v>
      </c>
      <c r="CM15" s="45">
        <v>25.838245000000001</v>
      </c>
      <c r="CN15" s="45">
        <v>7.1993851600000003</v>
      </c>
      <c r="CO15" s="45">
        <v>9.2397509800000002</v>
      </c>
      <c r="CP15" s="45">
        <v>12.5055639</v>
      </c>
      <c r="CQ15" s="45">
        <v>0.65565759999999995</v>
      </c>
      <c r="CR15" s="45">
        <v>1.21670444</v>
      </c>
      <c r="CS15" s="45">
        <v>2.5918389500000001</v>
      </c>
      <c r="CT15" s="45">
        <v>2.9790959199999998</v>
      </c>
      <c r="CU15" s="45">
        <v>3.3064644599999999</v>
      </c>
      <c r="CV15" s="45">
        <v>4.0413289300000006</v>
      </c>
      <c r="CW15" s="45">
        <v>4.9899168099999995</v>
      </c>
      <c r="CX15" s="45">
        <v>5.6171400199999999</v>
      </c>
      <c r="CY15" s="45">
        <v>7.4109157300000001</v>
      </c>
      <c r="CZ15" s="45">
        <f t="shared" si="6"/>
        <v>61.753762899999998</v>
      </c>
      <c r="DA15" s="45">
        <v>61.753762999999999</v>
      </c>
      <c r="DB15" s="45">
        <v>8.1532695400000001</v>
      </c>
      <c r="DC15" s="45">
        <v>9.7632138299999998</v>
      </c>
      <c r="DD15" s="45">
        <v>14.19747181</v>
      </c>
      <c r="DE15" s="45">
        <v>0.54539070000000001</v>
      </c>
      <c r="DF15" s="45">
        <v>0.1545919</v>
      </c>
      <c r="DG15" s="45">
        <v>0.28843328000000001</v>
      </c>
      <c r="DH15" s="45">
        <v>6.6637799999999997E-2</v>
      </c>
      <c r="DI15" s="45">
        <v>0.1704059</v>
      </c>
      <c r="DJ15" s="45">
        <v>0.2214071</v>
      </c>
      <c r="DK15" s="45">
        <v>0.22846305</v>
      </c>
      <c r="DL15" s="45">
        <v>1.2163999999999999E-2</v>
      </c>
      <c r="DM15" s="45">
        <v>5.645501E-2</v>
      </c>
      <c r="DN15" s="45">
        <f t="shared" si="7"/>
        <v>33.857903920000005</v>
      </c>
      <c r="DO15" s="45">
        <v>33.857903999999998</v>
      </c>
      <c r="DP15" s="45">
        <v>1.1572829999999999E-2</v>
      </c>
      <c r="DQ15" s="45">
        <v>0</v>
      </c>
      <c r="DR15" s="45">
        <v>0.29495870000000002</v>
      </c>
      <c r="DS15" s="45">
        <v>0.20746792999999999</v>
      </c>
      <c r="DT15" s="45">
        <v>1.120516E-2</v>
      </c>
      <c r="DU15" s="45">
        <v>8.4990380000000004E-2</v>
      </c>
      <c r="DV15" s="45">
        <v>1.5232000000000001E-4</v>
      </c>
      <c r="DW15" s="45">
        <v>9.8381399999999987E-3</v>
      </c>
      <c r="DX15" s="45">
        <v>1.8068499999999998E-3</v>
      </c>
      <c r="DY15" s="45">
        <v>2.1616999999999999E-3</v>
      </c>
      <c r="DZ15" s="45">
        <v>1.6492899999999999E-3</v>
      </c>
      <c r="EA15" s="45">
        <v>2.3334870000000001E-2</v>
      </c>
      <c r="EB15" s="45">
        <f t="shared" si="10"/>
        <v>0.64913817000000018</v>
      </c>
      <c r="EC15" s="45">
        <v>0.64913799999999999</v>
      </c>
      <c r="ED15" s="45">
        <v>0</v>
      </c>
      <c r="EE15" s="45">
        <v>8.7860000000000002E-5</v>
      </c>
      <c r="EF15" s="45">
        <v>0</v>
      </c>
      <c r="EG15" s="45">
        <v>0</v>
      </c>
      <c r="EH15" s="45">
        <v>0</v>
      </c>
      <c r="EI15" s="45">
        <v>0</v>
      </c>
      <c r="EL15" s="42">
        <v>0</v>
      </c>
      <c r="EM15" s="42">
        <v>0</v>
      </c>
      <c r="EN15" s="42">
        <v>2.9960000000000001E-5</v>
      </c>
      <c r="EO15" s="42">
        <v>0</v>
      </c>
      <c r="EP15" s="45">
        <f t="shared" si="11"/>
        <v>1.1782000000000001E-4</v>
      </c>
      <c r="EQ15" s="45">
        <v>1.18E-4</v>
      </c>
      <c r="ER15" s="42">
        <v>0</v>
      </c>
      <c r="ES15" s="42">
        <v>0</v>
      </c>
      <c r="ET15" s="42">
        <v>0</v>
      </c>
      <c r="EU15" s="42">
        <v>0</v>
      </c>
      <c r="EV15" s="42">
        <v>0</v>
      </c>
      <c r="EW15" s="42">
        <v>0</v>
      </c>
      <c r="EX15" s="42">
        <v>0</v>
      </c>
      <c r="EY15" s="42">
        <v>0</v>
      </c>
      <c r="EZ15" s="42">
        <v>0</v>
      </c>
      <c r="FA15" s="42">
        <v>0</v>
      </c>
      <c r="FB15" s="42">
        <v>0</v>
      </c>
      <c r="FC15" s="42"/>
      <c r="FD15" s="45">
        <f t="shared" si="12"/>
        <v>0</v>
      </c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>
        <f t="shared" si="13"/>
        <v>0</v>
      </c>
      <c r="FS15" s="45"/>
      <c r="FT15" s="45"/>
      <c r="FU15" s="45"/>
      <c r="FV15" s="45"/>
      <c r="FW15" s="45"/>
      <c r="FX15" s="45"/>
      <c r="FY15" s="50"/>
      <c r="FZ15" s="45"/>
      <c r="GA15" s="45"/>
      <c r="GB15" s="45"/>
      <c r="GC15" s="45"/>
      <c r="GD15" s="45"/>
      <c r="GE15" s="45"/>
      <c r="GF15" s="45">
        <f t="shared" si="14"/>
        <v>0</v>
      </c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>
        <f t="shared" si="20"/>
        <v>0</v>
      </c>
      <c r="GU15" s="45"/>
      <c r="GV15" s="45"/>
      <c r="GW15" s="45"/>
      <c r="GX15" s="45"/>
      <c r="GY15" s="45"/>
      <c r="GZ15" s="45"/>
      <c r="HA15" s="45">
        <v>385.50452447999999</v>
      </c>
      <c r="HB15" s="45">
        <v>420.80670679000002</v>
      </c>
      <c r="HC15" s="45"/>
      <c r="HD15" s="45">
        <v>375.14962677000005</v>
      </c>
      <c r="HE15" s="45"/>
      <c r="HF15" s="45"/>
      <c r="HG15" s="45"/>
      <c r="HH15" s="45">
        <f t="shared" si="15"/>
        <v>1181.4608580399999</v>
      </c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283">
        <f t="shared" si="16"/>
        <v>0</v>
      </c>
      <c r="HV15" s="283">
        <f t="shared" si="17"/>
        <v>0</v>
      </c>
      <c r="HW15" s="280"/>
      <c r="HX15" s="280"/>
    </row>
    <row r="16" spans="1:232" s="12" customFormat="1" ht="20.5">
      <c r="A16" s="77" t="s">
        <v>47</v>
      </c>
      <c r="C16" s="77" t="s">
        <v>48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5"/>
      <c r="BK16" s="44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>
        <f t="shared" si="6"/>
        <v>0</v>
      </c>
      <c r="DA16" s="45"/>
      <c r="DB16" s="45">
        <v>6.3270801900000002</v>
      </c>
      <c r="DC16" s="45">
        <v>6.3779890799999999</v>
      </c>
      <c r="DD16" s="45">
        <v>6.49618348</v>
      </c>
      <c r="DE16" s="45">
        <v>7.2769961799999994</v>
      </c>
      <c r="DF16" s="45">
        <v>6.8531438600000003</v>
      </c>
      <c r="DG16" s="45">
        <v>7.1367536600000001</v>
      </c>
      <c r="DH16" s="45">
        <v>7.9535315999999998</v>
      </c>
      <c r="DI16" s="45">
        <v>7.1503926099999999</v>
      </c>
      <c r="DJ16" s="45">
        <v>6.8681282399999999</v>
      </c>
      <c r="DK16" s="45">
        <v>7.6789995300000005</v>
      </c>
      <c r="DL16" s="45">
        <v>7.2447870599999993</v>
      </c>
      <c r="DM16" s="45">
        <v>8.1951283700000008</v>
      </c>
      <c r="DN16" s="45">
        <f t="shared" si="7"/>
        <v>85.559113859999997</v>
      </c>
      <c r="DO16" s="45">
        <v>85.559113999999994</v>
      </c>
      <c r="DP16" s="45">
        <v>7.86151424</v>
      </c>
      <c r="DQ16" s="45">
        <v>7.6635611399999997</v>
      </c>
      <c r="DR16" s="45">
        <v>7.66454433</v>
      </c>
      <c r="DS16" s="45">
        <v>8.5819371899999997</v>
      </c>
      <c r="DT16" s="45">
        <v>8.0710181199999997</v>
      </c>
      <c r="DU16" s="45">
        <v>8.08691593</v>
      </c>
      <c r="DV16" s="45">
        <v>9.1913157899999991</v>
      </c>
      <c r="DW16" s="45">
        <v>8.3760629699999996</v>
      </c>
      <c r="DX16" s="45">
        <v>8.0312316599999996</v>
      </c>
      <c r="DY16" s="45">
        <v>8.8182299799999999</v>
      </c>
      <c r="DZ16" s="45">
        <v>8.3107472599999994</v>
      </c>
      <c r="EA16" s="45">
        <v>9.3744039099999998</v>
      </c>
      <c r="EB16" s="45">
        <f t="shared" si="10"/>
        <v>100.03148252</v>
      </c>
      <c r="EC16" s="45">
        <v>100.03148299999999</v>
      </c>
      <c r="ED16" s="45">
        <v>8.1681185999999997</v>
      </c>
      <c r="EE16" s="45">
        <v>7.9000656500000002</v>
      </c>
      <c r="EF16" s="45">
        <v>7.61288213</v>
      </c>
      <c r="EG16" s="45">
        <v>8.07752011</v>
      </c>
      <c r="EH16" s="45">
        <v>6.9404478099999993</v>
      </c>
      <c r="EI16" s="45">
        <v>7.3430678799999995</v>
      </c>
      <c r="EJ16" s="45">
        <v>8.6378478000000012</v>
      </c>
      <c r="EK16" s="45">
        <v>7.9899004400000004</v>
      </c>
      <c r="EL16" s="45">
        <v>8.0720873900000001</v>
      </c>
      <c r="EM16" s="45">
        <v>8.2522227000000008</v>
      </c>
      <c r="EN16" s="45">
        <v>8.1215640400000009</v>
      </c>
      <c r="EO16" s="45">
        <v>10.218182929999999</v>
      </c>
      <c r="EP16" s="45">
        <f t="shared" si="11"/>
        <v>97.333907479999993</v>
      </c>
      <c r="EQ16" s="45">
        <v>97.333906999999996</v>
      </c>
      <c r="ER16" s="45">
        <v>5.9283273300000001</v>
      </c>
      <c r="ES16" s="45">
        <v>7.3117355599999998</v>
      </c>
      <c r="ET16" s="45">
        <v>7.6161823699999998</v>
      </c>
      <c r="EU16" s="45">
        <v>8.5817932700000004</v>
      </c>
      <c r="EV16" s="45">
        <v>8.34957189</v>
      </c>
      <c r="EW16" s="45">
        <v>8.3611533300000005</v>
      </c>
      <c r="EX16" s="45">
        <v>9.365476619999999</v>
      </c>
      <c r="EY16" s="45">
        <v>9.2125876899999994</v>
      </c>
      <c r="EZ16" s="45">
        <v>9.0839671400000004</v>
      </c>
      <c r="FA16" s="45">
        <v>8.8962672300000012</v>
      </c>
      <c r="FB16" s="45">
        <v>8.23703276</v>
      </c>
      <c r="FC16" s="45">
        <v>13.140961359999999</v>
      </c>
      <c r="FD16" s="45">
        <f t="shared" si="12"/>
        <v>104.08505655000002</v>
      </c>
      <c r="FE16" s="45">
        <v>103.016147</v>
      </c>
      <c r="FF16" s="45">
        <v>10.930366320000001</v>
      </c>
      <c r="FG16" s="45">
        <v>9.1874477700000003</v>
      </c>
      <c r="FH16" s="45">
        <v>10.35251199</v>
      </c>
      <c r="FI16" s="45">
        <v>10.040954839999999</v>
      </c>
      <c r="FJ16" s="45">
        <v>10.881217210000001</v>
      </c>
      <c r="FK16" s="45">
        <v>10.732240130000001</v>
      </c>
      <c r="FL16" s="45">
        <v>10.730757140000001</v>
      </c>
      <c r="FM16" s="45">
        <v>10.5113489</v>
      </c>
      <c r="FN16" s="45">
        <v>11.1312476</v>
      </c>
      <c r="FO16" s="45">
        <v>11.473217400000001</v>
      </c>
      <c r="FP16" s="45">
        <v>10.62102065</v>
      </c>
      <c r="FQ16" s="45">
        <v>10.009367859999999</v>
      </c>
      <c r="FR16" s="45">
        <f t="shared" si="13"/>
        <v>126.60169781</v>
      </c>
      <c r="FS16" s="45">
        <v>127.689999</v>
      </c>
      <c r="FT16" s="45">
        <v>12.58538401</v>
      </c>
      <c r="FU16" s="45">
        <v>10.63447742</v>
      </c>
      <c r="FV16" s="45">
        <v>9.31292633999999</v>
      </c>
      <c r="FW16" s="45">
        <v>11.897602699999998</v>
      </c>
      <c r="FX16" s="45">
        <v>11.43444964</v>
      </c>
      <c r="FY16" s="50">
        <v>11.99458549</v>
      </c>
      <c r="FZ16" s="45">
        <v>12.401335699999999</v>
      </c>
      <c r="GA16" s="45">
        <v>12.063470089999999</v>
      </c>
      <c r="GB16" s="45">
        <v>12.241579710000002</v>
      </c>
      <c r="GC16" s="45">
        <v>11.64727201</v>
      </c>
      <c r="GD16" s="45">
        <v>11.87693569</v>
      </c>
      <c r="GE16" s="45">
        <v>11.80770519</v>
      </c>
      <c r="GF16" s="45">
        <f t="shared" si="14"/>
        <v>139.89772399</v>
      </c>
      <c r="GG16" s="45">
        <v>139.892886</v>
      </c>
      <c r="GH16" s="45">
        <v>13.570536650000001</v>
      </c>
      <c r="GI16" s="45">
        <v>12.233401580000001</v>
      </c>
      <c r="GJ16" s="45">
        <v>11.86671501</v>
      </c>
      <c r="GK16" s="45">
        <v>13.73128651</v>
      </c>
      <c r="GL16" s="45">
        <v>12.611472699999998</v>
      </c>
      <c r="GM16" s="45">
        <v>12.19338198</v>
      </c>
      <c r="GN16" s="45">
        <v>13.01744751</v>
      </c>
      <c r="GO16" s="45">
        <v>13.08598211</v>
      </c>
      <c r="GP16" s="45">
        <v>12.307637679999999</v>
      </c>
      <c r="GQ16" s="45">
        <v>13.08199177</v>
      </c>
      <c r="GR16" s="45">
        <v>12.6352846</v>
      </c>
      <c r="GS16" s="45">
        <v>12.5652352</v>
      </c>
      <c r="GT16" s="45">
        <f t="shared" si="20"/>
        <v>152.90037329999998</v>
      </c>
      <c r="GU16" s="45">
        <v>152.900373</v>
      </c>
      <c r="GV16" s="45">
        <v>14.733950589999999</v>
      </c>
      <c r="GW16" s="45">
        <v>12.632831230000001</v>
      </c>
      <c r="GX16" s="45">
        <v>12.83006838</v>
      </c>
      <c r="GY16" s="45">
        <v>13.555623039999999</v>
      </c>
      <c r="GZ16" s="45">
        <v>13.5022626</v>
      </c>
      <c r="HA16" s="45">
        <v>13.33217089</v>
      </c>
      <c r="HB16" s="45">
        <v>14.51763691</v>
      </c>
      <c r="HC16" s="45">
        <v>14.040802699999999</v>
      </c>
      <c r="HD16" s="45">
        <v>13.17697731</v>
      </c>
      <c r="HE16" s="45">
        <v>14.373750900000001</v>
      </c>
      <c r="HF16" s="45">
        <v>13.667144</v>
      </c>
      <c r="HG16" s="45">
        <v>13.378105439999999</v>
      </c>
      <c r="HH16" s="45">
        <f t="shared" si="15"/>
        <v>163.74132399000001</v>
      </c>
      <c r="HI16" s="45">
        <v>15.279134560000001</v>
      </c>
      <c r="HJ16" s="45">
        <v>13.2065988</v>
      </c>
      <c r="HK16" s="45">
        <v>13.21937559</v>
      </c>
      <c r="HL16" s="45">
        <v>14.48103744</v>
      </c>
      <c r="HM16" s="45"/>
      <c r="HN16" s="45"/>
      <c r="HO16" s="45"/>
      <c r="HP16" s="45"/>
      <c r="HQ16" s="45"/>
      <c r="HR16" s="45"/>
      <c r="HS16" s="45"/>
      <c r="HT16" s="45"/>
      <c r="HU16" s="283">
        <f t="shared" si="16"/>
        <v>53.752473000000002</v>
      </c>
      <c r="HV16" s="283">
        <f t="shared" si="17"/>
        <v>56.186146000000001</v>
      </c>
      <c r="HW16" s="280">
        <f t="shared" ref="HW16:HW38" si="21">HV16-HU16</f>
        <v>2.4336729999999989</v>
      </c>
      <c r="HX16" s="280">
        <f t="shared" ref="HX16:HX22" si="22">HV16/HU16*100-100</f>
        <v>4.5275554112645295</v>
      </c>
    </row>
    <row r="17" spans="1:232" s="12" customFormat="1" ht="20.5">
      <c r="A17" s="46" t="s">
        <v>52</v>
      </c>
      <c r="C17" s="46" t="s">
        <v>53</v>
      </c>
      <c r="D17" s="42">
        <v>2456.0125582666005</v>
      </c>
      <c r="E17" s="42">
        <v>2451.1099054643969</v>
      </c>
      <c r="F17" s="42">
        <v>1908.416275376919</v>
      </c>
      <c r="G17" s="42">
        <v>1880.7311312969191</v>
      </c>
      <c r="H17" s="42">
        <v>209.51530725493879</v>
      </c>
      <c r="I17" s="42">
        <v>114.14771828276447</v>
      </c>
      <c r="J17" s="42">
        <v>141.15212491676201</v>
      </c>
      <c r="K17" s="42">
        <v>183.6046892163391</v>
      </c>
      <c r="L17" s="42">
        <v>164.92920643593376</v>
      </c>
      <c r="M17" s="42">
        <v>192.89789045025358</v>
      </c>
      <c r="N17" s="42">
        <v>202.53648385609642</v>
      </c>
      <c r="O17" s="42">
        <v>200.64735829619636</v>
      </c>
      <c r="P17" s="42">
        <v>211.71641595665363</v>
      </c>
      <c r="Q17" s="42">
        <v>212.32829352138006</v>
      </c>
      <c r="R17" s="42">
        <v>194.92011997655106</v>
      </c>
      <c r="S17" s="42">
        <v>165.04612808122891</v>
      </c>
      <c r="T17" s="42">
        <v>2193.4417362450981</v>
      </c>
      <c r="U17" s="42">
        <v>2193.4417362450981</v>
      </c>
      <c r="V17" s="42">
        <v>239.83825220118274</v>
      </c>
      <c r="W17" s="42">
        <v>155.63838851230216</v>
      </c>
      <c r="X17" s="42">
        <v>180.66310379565283</v>
      </c>
      <c r="Y17" s="42">
        <v>205.4029131877451</v>
      </c>
      <c r="Z17" s="42">
        <v>189.09472484504929</v>
      </c>
      <c r="AA17" s="42">
        <v>205.88736546747032</v>
      </c>
      <c r="AB17" s="42">
        <v>219.83348131200165</v>
      </c>
      <c r="AC17" s="42">
        <v>212.59046761259188</v>
      </c>
      <c r="AD17" s="42">
        <v>218.69054957000816</v>
      </c>
      <c r="AE17" s="42">
        <v>209.91688863466914</v>
      </c>
      <c r="AF17" s="42">
        <v>202.97911793330712</v>
      </c>
      <c r="AG17" s="42">
        <v>208.66468887484987</v>
      </c>
      <c r="AH17" s="42">
        <v>2449.1999419468302</v>
      </c>
      <c r="AI17" s="42">
        <v>2449.1999419468302</v>
      </c>
      <c r="AJ17" s="42">
        <v>238.38669814059111</v>
      </c>
      <c r="AK17" s="42">
        <v>163.16960489695563</v>
      </c>
      <c r="AL17" s="42">
        <v>184.6345396440544</v>
      </c>
      <c r="AM17" s="42">
        <v>224.70207198593064</v>
      </c>
      <c r="AN17" s="42">
        <v>195.04507657896087</v>
      </c>
      <c r="AO17" s="42">
        <v>225.28939789756464</v>
      </c>
      <c r="AP17" s="42">
        <v>232.94027068713325</v>
      </c>
      <c r="AQ17" s="42">
        <v>235.85988127557613</v>
      </c>
      <c r="AR17" s="42">
        <v>227.1550119236658</v>
      </c>
      <c r="AS17" s="42">
        <v>213.32837177932967</v>
      </c>
      <c r="AT17" s="42">
        <v>214.6261546604743</v>
      </c>
      <c r="AU17" s="42">
        <v>205.69504869067336</v>
      </c>
      <c r="AV17" s="42">
        <v>2560.8321281609096</v>
      </c>
      <c r="AW17" s="42">
        <v>2560.8321281609101</v>
      </c>
      <c r="AX17" s="42">
        <f>AX18+AX19+AX20</f>
        <v>278.75584799999996</v>
      </c>
      <c r="AY17" s="42">
        <f>AY18+AY19+AY20</f>
        <v>172.46320900000001</v>
      </c>
      <c r="AZ17" s="42">
        <f t="shared" ref="AZ17:BG17" si="23">AZ18+AZ19+AZ20</f>
        <v>187.823497</v>
      </c>
      <c r="BA17" s="42">
        <f t="shared" si="23"/>
        <v>232.29418600000002</v>
      </c>
      <c r="BB17" s="42">
        <f t="shared" si="23"/>
        <v>208.42837600000001</v>
      </c>
      <c r="BC17" s="42">
        <f t="shared" si="23"/>
        <v>253.24810899999997</v>
      </c>
      <c r="BD17" s="42">
        <f t="shared" si="23"/>
        <v>239.92042799999999</v>
      </c>
      <c r="BE17" s="42">
        <f t="shared" si="23"/>
        <v>253.01650400000003</v>
      </c>
      <c r="BF17" s="42">
        <f t="shared" si="23"/>
        <v>251.73991851999997</v>
      </c>
      <c r="BG17" s="42">
        <f t="shared" si="23"/>
        <v>216.43088697000002</v>
      </c>
      <c r="BH17" s="42">
        <f>BH18+BH19+BH20</f>
        <v>239.10376905000001</v>
      </c>
      <c r="BI17" s="42">
        <f>BI18+BI19+BI20</f>
        <v>218.57831420000002</v>
      </c>
      <c r="BJ17" s="45">
        <f t="shared" si="1"/>
        <v>2751.80304574</v>
      </c>
      <c r="BK17" s="42">
        <f>BK18+BK19+BK20</f>
        <v>2751.8030460000004</v>
      </c>
      <c r="BL17" s="42">
        <f>BL18+BL19+BL20</f>
        <v>290.00999378999995</v>
      </c>
      <c r="BM17" s="42">
        <v>179.82253193</v>
      </c>
      <c r="BN17" s="42">
        <v>202.13652640999999</v>
      </c>
      <c r="BO17" s="42">
        <v>249.84598847000001</v>
      </c>
      <c r="BP17" s="42">
        <v>226.65068798999999</v>
      </c>
      <c r="BQ17" s="42">
        <v>250.23037192999999</v>
      </c>
      <c r="BR17" s="42">
        <v>249.53865149000001</v>
      </c>
      <c r="BS17" s="42">
        <v>260.54540386000002</v>
      </c>
      <c r="BT17" s="42">
        <v>252.15341241999994</v>
      </c>
      <c r="BU17" s="42">
        <v>265.98313226000005</v>
      </c>
      <c r="BV17" s="42">
        <v>260.52177580000006</v>
      </c>
      <c r="BW17" s="42">
        <v>231.75284026</v>
      </c>
      <c r="BX17" s="45">
        <f t="shared" si="4"/>
        <v>2919.1913166100003</v>
      </c>
      <c r="BY17" s="45">
        <f>BY18+BY19+BY20</f>
        <v>2919.1913158600005</v>
      </c>
      <c r="BZ17" s="45">
        <v>275.72890758000005</v>
      </c>
      <c r="CA17" s="45">
        <v>205.09058107000001</v>
      </c>
      <c r="CB17" s="45">
        <v>221.73066345000001</v>
      </c>
      <c r="CC17" s="45">
        <v>252.24583373999997</v>
      </c>
      <c r="CD17" s="45">
        <v>253.03919775000003</v>
      </c>
      <c r="CE17" s="45">
        <v>268.59610819</v>
      </c>
      <c r="CF17" s="45">
        <v>273.06469104999996</v>
      </c>
      <c r="CG17" s="45">
        <v>262.55225376999999</v>
      </c>
      <c r="CH17" s="45">
        <v>278.09432813000001</v>
      </c>
      <c r="CI17" s="45">
        <v>283.89389230999996</v>
      </c>
      <c r="CJ17" s="45">
        <v>264.00428575000001</v>
      </c>
      <c r="CK17" s="45">
        <v>266.58967434000004</v>
      </c>
      <c r="CL17" s="45">
        <f t="shared" si="5"/>
        <v>3104.6304171299998</v>
      </c>
      <c r="CM17" s="45">
        <f>CM18+CM19+CM20</f>
        <v>3104.6304179999997</v>
      </c>
      <c r="CN17" s="45">
        <v>308.03002240999996</v>
      </c>
      <c r="CO17" s="45">
        <v>199.06006593000001</v>
      </c>
      <c r="CP17" s="45">
        <v>230.57905002999999</v>
      </c>
      <c r="CQ17" s="45">
        <v>279.94695899999999</v>
      </c>
      <c r="CR17" s="45">
        <v>262.30422239999996</v>
      </c>
      <c r="CS17" s="45">
        <v>286.55221449000004</v>
      </c>
      <c r="CT17" s="45">
        <v>283.73599478</v>
      </c>
      <c r="CU17" s="45">
        <v>296.53855365999999</v>
      </c>
      <c r="CV17" s="45">
        <v>304.39618365000001</v>
      </c>
      <c r="CW17" s="45">
        <v>300.42529521</v>
      </c>
      <c r="CX17" s="45">
        <v>280.12740074000004</v>
      </c>
      <c r="CY17" s="45">
        <v>301.60478202000002</v>
      </c>
      <c r="CZ17" s="45">
        <f t="shared" si="6"/>
        <v>3333.3007443200004</v>
      </c>
      <c r="DA17" s="45">
        <f>DA18+DA19+DA20</f>
        <v>3333.2820460000003</v>
      </c>
      <c r="DB17" s="45">
        <v>313.54847843999983</v>
      </c>
      <c r="DC17" s="45">
        <v>238.27850840999992</v>
      </c>
      <c r="DD17" s="45">
        <v>254.75982581000011</v>
      </c>
      <c r="DE17" s="45">
        <v>306.87713909000001</v>
      </c>
      <c r="DF17" s="45">
        <v>287.72619432000005</v>
      </c>
      <c r="DG17" s="45">
        <v>319.93557836000014</v>
      </c>
      <c r="DH17" s="45">
        <v>338.25255080999995</v>
      </c>
      <c r="DI17" s="45">
        <v>338.21676145000004</v>
      </c>
      <c r="DJ17" s="45">
        <v>344.50808108000001</v>
      </c>
      <c r="DK17" s="45">
        <v>315.72944667999991</v>
      </c>
      <c r="DL17" s="45">
        <v>321.43064076000002</v>
      </c>
      <c r="DM17" s="45">
        <v>339.48083243000008</v>
      </c>
      <c r="DN17" s="45">
        <f t="shared" si="7"/>
        <v>3718.7440376400004</v>
      </c>
      <c r="DO17" s="45">
        <f>DO18+DO19+DO20</f>
        <v>3718.7440379999998</v>
      </c>
      <c r="DP17" s="45">
        <v>330.50913784999995</v>
      </c>
      <c r="DQ17" s="45">
        <v>282.33658352999987</v>
      </c>
      <c r="DR17" s="45">
        <v>281.93751958999997</v>
      </c>
      <c r="DS17" s="45">
        <v>332.56147730999993</v>
      </c>
      <c r="DT17" s="45">
        <v>308.92621958000007</v>
      </c>
      <c r="DU17" s="45">
        <v>340.09424819000014</v>
      </c>
      <c r="DV17" s="45">
        <v>333.60135622999996</v>
      </c>
      <c r="DW17" s="45">
        <v>336.85531549000001</v>
      </c>
      <c r="DX17" s="45">
        <v>363.22431135000016</v>
      </c>
      <c r="DY17" s="45">
        <v>347.49738600000006</v>
      </c>
      <c r="DZ17" s="45">
        <v>323.06794273999998</v>
      </c>
      <c r="EA17" s="45">
        <v>357.77193879000004</v>
      </c>
      <c r="EB17" s="45">
        <f t="shared" si="10"/>
        <v>3938.3834366500005</v>
      </c>
      <c r="EC17" s="45">
        <f>EC18+EC19+EC20</f>
        <v>3938.3834359999996</v>
      </c>
      <c r="ED17" s="45">
        <v>338.19643449999995</v>
      </c>
      <c r="EE17" s="45">
        <v>294.56403717999996</v>
      </c>
      <c r="EF17" s="45">
        <v>254.58353543000001</v>
      </c>
      <c r="EG17" s="45">
        <v>284.60980422999995</v>
      </c>
      <c r="EH17" s="45">
        <v>254.35426491999999</v>
      </c>
      <c r="EI17" s="45">
        <v>306.98885779000022</v>
      </c>
      <c r="EJ17" s="45">
        <v>341.49791217999996</v>
      </c>
      <c r="EK17" s="45">
        <v>358.12447257999997</v>
      </c>
      <c r="EL17" s="45">
        <v>358.44936065000002</v>
      </c>
      <c r="EM17" s="45">
        <v>358.43981075999989</v>
      </c>
      <c r="EN17" s="45">
        <v>350.22534357000001</v>
      </c>
      <c r="EO17" s="45">
        <v>334.15310033999998</v>
      </c>
      <c r="EP17" s="45">
        <f t="shared" si="11"/>
        <v>3834.1869341299998</v>
      </c>
      <c r="EQ17" s="45">
        <f>EQ18+EQ19+EQ20</f>
        <v>3834.1869340000003</v>
      </c>
      <c r="ER17" s="45">
        <v>331.65799475000017</v>
      </c>
      <c r="ES17" s="45">
        <v>297.94540603999997</v>
      </c>
      <c r="ET17" s="45">
        <v>262.87844720999999</v>
      </c>
      <c r="EU17" s="45">
        <v>364.6354298</v>
      </c>
      <c r="EV17" s="45">
        <v>332.26023284999997</v>
      </c>
      <c r="EW17" s="45">
        <v>363.24318590000013</v>
      </c>
      <c r="EX17" s="45">
        <v>408.07442636000007</v>
      </c>
      <c r="EY17" s="45">
        <v>390.36981166000021</v>
      </c>
      <c r="EZ17" s="45">
        <v>373.75182775999997</v>
      </c>
      <c r="FA17" s="45">
        <v>409.06557903000004</v>
      </c>
      <c r="FB17" s="45">
        <v>348.60056982000009</v>
      </c>
      <c r="FC17" s="45">
        <v>239.35404581999993</v>
      </c>
      <c r="FD17" s="45">
        <f t="shared" si="12"/>
        <v>4121.8369570000004</v>
      </c>
      <c r="FE17" s="45">
        <f>FE18+FE19+FE20</f>
        <v>4121.8369570000004</v>
      </c>
      <c r="FF17" s="45">
        <v>436.89547409999994</v>
      </c>
      <c r="FG17" s="45">
        <v>343.28456676000008</v>
      </c>
      <c r="FH17" s="45">
        <v>318.62553228000002</v>
      </c>
      <c r="FI17" s="45">
        <v>444.64213990000002</v>
      </c>
      <c r="FJ17" s="45">
        <v>353.84274018999997</v>
      </c>
      <c r="FK17" s="45">
        <v>429.91112923000009</v>
      </c>
      <c r="FL17" s="45">
        <v>450.84646225</v>
      </c>
      <c r="FM17" s="45">
        <v>421.06747898000003</v>
      </c>
      <c r="FN17" s="45">
        <v>404.00319265999997</v>
      </c>
      <c r="FO17" s="45">
        <v>458.55119419000005</v>
      </c>
      <c r="FP17" s="45">
        <v>477.92892660000001</v>
      </c>
      <c r="FQ17" s="45">
        <v>449.69893338999998</v>
      </c>
      <c r="FR17" s="45">
        <f t="shared" si="13"/>
        <v>4989.29777053</v>
      </c>
      <c r="FS17" s="45">
        <f>FS18+FS19+FS20</f>
        <v>4989.2977689999998</v>
      </c>
      <c r="FT17" s="45">
        <v>526.0802788499999</v>
      </c>
      <c r="FU17" s="45">
        <v>404.6139822099999</v>
      </c>
      <c r="FV17" s="45">
        <v>441.05854564999999</v>
      </c>
      <c r="FW17" s="45">
        <v>463.77579973999997</v>
      </c>
      <c r="FX17" s="45">
        <v>401.75729967000001</v>
      </c>
      <c r="FY17" s="45">
        <v>430.67532429000005</v>
      </c>
      <c r="FZ17" s="45">
        <v>457.96821406999993</v>
      </c>
      <c r="GA17" s="45">
        <v>432.12222761000004</v>
      </c>
      <c r="GB17" s="45">
        <v>454.60263272999993</v>
      </c>
      <c r="GC17" s="45">
        <v>467.09780219999999</v>
      </c>
      <c r="GD17" s="45">
        <v>402.58569424999996</v>
      </c>
      <c r="GE17" s="45">
        <v>437.88978357000008</v>
      </c>
      <c r="GF17" s="45">
        <f t="shared" si="14"/>
        <v>5320.2275848399995</v>
      </c>
      <c r="GG17" s="45">
        <f>GG18+GG19+GG20</f>
        <v>5320.227586</v>
      </c>
      <c r="GH17" s="45">
        <v>481.93385056</v>
      </c>
      <c r="GI17" s="45">
        <v>374.18459430000001</v>
      </c>
      <c r="GJ17" s="45">
        <v>401.02036353</v>
      </c>
      <c r="GK17" s="45">
        <v>392.32557656000006</v>
      </c>
      <c r="GL17" s="45">
        <v>428.23288407999996</v>
      </c>
      <c r="GM17" s="45">
        <v>512.73672293999994</v>
      </c>
      <c r="GN17" s="45">
        <v>430.25507226999997</v>
      </c>
      <c r="GO17" s="45">
        <v>461.50572820999997</v>
      </c>
      <c r="GP17" s="45">
        <v>475.68259329</v>
      </c>
      <c r="GQ17" s="45">
        <v>467.86032359000006</v>
      </c>
      <c r="GR17" s="45">
        <v>452.39405193000005</v>
      </c>
      <c r="GS17" s="45">
        <v>495.06971055999992</v>
      </c>
      <c r="GT17" s="45">
        <f t="shared" si="20"/>
        <v>5373.2014718200007</v>
      </c>
      <c r="GU17" s="45">
        <f>GU18+GU19+GU20</f>
        <v>5373.2014737299996</v>
      </c>
      <c r="GV17" s="45">
        <v>471.47759225999994</v>
      </c>
      <c r="GW17" s="45">
        <v>412.29085031999989</v>
      </c>
      <c r="GX17" s="45">
        <v>401.74165784999997</v>
      </c>
      <c r="GY17" s="45">
        <v>463.95485793</v>
      </c>
      <c r="GZ17" s="45">
        <v>472.84803924999994</v>
      </c>
      <c r="HA17" s="45">
        <v>473.86270486000001</v>
      </c>
      <c r="HB17" s="45">
        <v>467.55921628000004</v>
      </c>
      <c r="HC17" s="45">
        <v>493.60906688</v>
      </c>
      <c r="HD17" s="45">
        <v>483.79831576000004</v>
      </c>
      <c r="HE17" s="45">
        <v>509.66623312999991</v>
      </c>
      <c r="HF17" s="45">
        <v>488.84121003000001</v>
      </c>
      <c r="HG17" s="45">
        <v>524.40882712000007</v>
      </c>
      <c r="HH17" s="45">
        <f t="shared" si="15"/>
        <v>5664.0585716699998</v>
      </c>
      <c r="HI17" s="45">
        <v>518.08484423999994</v>
      </c>
      <c r="HJ17" s="45">
        <v>447.52058060000002</v>
      </c>
      <c r="HK17" s="45">
        <v>414.3795437</v>
      </c>
      <c r="HL17" s="45">
        <v>540.22172358</v>
      </c>
      <c r="HM17" s="45"/>
      <c r="HN17" s="45"/>
      <c r="HO17" s="45"/>
      <c r="HP17" s="45"/>
      <c r="HQ17" s="45"/>
      <c r="HR17" s="45"/>
      <c r="HS17" s="45"/>
      <c r="HT17" s="45"/>
      <c r="HU17" s="283">
        <f>ROUND(SUM(GV17:GY17),6)</f>
        <v>1749.464958</v>
      </c>
      <c r="HV17" s="283">
        <f t="shared" si="17"/>
        <v>1920.206692</v>
      </c>
      <c r="HW17" s="280">
        <f t="shared" si="21"/>
        <v>170.74173399999995</v>
      </c>
      <c r="HX17" s="280">
        <f t="shared" si="22"/>
        <v>9.7596544142954968</v>
      </c>
    </row>
    <row r="18" spans="1:232" s="12" customFormat="1" ht="20.5">
      <c r="A18" s="47" t="s">
        <v>54</v>
      </c>
      <c r="B18" s="12" t="s">
        <v>55</v>
      </c>
      <c r="C18" s="47" t="s">
        <v>56</v>
      </c>
      <c r="D18" s="42">
        <v>1711.618476844184</v>
      </c>
      <c r="E18" s="42">
        <v>1589.5619077296087</v>
      </c>
      <c r="F18" s="42">
        <v>1136.0742426053353</v>
      </c>
      <c r="G18" s="42">
        <v>1174.2210374442946</v>
      </c>
      <c r="H18" s="42">
        <v>142.42891617008439</v>
      </c>
      <c r="I18" s="42">
        <v>52.269356748111846</v>
      </c>
      <c r="J18" s="42">
        <v>89.056008503081941</v>
      </c>
      <c r="K18" s="42">
        <v>120.88149185263602</v>
      </c>
      <c r="L18" s="42">
        <v>102.70866130528567</v>
      </c>
      <c r="M18" s="42">
        <v>123.50039555836335</v>
      </c>
      <c r="N18" s="42">
        <v>125.29966534055013</v>
      </c>
      <c r="O18" s="42">
        <v>124.90918520668636</v>
      </c>
      <c r="P18" s="42">
        <v>134.23805214540613</v>
      </c>
      <c r="Q18" s="42">
        <v>133.82016892334136</v>
      </c>
      <c r="R18" s="42">
        <v>127.64414829739158</v>
      </c>
      <c r="S18" s="42">
        <v>87.28521038582592</v>
      </c>
      <c r="T18" s="42">
        <v>1364.0412604367648</v>
      </c>
      <c r="U18" s="42">
        <v>1364.0412604367648</v>
      </c>
      <c r="V18" s="42">
        <v>163.89514573053086</v>
      </c>
      <c r="W18" s="42">
        <v>92.755980330220083</v>
      </c>
      <c r="X18" s="42">
        <v>113.82030409616337</v>
      </c>
      <c r="Y18" s="42">
        <v>135.97703342610458</v>
      </c>
      <c r="Z18" s="42">
        <v>123.84096561772557</v>
      </c>
      <c r="AA18" s="42">
        <v>132.81516752892699</v>
      </c>
      <c r="AB18" s="42">
        <v>146.12317089828744</v>
      </c>
      <c r="AC18" s="42">
        <v>135.38206242423206</v>
      </c>
      <c r="AD18" s="42">
        <v>141.44228974223253</v>
      </c>
      <c r="AE18" s="42">
        <v>132.58674822567886</v>
      </c>
      <c r="AF18" s="42">
        <v>129.05187221472843</v>
      </c>
      <c r="AG18" s="42">
        <v>141.08610793336405</v>
      </c>
      <c r="AH18" s="42">
        <v>1588.7768481681946</v>
      </c>
      <c r="AI18" s="42">
        <v>1588.7768481681949</v>
      </c>
      <c r="AJ18" s="42">
        <v>156.33879431534254</v>
      </c>
      <c r="AK18" s="42">
        <v>96.606676968258583</v>
      </c>
      <c r="AL18" s="42">
        <v>121.0156700872505</v>
      </c>
      <c r="AM18" s="42">
        <v>152.77638715772818</v>
      </c>
      <c r="AN18" s="42">
        <v>125.10937331033973</v>
      </c>
      <c r="AO18" s="42">
        <v>148.60405603838339</v>
      </c>
      <c r="AP18" s="42">
        <v>153.83293208348275</v>
      </c>
      <c r="AQ18" s="42">
        <v>157.18937285502076</v>
      </c>
      <c r="AR18" s="42">
        <v>148.91696404687508</v>
      </c>
      <c r="AS18" s="42">
        <v>137.88467481687641</v>
      </c>
      <c r="AT18" s="42">
        <v>137.9986753063443</v>
      </c>
      <c r="AU18" s="42">
        <v>130.53096453634299</v>
      </c>
      <c r="AV18" s="42">
        <v>1666.804541522245</v>
      </c>
      <c r="AW18" s="42">
        <v>1666.8045415222452</v>
      </c>
      <c r="AX18" s="42">
        <v>193.157231</v>
      </c>
      <c r="AY18" s="42">
        <v>109.30025500000001</v>
      </c>
      <c r="AZ18" s="42">
        <v>119.640603</v>
      </c>
      <c r="BA18" s="42">
        <v>151.299755</v>
      </c>
      <c r="BB18" s="42">
        <v>131.94423900000001</v>
      </c>
      <c r="BC18" s="42">
        <v>172.240635</v>
      </c>
      <c r="BD18" s="42">
        <v>153.109219</v>
      </c>
      <c r="BE18" s="42">
        <v>169.16682900000001</v>
      </c>
      <c r="BF18" s="42">
        <v>167.45422997999998</v>
      </c>
      <c r="BG18" s="42">
        <v>136.02338406000001</v>
      </c>
      <c r="BH18" s="42">
        <v>159.25278201000003</v>
      </c>
      <c r="BI18" s="42">
        <v>141.12171398000001</v>
      </c>
      <c r="BJ18" s="45">
        <f t="shared" si="1"/>
        <v>1803.7108760300002</v>
      </c>
      <c r="BK18" s="44">
        <v>1803.7108760000001</v>
      </c>
      <c r="BL18" s="42">
        <v>195.85518510999998</v>
      </c>
      <c r="BM18" s="42">
        <v>111.55879289000001</v>
      </c>
      <c r="BN18" s="42">
        <v>126.83421593999999</v>
      </c>
      <c r="BO18" s="42">
        <v>164.12995512000001</v>
      </c>
      <c r="BP18" s="42">
        <v>147.94360851000002</v>
      </c>
      <c r="BQ18" s="42">
        <v>167.16480282000001</v>
      </c>
      <c r="BR18" s="42">
        <v>156.23052010000001</v>
      </c>
      <c r="BS18" s="42">
        <v>174.42611324000001</v>
      </c>
      <c r="BT18" s="42">
        <v>160.71261930999998</v>
      </c>
      <c r="BU18" s="42">
        <v>174.71547671000002</v>
      </c>
      <c r="BV18" s="42">
        <v>177.20929922000002</v>
      </c>
      <c r="BW18" s="42">
        <v>146.79276353</v>
      </c>
      <c r="BX18" s="45">
        <f t="shared" si="4"/>
        <v>1903.5733525000001</v>
      </c>
      <c r="BY18" s="45">
        <v>1903.5733520000001</v>
      </c>
      <c r="BZ18" s="45">
        <v>183.31981141000003</v>
      </c>
      <c r="CA18" s="45">
        <v>127.01537313999999</v>
      </c>
      <c r="CB18" s="45">
        <v>143.28984392000001</v>
      </c>
      <c r="CC18" s="45">
        <v>163.24171190999999</v>
      </c>
      <c r="CD18" s="45">
        <v>164.45248280000001</v>
      </c>
      <c r="CE18" s="45">
        <v>174.86393899999999</v>
      </c>
      <c r="CF18" s="45">
        <v>177.90379772</v>
      </c>
      <c r="CG18" s="45">
        <v>170.19623402000002</v>
      </c>
      <c r="CH18" s="45">
        <v>180.17024106999997</v>
      </c>
      <c r="CI18" s="45">
        <v>183.46651279999998</v>
      </c>
      <c r="CJ18" s="45">
        <v>174.33822691000003</v>
      </c>
      <c r="CK18" s="45">
        <v>176.63724355000002</v>
      </c>
      <c r="CL18" s="45">
        <f t="shared" si="5"/>
        <v>2018.8954182499999</v>
      </c>
      <c r="CM18" s="45">
        <v>2018.8954180000001</v>
      </c>
      <c r="CN18" s="45">
        <v>210.52298981999999</v>
      </c>
      <c r="CO18" s="45">
        <v>118.99255610000002</v>
      </c>
      <c r="CP18" s="45">
        <v>148.10282532999997</v>
      </c>
      <c r="CQ18" s="45">
        <v>186.97635074000002</v>
      </c>
      <c r="CR18" s="45">
        <v>170.97870240999998</v>
      </c>
      <c r="CS18" s="45">
        <v>185.83319803000001</v>
      </c>
      <c r="CT18" s="45">
        <v>180.66670752000002</v>
      </c>
      <c r="CU18" s="45">
        <v>196.71585393999999</v>
      </c>
      <c r="CV18" s="45">
        <v>199.33320000999998</v>
      </c>
      <c r="CW18" s="45">
        <v>201.21672024999998</v>
      </c>
      <c r="CX18" s="45">
        <v>185.54479761000002</v>
      </c>
      <c r="CY18" s="45">
        <v>202.86799911000003</v>
      </c>
      <c r="CZ18" s="45">
        <f t="shared" si="6"/>
        <v>2187.7519008700001</v>
      </c>
      <c r="DA18" s="45">
        <v>2187.7519010000001</v>
      </c>
      <c r="DB18" s="45">
        <v>204.37609752</v>
      </c>
      <c r="DC18" s="45">
        <v>149.91155864999999</v>
      </c>
      <c r="DD18" s="45">
        <v>164.13907448</v>
      </c>
      <c r="DE18" s="45">
        <v>201.08871765000001</v>
      </c>
      <c r="DF18" s="45">
        <v>190.62738694999999</v>
      </c>
      <c r="DG18" s="45">
        <v>207.19511937000001</v>
      </c>
      <c r="DH18" s="45">
        <v>220.72023086999999</v>
      </c>
      <c r="DI18" s="45">
        <v>224.21628387000001</v>
      </c>
      <c r="DJ18" s="45">
        <v>230.49635628000001</v>
      </c>
      <c r="DK18" s="45">
        <v>207.09512849000001</v>
      </c>
      <c r="DL18" s="45">
        <v>215.80597918000001</v>
      </c>
      <c r="DM18" s="45">
        <v>241.29659856000001</v>
      </c>
      <c r="DN18" s="45">
        <f t="shared" si="7"/>
        <v>2456.9685318699999</v>
      </c>
      <c r="DO18" s="45">
        <v>2456.9685319999999</v>
      </c>
      <c r="DP18" s="45">
        <v>214.12216085</v>
      </c>
      <c r="DQ18" s="45">
        <v>189.67648954999999</v>
      </c>
      <c r="DR18" s="45">
        <v>182.61135922</v>
      </c>
      <c r="DS18" s="45">
        <v>220.75818766999998</v>
      </c>
      <c r="DT18" s="45">
        <v>202.56825332</v>
      </c>
      <c r="DU18" s="45">
        <v>228.45286518</v>
      </c>
      <c r="DV18" s="45">
        <v>218.39993038</v>
      </c>
      <c r="DW18" s="45">
        <v>228.15742975000001</v>
      </c>
      <c r="DX18" s="45">
        <v>246.06554786999999</v>
      </c>
      <c r="DY18" s="45">
        <v>234.78656058999999</v>
      </c>
      <c r="DZ18" s="45">
        <v>225.72968612</v>
      </c>
      <c r="EA18" s="45">
        <v>257.01818082</v>
      </c>
      <c r="EB18" s="45">
        <f t="shared" si="10"/>
        <v>2648.3466513200005</v>
      </c>
      <c r="EC18" s="45">
        <v>2648.3466509999998</v>
      </c>
      <c r="ED18" s="45">
        <v>219.17742745999999</v>
      </c>
      <c r="EE18" s="45">
        <v>199.47310185000001</v>
      </c>
      <c r="EF18" s="45">
        <v>163.05346901999999</v>
      </c>
      <c r="EG18" s="45">
        <v>181.28259706</v>
      </c>
      <c r="EH18" s="45">
        <v>161.38010387</v>
      </c>
      <c r="EI18" s="45">
        <v>204.26915094</v>
      </c>
      <c r="EJ18" s="45">
        <v>218.83385175000004</v>
      </c>
      <c r="EK18" s="45">
        <v>238.55673321999996</v>
      </c>
      <c r="EL18" s="45">
        <v>238.99603074000001</v>
      </c>
      <c r="EM18" s="45">
        <v>237.77250713999999</v>
      </c>
      <c r="EN18" s="45">
        <v>248.70658576000002</v>
      </c>
      <c r="EO18" s="45">
        <v>233.15730057999997</v>
      </c>
      <c r="EP18" s="45">
        <f t="shared" si="11"/>
        <v>2544.6588593900001</v>
      </c>
      <c r="EQ18" s="45">
        <v>2544.6588590000001</v>
      </c>
      <c r="ER18" s="45">
        <v>218.35477900000004</v>
      </c>
      <c r="ES18" s="45">
        <v>209.04308809</v>
      </c>
      <c r="ET18" s="45">
        <v>168.040279</v>
      </c>
      <c r="EU18" s="45">
        <v>240.62127121999998</v>
      </c>
      <c r="EV18" s="45">
        <v>233.94073158999998</v>
      </c>
      <c r="EW18" s="45">
        <v>251.11796762</v>
      </c>
      <c r="EX18" s="45">
        <v>272.44773908000002</v>
      </c>
      <c r="EY18" s="45">
        <v>266.64371106999999</v>
      </c>
      <c r="EZ18" s="45">
        <v>255.51329713999999</v>
      </c>
      <c r="FA18" s="45">
        <v>281.78393442999999</v>
      </c>
      <c r="FB18" s="45">
        <v>244.09561505000002</v>
      </c>
      <c r="FC18" s="45">
        <v>120.89054773000001</v>
      </c>
      <c r="FD18" s="45">
        <f t="shared" si="12"/>
        <v>2762.4929610200002</v>
      </c>
      <c r="FE18" s="45">
        <v>2762.4929609999999</v>
      </c>
      <c r="FF18" s="45">
        <v>305.15682826</v>
      </c>
      <c r="FG18" s="45">
        <v>241.22451790999997</v>
      </c>
      <c r="FH18" s="45">
        <v>213.27002125000001</v>
      </c>
      <c r="FI18" s="45">
        <v>317.51033463000005</v>
      </c>
      <c r="FJ18" s="45">
        <v>241.87598450999997</v>
      </c>
      <c r="FK18" s="45">
        <v>307.37908601000004</v>
      </c>
      <c r="FL18" s="45">
        <v>318.39030732999998</v>
      </c>
      <c r="FM18" s="45">
        <v>302.72456161000002</v>
      </c>
      <c r="FN18" s="45">
        <v>275.43128775999998</v>
      </c>
      <c r="FO18" s="45">
        <v>329.14276414</v>
      </c>
      <c r="FP18" s="45">
        <v>364.47679590000001</v>
      </c>
      <c r="FQ18" s="45">
        <v>342.08847143999998</v>
      </c>
      <c r="FR18" s="45">
        <f t="shared" si="13"/>
        <v>3558.6709607500002</v>
      </c>
      <c r="FS18" s="45">
        <v>3558.6709599999999</v>
      </c>
      <c r="FT18" s="45">
        <v>386.10967128999999</v>
      </c>
      <c r="FU18" s="45">
        <v>301.80614191999996</v>
      </c>
      <c r="FV18" s="45">
        <v>325.43222743999996</v>
      </c>
      <c r="FW18" s="45">
        <v>338.49891364999996</v>
      </c>
      <c r="FX18" s="45">
        <v>289.73330856000001</v>
      </c>
      <c r="FY18" s="45">
        <v>305.09090129000003</v>
      </c>
      <c r="FZ18" s="45">
        <v>323.28390615999996</v>
      </c>
      <c r="GA18" s="45">
        <v>312.93571600999996</v>
      </c>
      <c r="GB18" s="45">
        <v>329.26568889999999</v>
      </c>
      <c r="GC18" s="45">
        <v>341.81099528999999</v>
      </c>
      <c r="GD18" s="45">
        <v>294.74851663999999</v>
      </c>
      <c r="GE18" s="45">
        <v>330.79873814000007</v>
      </c>
      <c r="GF18" s="45">
        <f t="shared" si="14"/>
        <v>3879.5147252899997</v>
      </c>
      <c r="GG18" s="45">
        <v>3879.514725</v>
      </c>
      <c r="GH18" s="45">
        <v>342.50642629999999</v>
      </c>
      <c r="GI18" s="45">
        <v>264.23297828</v>
      </c>
      <c r="GJ18" s="45">
        <v>295.02499803999996</v>
      </c>
      <c r="GK18" s="45">
        <v>257.97659249000003</v>
      </c>
      <c r="GL18" s="45">
        <v>311.42055184999998</v>
      </c>
      <c r="GM18" s="45">
        <v>385.26376006999999</v>
      </c>
      <c r="GN18" s="45">
        <v>291.92520031999999</v>
      </c>
      <c r="GO18" s="45">
        <v>335.26407283999998</v>
      </c>
      <c r="GP18" s="45">
        <v>348.50577060999996</v>
      </c>
      <c r="GQ18" s="45">
        <v>330.67379256000004</v>
      </c>
      <c r="GR18" s="45">
        <v>336.31847909000004</v>
      </c>
      <c r="GS18" s="45">
        <v>383.24940474000005</v>
      </c>
      <c r="GT18" s="45">
        <f t="shared" si="20"/>
        <v>3882.3620271900004</v>
      </c>
      <c r="GU18" s="45">
        <v>3882.3620270000001</v>
      </c>
      <c r="GV18" s="45">
        <v>327.39997848999997</v>
      </c>
      <c r="GW18" s="45">
        <v>299.04544184999997</v>
      </c>
      <c r="GX18" s="45">
        <v>286.97640398999999</v>
      </c>
      <c r="GY18" s="45">
        <v>324.08337886999999</v>
      </c>
      <c r="GZ18" s="45">
        <v>341.89799519999997</v>
      </c>
      <c r="HA18" s="45">
        <v>353.14339132999999</v>
      </c>
      <c r="HB18" s="45">
        <v>322.24170879000002</v>
      </c>
      <c r="HC18" s="45">
        <v>362.20796027</v>
      </c>
      <c r="HD18" s="45">
        <v>351.63367726999996</v>
      </c>
      <c r="HE18" s="45">
        <v>365.58698776</v>
      </c>
      <c r="HF18" s="45">
        <v>368.36426121</v>
      </c>
      <c r="HG18" s="45">
        <v>397.15842108000004</v>
      </c>
      <c r="HH18" s="45">
        <f t="shared" si="15"/>
        <v>4099.7396061099998</v>
      </c>
      <c r="HI18" s="45">
        <v>365.46684836999998</v>
      </c>
      <c r="HJ18" s="45">
        <v>325.80093109000001</v>
      </c>
      <c r="HK18" s="45">
        <v>289.94353837999995</v>
      </c>
      <c r="HL18" s="45">
        <v>388.96000047000001</v>
      </c>
      <c r="HM18" s="45"/>
      <c r="HN18" s="45"/>
      <c r="HO18" s="45"/>
      <c r="HP18" s="45"/>
      <c r="HQ18" s="45"/>
      <c r="HR18" s="45"/>
      <c r="HS18" s="45"/>
      <c r="HT18" s="45"/>
      <c r="HU18" s="283">
        <f t="shared" si="16"/>
        <v>1237.5052029999999</v>
      </c>
      <c r="HV18" s="283">
        <f t="shared" si="17"/>
        <v>1370.1713179999999</v>
      </c>
      <c r="HW18" s="280">
        <f t="shared" si="21"/>
        <v>132.66611499999999</v>
      </c>
      <c r="HX18" s="280">
        <f t="shared" si="22"/>
        <v>10.720449067881617</v>
      </c>
    </row>
    <row r="19" spans="1:232" s="12" customFormat="1" ht="20.5">
      <c r="A19" s="47" t="s">
        <v>57</v>
      </c>
      <c r="B19" s="12" t="s">
        <v>58</v>
      </c>
      <c r="C19" s="47" t="s">
        <v>59</v>
      </c>
      <c r="D19" s="42">
        <v>637.57801036988974</v>
      </c>
      <c r="E19" s="42">
        <v>769.66218177471956</v>
      </c>
      <c r="F19" s="42">
        <v>717.24981787240824</v>
      </c>
      <c r="G19" s="42">
        <v>651.75811321506421</v>
      </c>
      <c r="H19" s="42">
        <v>55.343791441141484</v>
      </c>
      <c r="I19" s="42">
        <v>53.847516519541728</v>
      </c>
      <c r="J19" s="42">
        <v>41.413268848782877</v>
      </c>
      <c r="K19" s="42">
        <v>50.98525193368279</v>
      </c>
      <c r="L19" s="42">
        <v>51.338341842106765</v>
      </c>
      <c r="M19" s="42">
        <v>57.831477908492268</v>
      </c>
      <c r="N19" s="42">
        <v>62.199900683547625</v>
      </c>
      <c r="O19" s="42">
        <v>64.413401175861267</v>
      </c>
      <c r="P19" s="42">
        <v>65.490960495387057</v>
      </c>
      <c r="Q19" s="42">
        <v>63.12097825282725</v>
      </c>
      <c r="R19" s="42">
        <v>57.088223743746475</v>
      </c>
      <c r="S19" s="42">
        <v>62.074521488210081</v>
      </c>
      <c r="T19" s="42">
        <v>685.14763433332757</v>
      </c>
      <c r="U19" s="42">
        <v>685.14763433332769</v>
      </c>
      <c r="V19" s="42">
        <v>60.174768498756414</v>
      </c>
      <c r="W19" s="42">
        <v>53.974944650286567</v>
      </c>
      <c r="X19" s="42">
        <v>54.884546758413443</v>
      </c>
      <c r="Y19" s="42">
        <v>55.476334796045556</v>
      </c>
      <c r="Z19" s="42">
        <v>53.766562227875767</v>
      </c>
      <c r="AA19" s="42">
        <v>60.221629358967796</v>
      </c>
      <c r="AB19" s="42">
        <v>57.503571408244689</v>
      </c>
      <c r="AC19" s="42">
        <v>64.959892089401876</v>
      </c>
      <c r="AD19" s="42">
        <v>64.94532045918919</v>
      </c>
      <c r="AE19" s="42">
        <v>60.11057136840428</v>
      </c>
      <c r="AF19" s="42">
        <v>62.592562079897093</v>
      </c>
      <c r="AG19" s="42">
        <v>55.229271603462706</v>
      </c>
      <c r="AH19" s="42">
        <v>703.83997529894543</v>
      </c>
      <c r="AI19" s="42">
        <v>703.83997529894532</v>
      </c>
      <c r="AJ19" s="42">
        <v>64.48722830262777</v>
      </c>
      <c r="AK19" s="42">
        <v>55.906271165218186</v>
      </c>
      <c r="AL19" s="42">
        <v>51.881193049555783</v>
      </c>
      <c r="AM19" s="42">
        <v>56.331761059982583</v>
      </c>
      <c r="AN19" s="42">
        <v>57.89799431989573</v>
      </c>
      <c r="AO19" s="42">
        <v>64.496327567856753</v>
      </c>
      <c r="AP19" s="42">
        <v>61.859985145218296</v>
      </c>
      <c r="AQ19" s="42">
        <v>66.332791219173487</v>
      </c>
      <c r="AR19" s="42">
        <v>65.777172582967651</v>
      </c>
      <c r="AS19" s="42">
        <v>60.088687599956749</v>
      </c>
      <c r="AT19" s="42">
        <v>64.591751042965043</v>
      </c>
      <c r="AU19" s="42">
        <v>61.29239304272599</v>
      </c>
      <c r="AV19" s="42">
        <v>730.94355609814409</v>
      </c>
      <c r="AW19" s="42">
        <v>730.94355609814409</v>
      </c>
      <c r="AX19" s="42">
        <v>66.739440999999999</v>
      </c>
      <c r="AY19" s="42">
        <v>51.166615</v>
      </c>
      <c r="AZ19" s="42">
        <v>52.370136000000002</v>
      </c>
      <c r="BA19" s="42">
        <v>61.024819000000001</v>
      </c>
      <c r="BB19" s="42">
        <v>58.913553</v>
      </c>
      <c r="BC19" s="42">
        <v>65.518063999999995</v>
      </c>
      <c r="BD19" s="42">
        <v>66.494169999999997</v>
      </c>
      <c r="BE19" s="42">
        <v>69.305045000000007</v>
      </c>
      <c r="BF19" s="42">
        <v>67.349203079999995</v>
      </c>
      <c r="BG19" s="42">
        <v>63.97557865000001</v>
      </c>
      <c r="BH19" s="42">
        <v>65.340900519999991</v>
      </c>
      <c r="BI19" s="42">
        <v>60.398081740000016</v>
      </c>
      <c r="BJ19" s="45">
        <f t="shared" si="1"/>
        <v>748.59560699000008</v>
      </c>
      <c r="BK19" s="44">
        <v>748.59560699999997</v>
      </c>
      <c r="BL19" s="42">
        <v>69.131329479999991</v>
      </c>
      <c r="BM19" s="42">
        <v>54.626979419999998</v>
      </c>
      <c r="BN19" s="42">
        <v>57.344745349999997</v>
      </c>
      <c r="BO19" s="42">
        <v>64.885803249999995</v>
      </c>
      <c r="BP19" s="42">
        <v>63.478285879999994</v>
      </c>
      <c r="BQ19" s="42">
        <v>65.273663380000002</v>
      </c>
      <c r="BR19" s="42">
        <v>70.818015249999988</v>
      </c>
      <c r="BS19" s="42">
        <v>71.380233019999991</v>
      </c>
      <c r="BT19" s="42">
        <v>73.942910449999971</v>
      </c>
      <c r="BU19" s="42">
        <v>69.43074301</v>
      </c>
      <c r="BV19" s="42">
        <v>69.296714400000027</v>
      </c>
      <c r="BW19" s="42">
        <v>66.683166159999999</v>
      </c>
      <c r="BX19" s="45">
        <f t="shared" si="4"/>
        <v>796.29258905000006</v>
      </c>
      <c r="BY19" s="45">
        <v>796.29258905000006</v>
      </c>
      <c r="BZ19" s="45">
        <v>69.893747950000034</v>
      </c>
      <c r="CA19" s="45">
        <v>62.847186190000009</v>
      </c>
      <c r="CB19" s="45">
        <v>60.453423570000005</v>
      </c>
      <c r="CC19" s="45">
        <v>68.180902589999988</v>
      </c>
      <c r="CD19" s="45">
        <v>71.182647299999999</v>
      </c>
      <c r="CE19" s="45">
        <v>76.036618309999994</v>
      </c>
      <c r="CF19" s="45">
        <v>74.148619929999981</v>
      </c>
      <c r="CG19" s="45">
        <v>75.798546439999996</v>
      </c>
      <c r="CH19" s="45">
        <v>80.900494660000049</v>
      </c>
      <c r="CI19" s="45">
        <v>74.773888769999985</v>
      </c>
      <c r="CJ19" s="45">
        <v>74.775466170000001</v>
      </c>
      <c r="CK19" s="45">
        <v>72.018300910000008</v>
      </c>
      <c r="CL19" s="45">
        <f t="shared" si="5"/>
        <v>861.00984278999999</v>
      </c>
      <c r="CM19" s="45">
        <v>861.00984300000005</v>
      </c>
      <c r="CN19" s="45">
        <v>73.958544279999998</v>
      </c>
      <c r="CO19" s="45">
        <v>65.000137600000002</v>
      </c>
      <c r="CP19" s="45">
        <v>63.586354440000001</v>
      </c>
      <c r="CQ19" s="45">
        <v>70.353395280000001</v>
      </c>
      <c r="CR19" s="45">
        <v>73.76425691</v>
      </c>
      <c r="CS19" s="45">
        <v>81.720163170000006</v>
      </c>
      <c r="CT19" s="45">
        <v>77.435438270000006</v>
      </c>
      <c r="CU19" s="45">
        <v>81.838067769999995</v>
      </c>
      <c r="CV19" s="45">
        <v>87.04042333999999</v>
      </c>
      <c r="CW19" s="45">
        <v>75.132776570000004</v>
      </c>
      <c r="CX19" s="45">
        <v>78.623796470000016</v>
      </c>
      <c r="CY19" s="45">
        <v>78.567804439999989</v>
      </c>
      <c r="CZ19" s="45">
        <f t="shared" si="6"/>
        <v>907.02115853999999</v>
      </c>
      <c r="DA19" s="45">
        <v>907.00246000000004</v>
      </c>
      <c r="DB19" s="45">
        <v>78.380427980000007</v>
      </c>
      <c r="DC19" s="45">
        <v>72.050875470000008</v>
      </c>
      <c r="DD19" s="45">
        <v>73.067936459999999</v>
      </c>
      <c r="DE19" s="45">
        <v>82.708648690000018</v>
      </c>
      <c r="DF19" s="45">
        <v>80.300244059999983</v>
      </c>
      <c r="DG19" s="45">
        <v>95.330260679999995</v>
      </c>
      <c r="DH19" s="45">
        <v>93.795984349999998</v>
      </c>
      <c r="DI19" s="45">
        <v>97.583045370000008</v>
      </c>
      <c r="DJ19" s="45">
        <v>97.29460241999999</v>
      </c>
      <c r="DK19" s="45">
        <v>85.281813780000007</v>
      </c>
      <c r="DL19" s="45">
        <v>91.143385759999973</v>
      </c>
      <c r="DM19" s="45">
        <v>82.276838420000004</v>
      </c>
      <c r="DN19" s="45">
        <f t="shared" si="7"/>
        <v>1029.21406344</v>
      </c>
      <c r="DO19" s="45">
        <v>1029.2140629999999</v>
      </c>
      <c r="DP19" s="45">
        <v>89.964804270000002</v>
      </c>
      <c r="DQ19" s="45">
        <v>78.58715174000001</v>
      </c>
      <c r="DR19" s="45">
        <v>80.675586719999998</v>
      </c>
      <c r="DS19" s="45">
        <v>88.41034741</v>
      </c>
      <c r="DT19" s="45">
        <v>87.330997550000006</v>
      </c>
      <c r="DU19" s="45">
        <v>95.749043650000004</v>
      </c>
      <c r="DV19" s="45">
        <v>91.565102039999985</v>
      </c>
      <c r="DW19" s="45">
        <v>93.598704659999996</v>
      </c>
      <c r="DX19" s="45">
        <v>99.983932100000004</v>
      </c>
      <c r="DY19" s="45">
        <v>88.173631019999988</v>
      </c>
      <c r="DZ19" s="45">
        <v>84.54278137999998</v>
      </c>
      <c r="EA19" s="45">
        <v>85.472943020000017</v>
      </c>
      <c r="EB19" s="45">
        <f t="shared" si="10"/>
        <v>1064.0550255600001</v>
      </c>
      <c r="EC19" s="45">
        <v>1064.0550249999999</v>
      </c>
      <c r="ED19" s="45">
        <v>91.227132470000001</v>
      </c>
      <c r="EE19" s="45">
        <v>78.474114360000002</v>
      </c>
      <c r="EF19" s="45">
        <v>71.947078020000006</v>
      </c>
      <c r="EG19" s="45">
        <v>80.290347900000015</v>
      </c>
      <c r="EH19" s="45">
        <v>79.396007059999988</v>
      </c>
      <c r="EI19" s="45">
        <v>87.892598369999988</v>
      </c>
      <c r="EJ19" s="45">
        <v>98.363117439999982</v>
      </c>
      <c r="EK19" s="45">
        <v>102.65536318000001</v>
      </c>
      <c r="EL19" s="45">
        <v>101.34110115999999</v>
      </c>
      <c r="EM19" s="45">
        <v>95.319154620000006</v>
      </c>
      <c r="EN19" s="45">
        <v>87.52151022000001</v>
      </c>
      <c r="EO19" s="45">
        <v>85.256483129999992</v>
      </c>
      <c r="EP19" s="45">
        <f t="shared" si="11"/>
        <v>1059.68400793</v>
      </c>
      <c r="EQ19" s="45">
        <v>1059.6840079999999</v>
      </c>
      <c r="ER19" s="45">
        <v>88.145899</v>
      </c>
      <c r="ES19" s="45">
        <v>75.317371249999994</v>
      </c>
      <c r="ET19" s="45">
        <v>75.639572880000017</v>
      </c>
      <c r="EU19" s="45">
        <v>97.130311410000004</v>
      </c>
      <c r="EV19" s="45">
        <v>82.14008299000001</v>
      </c>
      <c r="EW19" s="45">
        <v>94.391854240000001</v>
      </c>
      <c r="EX19" s="45">
        <v>105.34232808</v>
      </c>
      <c r="EY19" s="45">
        <v>106.11534505000002</v>
      </c>
      <c r="EZ19" s="45">
        <v>98.114018000000002</v>
      </c>
      <c r="FA19" s="45">
        <v>96.822309000000004</v>
      </c>
      <c r="FB19" s="45">
        <v>87.558833309999997</v>
      </c>
      <c r="FC19" s="45">
        <v>98.122540729999997</v>
      </c>
      <c r="FD19" s="45">
        <f>SUM(ER19:FC19)</f>
        <v>1104.8404659400001</v>
      </c>
      <c r="FE19" s="45">
        <v>1104.8404660000001</v>
      </c>
      <c r="FF19" s="45">
        <v>94.489587659999998</v>
      </c>
      <c r="FG19" s="45">
        <v>85.432088590000006</v>
      </c>
      <c r="FH19" s="45">
        <v>83.467417219999987</v>
      </c>
      <c r="FI19" s="45">
        <v>94.762113360000015</v>
      </c>
      <c r="FJ19" s="45">
        <v>89.708789329999988</v>
      </c>
      <c r="FK19" s="45">
        <v>99.295791590000007</v>
      </c>
      <c r="FL19" s="45">
        <v>97.606663669999989</v>
      </c>
      <c r="FM19" s="45">
        <v>99.319585369999999</v>
      </c>
      <c r="FN19" s="45">
        <v>108.36951242000001</v>
      </c>
      <c r="FO19" s="45">
        <v>96.951422370000003</v>
      </c>
      <c r="FP19" s="45">
        <v>96.244255089999996</v>
      </c>
      <c r="FQ19" s="45">
        <v>85.386054009999995</v>
      </c>
      <c r="FR19" s="45">
        <f>SUM(FF19:FQ19)</f>
        <v>1131.03328068</v>
      </c>
      <c r="FS19" s="45">
        <v>1131.033281</v>
      </c>
      <c r="FT19" s="45">
        <v>101.65742056999999</v>
      </c>
      <c r="FU19" s="45">
        <v>85.200088219999998</v>
      </c>
      <c r="FV19" s="45">
        <v>92.239320810000009</v>
      </c>
      <c r="FW19" s="45">
        <v>93.143622550000003</v>
      </c>
      <c r="FX19" s="45">
        <v>94.581915230000007</v>
      </c>
      <c r="FY19" s="45">
        <v>105.70550191999999</v>
      </c>
      <c r="FZ19" s="45">
        <v>100.8234592</v>
      </c>
      <c r="GA19" s="45">
        <v>101.00952856000001</v>
      </c>
      <c r="GB19" s="45">
        <v>106.89766510000001</v>
      </c>
      <c r="GC19" s="45">
        <v>91.657523700000013</v>
      </c>
      <c r="GD19" s="45">
        <v>92.613513190000006</v>
      </c>
      <c r="GE19" s="45">
        <v>89.23925869</v>
      </c>
      <c r="GF19" s="45">
        <f t="shared" si="14"/>
        <v>1154.7688177400003</v>
      </c>
      <c r="GG19" s="45">
        <v>1154.7688189999999</v>
      </c>
      <c r="GH19" s="45">
        <v>100.78356593000001</v>
      </c>
      <c r="GI19" s="45">
        <v>91.032900139999995</v>
      </c>
      <c r="GJ19" s="45">
        <v>83.272342719999983</v>
      </c>
      <c r="GK19" s="45">
        <v>98.178624989999989</v>
      </c>
      <c r="GL19" s="45">
        <v>97.76223573</v>
      </c>
      <c r="GM19" s="45">
        <v>107.28923574</v>
      </c>
      <c r="GN19" s="45">
        <v>101.98135866</v>
      </c>
      <c r="GO19" s="45">
        <v>109.54193059999999</v>
      </c>
      <c r="GP19" s="45">
        <v>107.15859218999999</v>
      </c>
      <c r="GQ19" s="45">
        <v>101.29949929</v>
      </c>
      <c r="GR19" s="45">
        <v>100.66668283</v>
      </c>
      <c r="GS19" s="45">
        <v>91.830675939999992</v>
      </c>
      <c r="GT19" s="45">
        <f t="shared" si="20"/>
        <v>1190.7976447599999</v>
      </c>
      <c r="GU19" s="45">
        <v>1190.797646</v>
      </c>
      <c r="GV19" s="45">
        <v>99.860340059999999</v>
      </c>
      <c r="GW19" s="45">
        <v>95.10325186</v>
      </c>
      <c r="GX19" s="45">
        <v>90.818549629999993</v>
      </c>
      <c r="GY19" s="45">
        <v>104.91310651999999</v>
      </c>
      <c r="GZ19" s="45">
        <v>112.31231529999999</v>
      </c>
      <c r="HA19" s="45">
        <v>99.439710959999985</v>
      </c>
      <c r="HB19" s="45">
        <v>107.71003675999999</v>
      </c>
      <c r="HC19" s="45">
        <v>114.57613521</v>
      </c>
      <c r="HD19" s="45">
        <v>110.13749369000001</v>
      </c>
      <c r="HE19" s="45">
        <v>106.96070463</v>
      </c>
      <c r="HF19" s="45">
        <v>104.06523453</v>
      </c>
      <c r="HG19" s="45">
        <v>98.886429530000015</v>
      </c>
      <c r="HH19" s="45">
        <f t="shared" si="15"/>
        <v>1244.7833086799999</v>
      </c>
      <c r="HI19" s="45">
        <v>107.47964455</v>
      </c>
      <c r="HJ19" s="45">
        <v>104.03680531000001</v>
      </c>
      <c r="HK19" s="45">
        <v>101.19427547000001</v>
      </c>
      <c r="HL19" s="45">
        <v>117.12522049</v>
      </c>
      <c r="HM19" s="45"/>
      <c r="HN19" s="45"/>
      <c r="HO19" s="45"/>
      <c r="HP19" s="45"/>
      <c r="HQ19" s="45"/>
      <c r="HR19" s="45"/>
      <c r="HS19" s="45"/>
      <c r="HT19" s="45"/>
      <c r="HU19" s="283">
        <f t="shared" si="16"/>
        <v>390.69524799999999</v>
      </c>
      <c r="HV19" s="283">
        <f t="shared" si="17"/>
        <v>429.83594599999998</v>
      </c>
      <c r="HW19" s="280">
        <f t="shared" si="21"/>
        <v>39.140697999999986</v>
      </c>
      <c r="HX19" s="280">
        <f t="shared" si="22"/>
        <v>10.018217063136632</v>
      </c>
    </row>
    <row r="20" spans="1:232" s="12" customFormat="1" ht="20.5">
      <c r="A20" s="47" t="s">
        <v>60</v>
      </c>
      <c r="C20" s="47" t="s">
        <v>61</v>
      </c>
      <c r="D20" s="42">
        <v>106.81607105252672</v>
      </c>
      <c r="E20" s="42">
        <v>91.885815960068527</v>
      </c>
      <c r="F20" s="42">
        <v>55.092214899175303</v>
      </c>
      <c r="G20" s="42">
        <v>54.751980637560401</v>
      </c>
      <c r="H20" s="42">
        <v>11.742599643712898</v>
      </c>
      <c r="I20" s="42">
        <v>8.0308450151108985</v>
      </c>
      <c r="J20" s="42">
        <v>10.682847564897184</v>
      </c>
      <c r="K20" s="42">
        <v>11.73794543002032</v>
      </c>
      <c r="L20" s="42">
        <v>10.882203288541328</v>
      </c>
      <c r="M20" s="42">
        <v>11.566016983397933</v>
      </c>
      <c r="N20" s="42">
        <v>15.03691783199868</v>
      </c>
      <c r="O20" s="42">
        <v>11.324771913648755</v>
      </c>
      <c r="P20" s="42">
        <v>11.987403315860467</v>
      </c>
      <c r="Q20" s="42">
        <v>15.38714634521147</v>
      </c>
      <c r="R20" s="42">
        <v>10.187747935413004</v>
      </c>
      <c r="S20" s="42">
        <v>15.686396207192901</v>
      </c>
      <c r="T20" s="42">
        <v>144.25284147500582</v>
      </c>
      <c r="U20" s="42">
        <v>144.25284147500582</v>
      </c>
      <c r="V20" s="42">
        <v>15.768337971895436</v>
      </c>
      <c r="W20" s="42">
        <v>8.9074635317954929</v>
      </c>
      <c r="X20" s="42">
        <v>11.958252941076033</v>
      </c>
      <c r="Y20" s="42">
        <v>13.94954496559496</v>
      </c>
      <c r="Z20" s="42">
        <v>11.487196999447926</v>
      </c>
      <c r="AA20" s="42">
        <v>12.850568579575528</v>
      </c>
      <c r="AB20" s="42">
        <v>16.206739005469522</v>
      </c>
      <c r="AC20" s="42">
        <v>12.24851309895789</v>
      </c>
      <c r="AD20" s="42">
        <v>12.302939368586408</v>
      </c>
      <c r="AE20" s="42">
        <v>17.219569040585995</v>
      </c>
      <c r="AF20" s="42">
        <v>11.334683638681623</v>
      </c>
      <c r="AG20" s="42">
        <v>12.34930933802312</v>
      </c>
      <c r="AH20" s="42">
        <v>156.58311847968989</v>
      </c>
      <c r="AI20" s="42">
        <v>156.58311847968994</v>
      </c>
      <c r="AJ20" s="42">
        <v>17.560675522620816</v>
      </c>
      <c r="AK20" s="42">
        <v>10.656656763478864</v>
      </c>
      <c r="AL20" s="42">
        <v>11.737676507248109</v>
      </c>
      <c r="AM20" s="42">
        <v>15.593923768219875</v>
      </c>
      <c r="AN20" s="42">
        <v>12.03770894872539</v>
      </c>
      <c r="AO20" s="42">
        <v>12.189014291324465</v>
      </c>
      <c r="AP20" s="42">
        <v>17.247353458432222</v>
      </c>
      <c r="AQ20" s="42">
        <v>12.337717201381894</v>
      </c>
      <c r="AR20" s="42">
        <v>12.46087529382303</v>
      </c>
      <c r="AS20" s="42">
        <v>15.355009362496515</v>
      </c>
      <c r="AT20" s="42">
        <v>12.035728311164993</v>
      </c>
      <c r="AU20" s="42">
        <v>13.871691111604372</v>
      </c>
      <c r="AV20" s="42">
        <v>163.08403054052053</v>
      </c>
      <c r="AW20" s="42">
        <v>163.08403054052053</v>
      </c>
      <c r="AX20" s="42">
        <f>AX21+AX22+AX23+AX24+AX25+AX26+AX27+AX28</f>
        <v>18.859175999999998</v>
      </c>
      <c r="AY20" s="42">
        <f>AY21+AY22+AY23+AY24+AY25+AY26+AY27+AY28</f>
        <v>11.996338999999999</v>
      </c>
      <c r="AZ20" s="42">
        <f>AZ21+AZ22+AZ23+AZ24+AZ25+AZ26+AZ27+AZ28</f>
        <v>15.812757999999999</v>
      </c>
      <c r="BA20" s="42">
        <f t="shared" ref="BA20:BG20" si="24">BA21+BA22+BA23+BA24+BA25+BA26+BA27+BA28</f>
        <v>19.969612000000001</v>
      </c>
      <c r="BB20" s="42">
        <f t="shared" si="24"/>
        <v>17.570584</v>
      </c>
      <c r="BC20" s="42">
        <f t="shared" si="24"/>
        <v>15.489409999999998</v>
      </c>
      <c r="BD20" s="42">
        <f t="shared" si="24"/>
        <v>20.317038999999998</v>
      </c>
      <c r="BE20" s="42">
        <f t="shared" si="24"/>
        <v>14.544630000000002</v>
      </c>
      <c r="BF20" s="42">
        <f t="shared" si="24"/>
        <v>16.93648546</v>
      </c>
      <c r="BG20" s="42">
        <f t="shared" si="24"/>
        <v>16.431924259999999</v>
      </c>
      <c r="BH20" s="42">
        <f>BH21+BH22+BH23+BH24+BH25+BH26+BH27+BH28</f>
        <v>14.51008652</v>
      </c>
      <c r="BI20" s="42">
        <f>BI21+BI22+BI23+BI24+BI25+BI26+BI27+BI28</f>
        <v>17.05851848</v>
      </c>
      <c r="BJ20" s="45">
        <f t="shared" si="1"/>
        <v>199.49656271999996</v>
      </c>
      <c r="BK20" s="42">
        <f>BK21+BK22+BK23+BK24+BK25+BK26+BK27+BK28</f>
        <v>199.49656299999998</v>
      </c>
      <c r="BL20" s="42">
        <f>BL21+BL22+BL23+BL24+BL25+BL26+BL27+BL28</f>
        <v>25.023479199999997</v>
      </c>
      <c r="BM20" s="42">
        <v>13.636759619999999</v>
      </c>
      <c r="BN20" s="42">
        <v>17.957565119999998</v>
      </c>
      <c r="BO20" s="42">
        <v>20.830230100000001</v>
      </c>
      <c r="BP20" s="42">
        <v>15.228793599999999</v>
      </c>
      <c r="BQ20" s="42">
        <v>17.791905729999996</v>
      </c>
      <c r="BR20" s="42">
        <v>22.490116139999998</v>
      </c>
      <c r="BS20" s="42">
        <v>14.739057599999999</v>
      </c>
      <c r="BT20" s="42">
        <v>17.497882660000002</v>
      </c>
      <c r="BU20" s="42">
        <v>21.83691254</v>
      </c>
      <c r="BV20" s="42">
        <v>14.015762179999999</v>
      </c>
      <c r="BW20" s="42">
        <v>18.276910570000002</v>
      </c>
      <c r="BX20" s="45">
        <f t="shared" si="4"/>
        <v>219.32537506</v>
      </c>
      <c r="BY20" s="45">
        <f>BY21+BY22+BY23+BY24+BY25+BY26+BY27+BY28</f>
        <v>219.32537481</v>
      </c>
      <c r="BZ20" s="45">
        <v>22.515348219999996</v>
      </c>
      <c r="CA20" s="45">
        <v>15.228021739999999</v>
      </c>
      <c r="CB20" s="45">
        <v>17.987395960000001</v>
      </c>
      <c r="CC20" s="45">
        <v>20.823219239999997</v>
      </c>
      <c r="CD20" s="45">
        <v>17.404067649999998</v>
      </c>
      <c r="CE20" s="45">
        <v>17.695550879999999</v>
      </c>
      <c r="CF20" s="45">
        <v>21.012273400000002</v>
      </c>
      <c r="CG20" s="45">
        <v>16.557473309999999</v>
      </c>
      <c r="CH20" s="45">
        <v>17.023592399999998</v>
      </c>
      <c r="CI20" s="45">
        <v>25.653490740000002</v>
      </c>
      <c r="CJ20" s="45">
        <v>14.89059267</v>
      </c>
      <c r="CK20" s="45">
        <v>17.93412988</v>
      </c>
      <c r="CL20" s="45">
        <f t="shared" si="5"/>
        <v>224.72515608999998</v>
      </c>
      <c r="CM20" s="45">
        <f>CM21+CM22+CM23+CM24+CM25+CM26+CM27+CM28</f>
        <v>224.725157</v>
      </c>
      <c r="CN20" s="45">
        <v>23.54848831</v>
      </c>
      <c r="CO20" s="45">
        <v>15.06737223</v>
      </c>
      <c r="CP20" s="45">
        <v>18.889870260000002</v>
      </c>
      <c r="CQ20" s="45">
        <v>22.617212979999998</v>
      </c>
      <c r="CR20" s="45">
        <v>17.56126308</v>
      </c>
      <c r="CS20" s="45">
        <v>18.99885329</v>
      </c>
      <c r="CT20" s="45">
        <v>25.633848990000001</v>
      </c>
      <c r="CU20" s="45">
        <v>17.984631950000001</v>
      </c>
      <c r="CV20" s="45">
        <v>18.022560300000002</v>
      </c>
      <c r="CW20" s="45">
        <v>24.075798389999999</v>
      </c>
      <c r="CX20" s="45">
        <v>15.95880666</v>
      </c>
      <c r="CY20" s="45">
        <v>20.168978469999999</v>
      </c>
      <c r="CZ20" s="45">
        <f t="shared" si="6"/>
        <v>238.52768491</v>
      </c>
      <c r="DA20" s="45">
        <f>DA21+DA22+DA23+DA24+DA25+DA26+DA27+DA28</f>
        <v>238.52768499999996</v>
      </c>
      <c r="DB20" s="45">
        <v>30.791952940000002</v>
      </c>
      <c r="DC20" s="45">
        <v>16.31607429</v>
      </c>
      <c r="DD20" s="45">
        <v>17.552814870000002</v>
      </c>
      <c r="DE20" s="45">
        <v>23.079772750000004</v>
      </c>
      <c r="DF20" s="45">
        <v>16.798563309999999</v>
      </c>
      <c r="DG20" s="45">
        <v>17.410198309999998</v>
      </c>
      <c r="DH20" s="45">
        <v>23.736335590000007</v>
      </c>
      <c r="DI20" s="45">
        <v>16.417432209999998</v>
      </c>
      <c r="DJ20" s="45">
        <v>16.717122379999999</v>
      </c>
      <c r="DK20" s="45">
        <v>23.352504409999998</v>
      </c>
      <c r="DL20" s="45">
        <v>14.48127582</v>
      </c>
      <c r="DM20" s="45">
        <v>15.907395449999999</v>
      </c>
      <c r="DN20" s="45">
        <f t="shared" si="7"/>
        <v>232.56144233000001</v>
      </c>
      <c r="DO20" s="45">
        <f>DO21+DO22+DO23+DO24+DO25+DO26+DO27+DO28</f>
        <v>232.56144300000003</v>
      </c>
      <c r="DP20" s="45">
        <v>26.42217273</v>
      </c>
      <c r="DQ20" s="45">
        <v>14.072942239999998</v>
      </c>
      <c r="DR20" s="45">
        <v>18.650573649999998</v>
      </c>
      <c r="DS20" s="45">
        <v>23.392942229999999</v>
      </c>
      <c r="DT20" s="45">
        <v>19.026968710000002</v>
      </c>
      <c r="DU20" s="45">
        <v>15.892339359999998</v>
      </c>
      <c r="DV20" s="45">
        <v>23.636323810000007</v>
      </c>
      <c r="DW20" s="45">
        <v>15.099181079999999</v>
      </c>
      <c r="DX20" s="45">
        <v>17.174831380000001</v>
      </c>
      <c r="DY20" s="45">
        <v>24.537194389999996</v>
      </c>
      <c r="DZ20" s="45">
        <v>12.79547524</v>
      </c>
      <c r="EA20" s="45">
        <v>15.280814950000003</v>
      </c>
      <c r="EB20" s="45">
        <f t="shared" si="10"/>
        <v>225.98175977</v>
      </c>
      <c r="EC20" s="45">
        <f>EC21+EC22+EC23+EC24+EC25+EC26+EC27+EC28</f>
        <v>225.98175999999998</v>
      </c>
      <c r="ED20" s="45">
        <v>27.791874570000004</v>
      </c>
      <c r="EE20" s="45">
        <v>16.616820969999999</v>
      </c>
      <c r="EF20" s="45">
        <v>19.582988390000001</v>
      </c>
      <c r="EG20" s="45">
        <v>23.036859270000004</v>
      </c>
      <c r="EH20" s="45">
        <v>13.578153990000001</v>
      </c>
      <c r="EI20" s="45">
        <v>14.82710848</v>
      </c>
      <c r="EJ20" s="45">
        <v>24.300942990000003</v>
      </c>
      <c r="EK20" s="45">
        <v>16.912376179999995</v>
      </c>
      <c r="EL20" s="45">
        <v>18.11222875</v>
      </c>
      <c r="EM20" s="45">
        <v>25.348148999999999</v>
      </c>
      <c r="EN20" s="45">
        <v>13.997247590000002</v>
      </c>
      <c r="EO20" s="45">
        <v>15.739316629999999</v>
      </c>
      <c r="EP20" s="45">
        <f t="shared" si="11"/>
        <v>229.84406681000004</v>
      </c>
      <c r="EQ20" s="45">
        <f>EQ21+EQ22+EQ23+EQ24+EQ25+EQ26+EQ27+EQ28</f>
        <v>229.844067</v>
      </c>
      <c r="ER20" s="45">
        <v>25.15731675</v>
      </c>
      <c r="ES20" s="45">
        <v>13.5849467</v>
      </c>
      <c r="ET20" s="45">
        <v>19.19859533</v>
      </c>
      <c r="EU20" s="45">
        <v>26.883847170000003</v>
      </c>
      <c r="EV20" s="45">
        <v>16.179418269999999</v>
      </c>
      <c r="EW20" s="45">
        <v>17.733364039999998</v>
      </c>
      <c r="EX20" s="45">
        <v>30.284359200000001</v>
      </c>
      <c r="EY20" s="45">
        <v>17.61075554</v>
      </c>
      <c r="EZ20" s="45">
        <v>20.124512620000001</v>
      </c>
      <c r="FA20" s="45">
        <v>30.459335199999995</v>
      </c>
      <c r="FB20" s="45">
        <v>16.946121460000001</v>
      </c>
      <c r="FC20" s="45">
        <v>20.340957360000001</v>
      </c>
      <c r="FD20" s="45">
        <f t="shared" si="12"/>
        <v>254.50352964000001</v>
      </c>
      <c r="FE20" s="45">
        <f>FE21+FE22+FE23+FE24+FE25+FE26+FE27+FE28</f>
        <v>254.50353000000004</v>
      </c>
      <c r="FF20" s="45">
        <v>37.249058179999992</v>
      </c>
      <c r="FG20" s="45">
        <v>16.627960259999998</v>
      </c>
      <c r="FH20" s="45">
        <v>21.888093810000008</v>
      </c>
      <c r="FI20" s="45">
        <v>32.369691909999993</v>
      </c>
      <c r="FJ20" s="45">
        <v>22.257966349999997</v>
      </c>
      <c r="FK20" s="45">
        <v>23.236251630000005</v>
      </c>
      <c r="FL20" s="45">
        <v>34.849491250000007</v>
      </c>
      <c r="FM20" s="45">
        <v>19.023332000000003</v>
      </c>
      <c r="FN20" s="45">
        <v>20.202392480000004</v>
      </c>
      <c r="FO20" s="45">
        <v>32.457007680000004</v>
      </c>
      <c r="FP20" s="45">
        <v>17.207875609999995</v>
      </c>
      <c r="FQ20" s="45">
        <v>22.224407939999995</v>
      </c>
      <c r="FR20" s="45">
        <f t="shared" si="13"/>
        <v>299.59352909999996</v>
      </c>
      <c r="FS20" s="45">
        <f>FS21+FS22+FS23+FS24+FS25+FS26+FS27+FS28</f>
        <v>299.59352799999999</v>
      </c>
      <c r="FT20" s="45">
        <v>38.313186990000005</v>
      </c>
      <c r="FU20" s="45">
        <v>17.607752070000004</v>
      </c>
      <c r="FV20" s="45">
        <v>23.386997400000002</v>
      </c>
      <c r="FW20" s="45">
        <v>32.133263539999994</v>
      </c>
      <c r="FX20" s="45">
        <v>17.442075879999997</v>
      </c>
      <c r="FY20" s="45">
        <v>19.878921080000001</v>
      </c>
      <c r="FZ20" s="45">
        <v>33.860848710000006</v>
      </c>
      <c r="GA20" s="45">
        <v>18.176983039999996</v>
      </c>
      <c r="GB20" s="45">
        <v>18.439278730000002</v>
      </c>
      <c r="GC20" s="45">
        <v>33.629283209999997</v>
      </c>
      <c r="GD20" s="45">
        <v>15.22366442</v>
      </c>
      <c r="GE20" s="45">
        <v>17.851786739999998</v>
      </c>
      <c r="GF20" s="45">
        <f t="shared" si="14"/>
        <v>285.94404180999999</v>
      </c>
      <c r="GG20" s="45">
        <f>GG21+GG22+GG23+GG24+GG25+GG26+GG27+GG28</f>
        <v>285.94404200000002</v>
      </c>
      <c r="GH20" s="45">
        <v>38.64385833</v>
      </c>
      <c r="GI20" s="45">
        <v>18.918715880000001</v>
      </c>
      <c r="GJ20" s="45">
        <v>22.723022769999993</v>
      </c>
      <c r="GK20" s="45">
        <v>36.170359079999997</v>
      </c>
      <c r="GL20" s="45">
        <v>19.050096500000002</v>
      </c>
      <c r="GM20" s="45">
        <v>20.183727129999998</v>
      </c>
      <c r="GN20" s="45">
        <v>36.34851329</v>
      </c>
      <c r="GO20" s="45">
        <v>16.699724770000003</v>
      </c>
      <c r="GP20" s="45">
        <v>20.018230490000004</v>
      </c>
      <c r="GQ20" s="45">
        <v>35.887031739999998</v>
      </c>
      <c r="GR20" s="45">
        <v>15.408890009999999</v>
      </c>
      <c r="GS20" s="45">
        <v>19.989629879999999</v>
      </c>
      <c r="GT20" s="45">
        <f t="shared" si="20"/>
        <v>300.04179986999998</v>
      </c>
      <c r="GU20" s="45">
        <f>GU21+GU22+GU23+GU24+GU25+GU26+GU27+GU28</f>
        <v>300.04180072999998</v>
      </c>
      <c r="GV20" s="45">
        <v>44.217273709999994</v>
      </c>
      <c r="GW20" s="45">
        <v>18.142156610000004</v>
      </c>
      <c r="GX20" s="45">
        <v>23.946704229999995</v>
      </c>
      <c r="GY20" s="45">
        <v>34.958372540000013</v>
      </c>
      <c r="GZ20" s="45">
        <v>18.637728750000001</v>
      </c>
      <c r="HA20" s="45">
        <v>21.279602570000002</v>
      </c>
      <c r="HB20" s="45">
        <v>37.607470729999996</v>
      </c>
      <c r="HC20" s="45">
        <v>16.824971399999999</v>
      </c>
      <c r="HD20" s="45">
        <v>22.027144799999995</v>
      </c>
      <c r="HE20" s="45">
        <v>37.11854074</v>
      </c>
      <c r="HF20" s="45">
        <v>16.411714289999999</v>
      </c>
      <c r="HG20" s="45">
        <v>28.363976510000001</v>
      </c>
      <c r="HH20" s="45">
        <f t="shared" si="15"/>
        <v>319.53565688000003</v>
      </c>
      <c r="HI20" s="45">
        <v>45.138351319999998</v>
      </c>
      <c r="HJ20" s="45">
        <v>17.682844200000002</v>
      </c>
      <c r="HK20" s="45">
        <v>23.241729850000006</v>
      </c>
      <c r="HL20" s="45">
        <v>34.136502620000002</v>
      </c>
      <c r="HM20" s="45"/>
      <c r="HN20" s="45"/>
      <c r="HO20" s="45"/>
      <c r="HP20" s="45"/>
      <c r="HQ20" s="45"/>
      <c r="HR20" s="45"/>
      <c r="HS20" s="45"/>
      <c r="HT20" s="45"/>
      <c r="HU20" s="283">
        <f t="shared" si="16"/>
        <v>121.26450699999999</v>
      </c>
      <c r="HV20" s="283">
        <f t="shared" si="17"/>
        <v>120.199428</v>
      </c>
      <c r="HW20" s="280">
        <f t="shared" si="21"/>
        <v>-1.0650789999999972</v>
      </c>
      <c r="HX20" s="280">
        <f t="shared" si="22"/>
        <v>-0.87831058431630993</v>
      </c>
    </row>
    <row r="21" spans="1:232" s="12" customFormat="1" ht="20.5">
      <c r="A21" s="77" t="s">
        <v>62</v>
      </c>
      <c r="B21" s="12" t="s">
        <v>63</v>
      </c>
      <c r="C21" s="77" t="s">
        <v>64</v>
      </c>
      <c r="D21" s="42">
        <v>10.831284397926021</v>
      </c>
      <c r="E21" s="42">
        <v>8.9672127648675879</v>
      </c>
      <c r="F21" s="42">
        <v>7.0369306378449759</v>
      </c>
      <c r="G21" s="42">
        <v>7.6427026596319889</v>
      </c>
      <c r="H21" s="42">
        <v>2.7793140050426577</v>
      </c>
      <c r="I21" s="42">
        <v>-0.62306133715801282</v>
      </c>
      <c r="J21" s="42">
        <v>3.096026772755989E-2</v>
      </c>
      <c r="K21" s="42">
        <v>2.1957956983739422</v>
      </c>
      <c r="L21" s="42">
        <v>-0.53829801765499341</v>
      </c>
      <c r="M21" s="42">
        <v>0.11949135178513498</v>
      </c>
      <c r="N21" s="42">
        <v>2.8416187158866486</v>
      </c>
      <c r="O21" s="42">
        <v>-1.2726450048662217</v>
      </c>
      <c r="P21" s="42">
        <v>0.15596809352251839</v>
      </c>
      <c r="Q21" s="42">
        <v>3.4912806415444417</v>
      </c>
      <c r="R21" s="42">
        <v>-1.490048434556434</v>
      </c>
      <c r="S21" s="42">
        <v>0.33673968844798835</v>
      </c>
      <c r="T21" s="42">
        <v>8.0271156680952309</v>
      </c>
      <c r="U21" s="42">
        <v>8.0271156680952309</v>
      </c>
      <c r="V21" s="42">
        <v>3.6458358233590018</v>
      </c>
      <c r="W21" s="42">
        <v>-1.37582028559883</v>
      </c>
      <c r="X21" s="42">
        <v>0.26710007342018544</v>
      </c>
      <c r="Y21" s="42">
        <v>3.0279409337453971</v>
      </c>
      <c r="Z21" s="42">
        <v>-1.062582170847064</v>
      </c>
      <c r="AA21" s="42">
        <v>0.26347886466212489</v>
      </c>
      <c r="AB21" s="42">
        <v>3.021745749881902</v>
      </c>
      <c r="AC21" s="42">
        <v>-1.3257337749927434</v>
      </c>
      <c r="AD21" s="42">
        <v>0.22826705596439403</v>
      </c>
      <c r="AE21" s="42">
        <v>3.3245456770308652</v>
      </c>
      <c r="AF21" s="42">
        <v>-1.4125118809796189</v>
      </c>
      <c r="AG21" s="42">
        <v>0.13627554766335992</v>
      </c>
      <c r="AH21" s="42">
        <v>8.7385416133089748</v>
      </c>
      <c r="AI21" s="42">
        <v>8.7385416133089748</v>
      </c>
      <c r="AJ21" s="42">
        <v>2.9534052168172065</v>
      </c>
      <c r="AK21" s="42">
        <v>3.5265877826534855E-2</v>
      </c>
      <c r="AL21" s="42">
        <v>-0.11444869408825221</v>
      </c>
      <c r="AM21" s="42">
        <v>2.7069125958304165</v>
      </c>
      <c r="AN21" s="42">
        <v>-0.94088821349906937</v>
      </c>
      <c r="AO21" s="42">
        <v>0.18378096880495842</v>
      </c>
      <c r="AP21" s="42">
        <v>3.0840746495466731</v>
      </c>
      <c r="AQ21" s="42">
        <v>-0.98337943437999797</v>
      </c>
      <c r="AR21" s="42">
        <v>-1.9948662785072367E-2</v>
      </c>
      <c r="AS21" s="42">
        <v>2.2909659022999302</v>
      </c>
      <c r="AT21" s="42">
        <v>7.5682551607560572E-3</v>
      </c>
      <c r="AU21" s="42">
        <v>0.24412638516570767</v>
      </c>
      <c r="AV21" s="42">
        <v>9.4474348466997906</v>
      </c>
      <c r="AW21" s="42">
        <v>9.4474348466997906</v>
      </c>
      <c r="AX21" s="42">
        <v>4.4177860000000004</v>
      </c>
      <c r="AY21" s="42">
        <v>-8.6440000000000003E-2</v>
      </c>
      <c r="AZ21" s="42">
        <v>-0.19642999999999999</v>
      </c>
      <c r="BA21" s="42">
        <v>3.3065000000000002</v>
      </c>
      <c r="BB21" s="42">
        <v>0.213477</v>
      </c>
      <c r="BC21" s="42">
        <v>0.13180500000000001</v>
      </c>
      <c r="BD21" s="42">
        <v>2.5556909999999999</v>
      </c>
      <c r="BE21" s="42">
        <v>-1.194585</v>
      </c>
      <c r="BF21" s="42">
        <v>0.27799345000000003</v>
      </c>
      <c r="BG21" s="42">
        <v>1.2915700000000071E-3</v>
      </c>
      <c r="BH21" s="42">
        <v>0.33906560999999996</v>
      </c>
      <c r="BI21" s="42">
        <v>0.27812045000000002</v>
      </c>
      <c r="BJ21" s="45">
        <f t="shared" si="1"/>
        <v>10.04427508</v>
      </c>
      <c r="BK21" s="42">
        <v>10.044275000000001</v>
      </c>
      <c r="BL21" s="42">
        <v>5.2625767100000003</v>
      </c>
      <c r="BM21" s="42">
        <v>-2.3531755700000003</v>
      </c>
      <c r="BN21" s="42">
        <v>0.13428249</v>
      </c>
      <c r="BO21" s="42">
        <v>3.7828635199999998</v>
      </c>
      <c r="BP21" s="42">
        <v>-1.5221914800000003</v>
      </c>
      <c r="BQ21" s="42">
        <v>0.32435016999999999</v>
      </c>
      <c r="BR21" s="42">
        <v>4.3997084299999996</v>
      </c>
      <c r="BS21" s="42">
        <v>-1.5705143200000002</v>
      </c>
      <c r="BT21" s="42">
        <v>0.22572956</v>
      </c>
      <c r="BU21" s="42">
        <v>4.4393341599999996</v>
      </c>
      <c r="BV21" s="42">
        <v>-2.0289561300000005</v>
      </c>
      <c r="BW21" s="42">
        <v>0.34006252000000003</v>
      </c>
      <c r="BX21" s="45">
        <f t="shared" si="4"/>
        <v>11.434070059999996</v>
      </c>
      <c r="BY21" s="45">
        <v>11.43407</v>
      </c>
      <c r="BZ21" s="45">
        <v>4.7399357800000006</v>
      </c>
      <c r="CA21" s="45">
        <v>-1.8023149700000001</v>
      </c>
      <c r="CB21" s="45">
        <v>0.24376579999999998</v>
      </c>
      <c r="CC21" s="45">
        <v>3.1163457499999998</v>
      </c>
      <c r="CD21" s="45">
        <v>-1.0772724899999999</v>
      </c>
      <c r="CE21" s="45">
        <v>0.24668946999999999</v>
      </c>
      <c r="CF21" s="45">
        <v>3.4443665499999998</v>
      </c>
      <c r="CG21" s="45">
        <v>-1.6071904600000002</v>
      </c>
      <c r="CH21" s="45">
        <v>0.30034574999999997</v>
      </c>
      <c r="CI21" s="45">
        <v>3.6154020200000003</v>
      </c>
      <c r="CJ21" s="45">
        <v>-1.7561342899999999</v>
      </c>
      <c r="CK21" s="45">
        <v>0.35132799999999997</v>
      </c>
      <c r="CL21" s="45">
        <f t="shared" si="5"/>
        <v>9.8152669099999983</v>
      </c>
      <c r="CM21" s="45">
        <v>9.8152670000000004</v>
      </c>
      <c r="CN21" s="45">
        <v>4.2821553699999999</v>
      </c>
      <c r="CO21" s="45">
        <v>-1.5832393199999999</v>
      </c>
      <c r="CP21" s="45">
        <v>0.36673520999999998</v>
      </c>
      <c r="CQ21" s="45">
        <v>5.4322675599999997</v>
      </c>
      <c r="CR21" s="45">
        <v>-1.32690548</v>
      </c>
      <c r="CS21" s="45">
        <v>0.41886071000000008</v>
      </c>
      <c r="CT21" s="45">
        <v>5.9943001499999999</v>
      </c>
      <c r="CU21" s="45">
        <v>-1.6504093399999999</v>
      </c>
      <c r="CV21" s="45">
        <v>0.34065957000000002</v>
      </c>
      <c r="CW21" s="45">
        <v>5.6207902800000005</v>
      </c>
      <c r="CX21" s="45">
        <v>-1.6878847699999999</v>
      </c>
      <c r="CY21" s="45">
        <v>0.43804921000000002</v>
      </c>
      <c r="CZ21" s="45">
        <f t="shared" si="6"/>
        <v>16.64537915</v>
      </c>
      <c r="DA21" s="45">
        <v>16.645378999999998</v>
      </c>
      <c r="DB21" s="45">
        <v>8.0372797299999998</v>
      </c>
      <c r="DC21" s="45">
        <v>-2.5431130499999997</v>
      </c>
      <c r="DD21" s="45">
        <v>0.29462558</v>
      </c>
      <c r="DE21" s="45">
        <v>5.9139779800000003</v>
      </c>
      <c r="DF21" s="45">
        <v>-1.56677972</v>
      </c>
      <c r="DG21" s="45">
        <v>0.31851378999999991</v>
      </c>
      <c r="DH21" s="45">
        <v>6.3102488900000004</v>
      </c>
      <c r="DI21" s="45">
        <v>-1.7936043400000001</v>
      </c>
      <c r="DJ21" s="45">
        <v>0.34034881000000006</v>
      </c>
      <c r="DK21" s="45">
        <v>5.1740194500000003</v>
      </c>
      <c r="DL21" s="45">
        <v>-2.0743138000000001</v>
      </c>
      <c r="DM21" s="45">
        <v>0.35230646999999998</v>
      </c>
      <c r="DN21" s="45">
        <f t="shared" si="7"/>
        <v>18.763509790000001</v>
      </c>
      <c r="DO21" s="45">
        <v>18.76351</v>
      </c>
      <c r="DP21" s="45">
        <v>6.6248823400000001</v>
      </c>
      <c r="DQ21" s="45">
        <v>-2.6813204700000002</v>
      </c>
      <c r="DR21" s="45">
        <v>0.36313689000000005</v>
      </c>
      <c r="DS21" s="45">
        <v>5.4458154299999997</v>
      </c>
      <c r="DT21" s="45">
        <v>-1.0111526899999999</v>
      </c>
      <c r="DU21" s="45">
        <v>0.34976589000000002</v>
      </c>
      <c r="DV21" s="45">
        <v>6.2634605900000002</v>
      </c>
      <c r="DW21" s="45">
        <v>-2.1024753299999999</v>
      </c>
      <c r="DX21" s="45">
        <v>0.49722879000000003</v>
      </c>
      <c r="DY21" s="45">
        <v>6.3999080600000005</v>
      </c>
      <c r="DZ21" s="45">
        <v>-2.6558197999999997</v>
      </c>
      <c r="EA21" s="45">
        <v>9.7021049999999984E-2</v>
      </c>
      <c r="EB21" s="45">
        <f t="shared" si="10"/>
        <v>17.590450749999999</v>
      </c>
      <c r="EC21" s="45">
        <v>17.590451000000002</v>
      </c>
      <c r="ED21" s="45">
        <v>7.1398055600000001</v>
      </c>
      <c r="EE21" s="45">
        <v>-1.9503630499999998</v>
      </c>
      <c r="EF21" s="45">
        <v>0.33784378999999998</v>
      </c>
      <c r="EG21" s="45">
        <v>7.4132658300000003</v>
      </c>
      <c r="EH21" s="45">
        <v>-0.82594946999999996</v>
      </c>
      <c r="EI21" s="45">
        <v>0.41699642999999997</v>
      </c>
      <c r="EJ21" s="45">
        <v>7.0220473199999995</v>
      </c>
      <c r="EK21" s="45">
        <v>-0.74256704000000007</v>
      </c>
      <c r="EL21" s="45">
        <v>0.51143798000000007</v>
      </c>
      <c r="EM21" s="45">
        <v>7.4115789900000006</v>
      </c>
      <c r="EN21" s="45">
        <v>-1.0569351299999998</v>
      </c>
      <c r="EO21" s="45">
        <v>0.79556311999999996</v>
      </c>
      <c r="EP21" s="45">
        <f t="shared" si="11"/>
        <v>26.472724330000002</v>
      </c>
      <c r="EQ21" s="45">
        <v>26.472723999999999</v>
      </c>
      <c r="ER21" s="45">
        <v>7.7728837000000004</v>
      </c>
      <c r="ES21" s="45">
        <v>-0.94323964999999999</v>
      </c>
      <c r="ET21" s="45">
        <v>1.1016128500000002</v>
      </c>
      <c r="EU21" s="45">
        <v>8.777343440000001</v>
      </c>
      <c r="EV21" s="45">
        <v>-0.41164245999999999</v>
      </c>
      <c r="EW21" s="45">
        <v>0.42733345</v>
      </c>
      <c r="EX21" s="45">
        <v>11.538093999999999</v>
      </c>
      <c r="EY21" s="45">
        <v>-1.8273900000000003</v>
      </c>
      <c r="EZ21" s="45">
        <v>0.41803526000000002</v>
      </c>
      <c r="FA21" s="45">
        <v>10.23354127</v>
      </c>
      <c r="FB21" s="45">
        <v>-1.62457798</v>
      </c>
      <c r="FC21" s="45">
        <v>0.81924886999999991</v>
      </c>
      <c r="FD21" s="45">
        <f t="shared" si="12"/>
        <v>36.281242750000004</v>
      </c>
      <c r="FE21" s="45">
        <v>36.281243000000003</v>
      </c>
      <c r="FF21" s="45">
        <v>12.311961719999999</v>
      </c>
      <c r="FG21" s="45">
        <v>-1.2741731900000002</v>
      </c>
      <c r="FH21" s="45">
        <v>0.45107066999999995</v>
      </c>
      <c r="FI21" s="45">
        <v>11.21992784</v>
      </c>
      <c r="FJ21" s="45">
        <v>-1.4670345500000002</v>
      </c>
      <c r="FK21" s="45">
        <v>0.32202741000000007</v>
      </c>
      <c r="FL21" s="45">
        <v>13.464576020000001</v>
      </c>
      <c r="FM21" s="45">
        <v>-2.03863021</v>
      </c>
      <c r="FN21" s="45">
        <v>0.32493687999999993</v>
      </c>
      <c r="FO21" s="45">
        <v>13.167801909999998</v>
      </c>
      <c r="FP21" s="45">
        <v>-2.3529704200000001</v>
      </c>
      <c r="FQ21" s="45">
        <v>0.19531230000000002</v>
      </c>
      <c r="FR21" s="45">
        <f t="shared" si="13"/>
        <v>44.324806379999991</v>
      </c>
      <c r="FS21" s="45">
        <v>44.324807</v>
      </c>
      <c r="FT21" s="45">
        <v>14.642445390000001</v>
      </c>
      <c r="FU21" s="45">
        <v>-1.7541752400000004</v>
      </c>
      <c r="FV21" s="45">
        <v>0.23423492000000001</v>
      </c>
      <c r="FW21" s="45">
        <v>14.105309309999999</v>
      </c>
      <c r="FX21" s="45">
        <v>-1.9767875099999999</v>
      </c>
      <c r="FY21" s="45">
        <v>0.37069960000000002</v>
      </c>
      <c r="FZ21" s="45">
        <v>14.341495570000001</v>
      </c>
      <c r="GA21" s="45">
        <v>-2.4643908100000003</v>
      </c>
      <c r="GB21" s="45">
        <v>0.32278379999999995</v>
      </c>
      <c r="GC21" s="45">
        <v>14.281098910000001</v>
      </c>
      <c r="GD21" s="45">
        <v>-2.6288067399999995</v>
      </c>
      <c r="GE21" s="45">
        <v>0.36178299999999997</v>
      </c>
      <c r="GF21" s="45">
        <f t="shared" si="14"/>
        <v>49.835690200000002</v>
      </c>
      <c r="GG21" s="45">
        <v>49.835690999999997</v>
      </c>
      <c r="GH21" s="45">
        <v>15.474755779999999</v>
      </c>
      <c r="GI21" s="45">
        <v>-1.6159047800000006</v>
      </c>
      <c r="GJ21" s="45">
        <v>0.67809754</v>
      </c>
      <c r="GK21" s="45">
        <v>13.935405849999999</v>
      </c>
      <c r="GL21" s="45">
        <v>-2.3126857499999995</v>
      </c>
      <c r="GM21" s="45">
        <v>0.57125124999999999</v>
      </c>
      <c r="GN21" s="45">
        <v>14.332861339999999</v>
      </c>
      <c r="GO21" s="45">
        <v>-3.2539792500000004</v>
      </c>
      <c r="GP21" s="45">
        <v>0.64161565999999992</v>
      </c>
      <c r="GQ21" s="45">
        <v>14.1320614</v>
      </c>
      <c r="GR21" s="45">
        <v>-4.05727013</v>
      </c>
      <c r="GS21" s="45">
        <v>0.56326843999999998</v>
      </c>
      <c r="GT21" s="45">
        <f>SUM(GH21:GS21)</f>
        <v>49.089477349999996</v>
      </c>
      <c r="GU21" s="45">
        <v>49.089478</v>
      </c>
      <c r="GV21" s="45">
        <v>14.509894489999999</v>
      </c>
      <c r="GW21" s="45">
        <v>-3.1018273000000001</v>
      </c>
      <c r="GX21" s="45">
        <v>0.92508538000000018</v>
      </c>
      <c r="GY21" s="45">
        <v>11.64463276</v>
      </c>
      <c r="GZ21" s="45">
        <v>-3.2263214099999997</v>
      </c>
      <c r="HA21" s="45">
        <v>0.64019007000000006</v>
      </c>
      <c r="HB21" s="45">
        <v>12.928481250000001</v>
      </c>
      <c r="HC21" s="45">
        <v>-3.8679617999999998</v>
      </c>
      <c r="HD21" s="45">
        <v>0.66357655999999998</v>
      </c>
      <c r="HE21" s="45">
        <v>14.89708559</v>
      </c>
      <c r="HF21" s="45">
        <v>-4.4048975000000006</v>
      </c>
      <c r="HG21" s="45">
        <v>0.50622490999999992</v>
      </c>
      <c r="HH21" s="45">
        <f t="shared" si="15"/>
        <v>42.114162999999991</v>
      </c>
      <c r="HI21" s="45">
        <v>15.067167590000002</v>
      </c>
      <c r="HJ21" s="45">
        <v>-4.2027785899999994</v>
      </c>
      <c r="HK21" s="45">
        <v>0.64766780000000002</v>
      </c>
      <c r="HL21" s="45">
        <v>10.909546240000001</v>
      </c>
      <c r="HM21" s="45"/>
      <c r="HN21" s="45"/>
      <c r="HO21" s="45"/>
      <c r="HP21" s="45"/>
      <c r="HQ21" s="45"/>
      <c r="HR21" s="45"/>
      <c r="HS21" s="45"/>
      <c r="HT21" s="45"/>
      <c r="HU21" s="283">
        <f t="shared" si="16"/>
        <v>23.977785000000001</v>
      </c>
      <c r="HV21" s="283">
        <f t="shared" si="17"/>
        <v>22.421603000000001</v>
      </c>
      <c r="HW21" s="280">
        <f t="shared" si="21"/>
        <v>-1.5561819999999997</v>
      </c>
      <c r="HX21" s="280">
        <f t="shared" si="22"/>
        <v>-6.4900990646133465</v>
      </c>
    </row>
    <row r="22" spans="1:232" s="12" customFormat="1" ht="20.5">
      <c r="A22" s="77" t="s">
        <v>65</v>
      </c>
      <c r="B22" s="12" t="s">
        <v>66</v>
      </c>
      <c r="C22" s="77" t="s">
        <v>67</v>
      </c>
      <c r="D22" s="42">
        <v>31.844290869147017</v>
      </c>
      <c r="E22" s="42">
        <v>30.653035554720805</v>
      </c>
      <c r="F22" s="42">
        <v>22.03088912413703</v>
      </c>
      <c r="G22" s="42">
        <v>16.53653792522524</v>
      </c>
      <c r="H22" s="42">
        <v>1.3688297163931906</v>
      </c>
      <c r="I22" s="42">
        <v>1.3820040864878402</v>
      </c>
      <c r="J22" s="42">
        <v>1.3393207779124763</v>
      </c>
      <c r="K22" s="42">
        <v>1.3678465119720433</v>
      </c>
      <c r="L22" s="42">
        <v>1.2031619057375882</v>
      </c>
      <c r="M22" s="42">
        <v>1.5784955691771816</v>
      </c>
      <c r="N22" s="42">
        <v>1.4951238183049615</v>
      </c>
      <c r="O22" s="42">
        <v>1.5396198655670712</v>
      </c>
      <c r="P22" s="42">
        <v>1.5068397447937123</v>
      </c>
      <c r="Q22" s="42">
        <v>1.5309417703940218</v>
      </c>
      <c r="R22" s="42">
        <v>1.5406301045526207</v>
      </c>
      <c r="S22" s="42">
        <v>1.5630175696211177</v>
      </c>
      <c r="T22" s="42">
        <v>17.415831440913827</v>
      </c>
      <c r="U22" s="42">
        <v>17.415831440913824</v>
      </c>
      <c r="V22" s="42">
        <v>1.5986121308359087</v>
      </c>
      <c r="W22" s="42">
        <v>1.7784076356992844</v>
      </c>
      <c r="X22" s="42">
        <v>1.7609603815573045</v>
      </c>
      <c r="Y22" s="42">
        <v>1.7918324312326053</v>
      </c>
      <c r="Z22" s="42">
        <v>1.7790237391932886</v>
      </c>
      <c r="AA22" s="42">
        <v>1.784254215969175</v>
      </c>
      <c r="AB22" s="42">
        <v>1.765302986323356</v>
      </c>
      <c r="AC22" s="42">
        <v>1.7744591664247786</v>
      </c>
      <c r="AD22" s="42">
        <v>1.7925381756506793</v>
      </c>
      <c r="AE22" s="42">
        <v>1.8032467088975019</v>
      </c>
      <c r="AF22" s="42">
        <v>1.8506539518841667</v>
      </c>
      <c r="AG22" s="42">
        <v>1.8447760684344428</v>
      </c>
      <c r="AH22" s="42">
        <v>21.324067592102487</v>
      </c>
      <c r="AI22" s="42">
        <v>21.324067592102494</v>
      </c>
      <c r="AJ22" s="42">
        <v>1.8503850291119572</v>
      </c>
      <c r="AK22" s="42">
        <v>1.8525819431875743</v>
      </c>
      <c r="AL22" s="42">
        <v>1.8597660229594595</v>
      </c>
      <c r="AM22" s="42">
        <v>1.8880043369132788</v>
      </c>
      <c r="AN22" s="42">
        <v>1.8708388113898042</v>
      </c>
      <c r="AO22" s="42">
        <v>1.864936739119299</v>
      </c>
      <c r="AP22" s="42">
        <v>1.8427015213345397</v>
      </c>
      <c r="AQ22" s="42">
        <v>2.1717733535950279</v>
      </c>
      <c r="AR22" s="42">
        <v>1.7079712124575273</v>
      </c>
      <c r="AS22" s="42">
        <v>1.7140369149862551</v>
      </c>
      <c r="AT22" s="42">
        <v>1.8629134154045794</v>
      </c>
      <c r="AU22" s="42">
        <v>1.8871520366987098</v>
      </c>
      <c r="AV22" s="42">
        <v>22.373061337158013</v>
      </c>
      <c r="AW22" s="42">
        <v>22.373061337158013</v>
      </c>
      <c r="AX22" s="42">
        <v>1.9080010000000001</v>
      </c>
      <c r="AY22" s="42">
        <v>1.9009670000000001</v>
      </c>
      <c r="AZ22" s="42">
        <v>1.8734379999999999</v>
      </c>
      <c r="BA22" s="42">
        <v>1.920309</v>
      </c>
      <c r="BB22" s="42">
        <v>2.7944439999999999</v>
      </c>
      <c r="BC22" s="42">
        <v>1.423424</v>
      </c>
      <c r="BD22" s="42">
        <v>1.5476840000000001</v>
      </c>
      <c r="BE22" s="42">
        <v>1.9434560000000001</v>
      </c>
      <c r="BF22" s="42">
        <v>1.9535947499999999</v>
      </c>
      <c r="BG22" s="42">
        <v>1.9553128200000001</v>
      </c>
      <c r="BH22" s="42">
        <v>1.9827270100000003</v>
      </c>
      <c r="BI22" s="42">
        <v>1.9884799200000001</v>
      </c>
      <c r="BJ22" s="45">
        <f t="shared" si="1"/>
        <v>23.191837500000002</v>
      </c>
      <c r="BK22" s="42">
        <f>21.061904+2.129934</f>
        <v>23.191837999999997</v>
      </c>
      <c r="BL22" s="42">
        <v>2.0154242099999999</v>
      </c>
      <c r="BM22" s="42">
        <v>2.0046467099999998</v>
      </c>
      <c r="BN22" s="42">
        <v>1.97405652</v>
      </c>
      <c r="BO22" s="42">
        <v>1.98831153</v>
      </c>
      <c r="BP22" s="42">
        <v>2.00442155</v>
      </c>
      <c r="BQ22" s="42">
        <v>2.0555592699999998</v>
      </c>
      <c r="BR22" s="42">
        <v>1.99528269</v>
      </c>
      <c r="BS22" s="42">
        <v>2.0107218899999997</v>
      </c>
      <c r="BT22" s="42">
        <v>2.0321979199999998</v>
      </c>
      <c r="BU22" s="42">
        <v>2.0817319599999999</v>
      </c>
      <c r="BV22" s="42">
        <v>2.0875225300000002</v>
      </c>
      <c r="BW22" s="42">
        <v>2.1541290000000002</v>
      </c>
      <c r="BX22" s="45">
        <f t="shared" si="4"/>
        <v>24.404005780000002</v>
      </c>
      <c r="BY22" s="45">
        <f>21.993503+2.410503</f>
        <v>24.404005999999999</v>
      </c>
      <c r="BZ22" s="45">
        <v>2.1615460099999999</v>
      </c>
      <c r="CA22" s="45">
        <v>2.1887050600000002</v>
      </c>
      <c r="CB22" s="45">
        <v>2.1660352500000002</v>
      </c>
      <c r="CC22" s="45">
        <v>2.2219547500000001</v>
      </c>
      <c r="CD22" s="45">
        <v>2.19888219</v>
      </c>
      <c r="CE22" s="45">
        <v>2.1796292800000003</v>
      </c>
      <c r="CF22" s="45">
        <v>2.2178935600000003</v>
      </c>
      <c r="CG22" s="45">
        <v>2.2230927899999999</v>
      </c>
      <c r="CH22" s="45">
        <v>2.2226479599999998</v>
      </c>
      <c r="CI22" s="45">
        <v>2.2443880299999996</v>
      </c>
      <c r="CJ22" s="45">
        <v>2.33862397</v>
      </c>
      <c r="CK22" s="45">
        <v>2.1565012800000001</v>
      </c>
      <c r="CL22" s="45">
        <f t="shared" si="5"/>
        <v>26.51990013</v>
      </c>
      <c r="CM22" s="45">
        <v>26.5199</v>
      </c>
      <c r="CN22" s="45">
        <v>2.3725216099999997</v>
      </c>
      <c r="CO22" s="45">
        <v>2.3343247699999998</v>
      </c>
      <c r="CP22" s="45">
        <v>2.2995924700000003</v>
      </c>
      <c r="CQ22" s="45">
        <v>2.3736972999999999</v>
      </c>
      <c r="CR22" s="45">
        <v>2.3244687400000004</v>
      </c>
      <c r="CS22" s="45">
        <v>2.3335228099999998</v>
      </c>
      <c r="CT22" s="45">
        <v>2.2966624900000001</v>
      </c>
      <c r="CU22" s="45">
        <v>2.3101290099999998</v>
      </c>
      <c r="CV22" s="45">
        <v>2.3325806600000001</v>
      </c>
      <c r="CW22" s="45">
        <v>2.3444512500000001</v>
      </c>
      <c r="CX22" s="45">
        <v>2.3750836800000004</v>
      </c>
      <c r="CY22" s="45">
        <v>2.3714077199999997</v>
      </c>
      <c r="CZ22" s="45">
        <f t="shared" si="6"/>
        <v>28.068442510000001</v>
      </c>
      <c r="DA22" s="45">
        <v>28.068442000000001</v>
      </c>
      <c r="DB22" s="45">
        <v>2.45800733</v>
      </c>
      <c r="DC22" s="45">
        <v>2.9463069899999996</v>
      </c>
      <c r="DD22" s="45">
        <v>2.83869529</v>
      </c>
      <c r="DE22" s="45">
        <v>2.9996442600000002</v>
      </c>
      <c r="DF22" s="45">
        <v>2.8981698300000001</v>
      </c>
      <c r="DG22" s="45">
        <v>2.9180104999999998</v>
      </c>
      <c r="DH22" s="45">
        <v>2.9501149899999999</v>
      </c>
      <c r="DI22" s="45">
        <v>2.9527538</v>
      </c>
      <c r="DJ22" s="45">
        <v>2.9487968100000002</v>
      </c>
      <c r="DK22" s="45">
        <v>2.9352257100000001</v>
      </c>
      <c r="DL22" s="45">
        <v>3.0697557200000003</v>
      </c>
      <c r="DM22" s="45">
        <v>3.04348967</v>
      </c>
      <c r="DN22" s="45">
        <f t="shared" si="7"/>
        <v>34.958970900000004</v>
      </c>
      <c r="DO22" s="45">
        <f>31.962198+2.996773</f>
        <v>34.958970999999998</v>
      </c>
      <c r="DP22" s="45">
        <v>3.0837958400000001</v>
      </c>
      <c r="DQ22" s="45">
        <v>3.2525818599999998</v>
      </c>
      <c r="DR22" s="45">
        <v>3.0282611199999998</v>
      </c>
      <c r="DS22" s="45">
        <v>3.0840931600000001</v>
      </c>
      <c r="DT22" s="45">
        <v>5.3145508600000007</v>
      </c>
      <c r="DU22" s="45">
        <v>2.2846968499999996</v>
      </c>
      <c r="DV22" s="45">
        <v>1.9034113500000001</v>
      </c>
      <c r="DW22" s="45">
        <v>2.83071027</v>
      </c>
      <c r="DX22" s="45">
        <v>2.9689414000000003</v>
      </c>
      <c r="DY22" s="45">
        <v>3.1014153700000002</v>
      </c>
      <c r="DZ22" s="45">
        <v>3.2099051700000003</v>
      </c>
      <c r="EA22" s="45">
        <v>3.2281670299999998</v>
      </c>
      <c r="EB22" s="45">
        <f t="shared" si="10"/>
        <v>37.290530280000006</v>
      </c>
      <c r="EC22" s="45">
        <v>37.290529999999997</v>
      </c>
      <c r="ED22" s="45">
        <v>3.2373437000000003</v>
      </c>
      <c r="EE22" s="45">
        <v>4.5042030199999994</v>
      </c>
      <c r="EF22" s="45">
        <v>4.2969932100000001</v>
      </c>
      <c r="EG22" s="45">
        <v>2.3521282400000003</v>
      </c>
      <c r="EH22" s="45">
        <v>0.40899111999999999</v>
      </c>
      <c r="EI22" s="45">
        <v>0.30137730000000001</v>
      </c>
      <c r="EJ22" s="45">
        <v>1.48863356</v>
      </c>
      <c r="EK22" s="45">
        <v>3.8499309100000003</v>
      </c>
      <c r="EL22" s="45">
        <v>3.7693826800000001</v>
      </c>
      <c r="EM22" s="45">
        <v>3.6620659900000003</v>
      </c>
      <c r="EN22" s="45">
        <v>2.4950607000000002</v>
      </c>
      <c r="EO22" s="45">
        <v>1.2704168200000001</v>
      </c>
      <c r="EP22" s="45">
        <f t="shared" si="11"/>
        <v>31.636527250000004</v>
      </c>
      <c r="EQ22" s="45">
        <v>31.636527000000001</v>
      </c>
      <c r="ER22" s="45">
        <v>1.16969992</v>
      </c>
      <c r="ES22" s="45">
        <v>0.93958945999999999</v>
      </c>
      <c r="ET22" s="45">
        <v>1.04082963</v>
      </c>
      <c r="EU22" s="45">
        <v>1.2711788500000001</v>
      </c>
      <c r="EV22" s="45">
        <v>1.1316505299999999</v>
      </c>
      <c r="EW22" s="45">
        <v>1.4734425999999998</v>
      </c>
      <c r="EX22" s="45">
        <v>1.2467674900000001</v>
      </c>
      <c r="EY22" s="45">
        <v>2.4986949900000002</v>
      </c>
      <c r="EZ22" s="45">
        <v>3.0609552</v>
      </c>
      <c r="FA22" s="45">
        <v>2.7464054199999999</v>
      </c>
      <c r="FB22" s="45">
        <v>1.89970963</v>
      </c>
      <c r="FC22" s="45">
        <v>1.45210777</v>
      </c>
      <c r="FD22" s="45">
        <f t="shared" si="12"/>
        <v>19.931031490000002</v>
      </c>
      <c r="FE22" s="45">
        <v>19.931031999999998</v>
      </c>
      <c r="FF22" s="45">
        <v>1.38740058</v>
      </c>
      <c r="FG22" s="45">
        <v>1.4302328600000001</v>
      </c>
      <c r="FH22" s="45">
        <v>1.60543718</v>
      </c>
      <c r="FI22" s="45">
        <v>3.4170199500000003</v>
      </c>
      <c r="FJ22" s="45">
        <v>3.6941522600000001</v>
      </c>
      <c r="FK22" s="45">
        <v>3.8704764599999999</v>
      </c>
      <c r="FL22" s="45">
        <v>3.6912420399999997</v>
      </c>
      <c r="FM22" s="45">
        <v>3.8218254799999998</v>
      </c>
      <c r="FN22" s="45">
        <v>3.7806965299999997</v>
      </c>
      <c r="FO22" s="45">
        <v>3.7782542100000001</v>
      </c>
      <c r="FP22" s="45">
        <v>4.0195576099999997</v>
      </c>
      <c r="FQ22" s="45">
        <v>4.0191933799999999</v>
      </c>
      <c r="FR22" s="45">
        <f t="shared" si="13"/>
        <v>38.51548854</v>
      </c>
      <c r="FS22" s="45">
        <f>34.246556+4.268933</f>
        <v>38.515488999999995</v>
      </c>
      <c r="FT22" s="45">
        <v>4.01550399</v>
      </c>
      <c r="FU22" s="45">
        <v>3.9873497599999994</v>
      </c>
      <c r="FV22" s="45">
        <v>4.27239945</v>
      </c>
      <c r="FW22" s="45">
        <v>3.9839400000000005</v>
      </c>
      <c r="FX22" s="45">
        <v>3.8542229400000001</v>
      </c>
      <c r="FY22" s="45">
        <v>3.6382235600000001</v>
      </c>
      <c r="FZ22" s="45">
        <v>3.7175256399999999</v>
      </c>
      <c r="GA22" s="45">
        <v>3.91134395</v>
      </c>
      <c r="GB22" s="45">
        <v>3.8403563099999998</v>
      </c>
      <c r="GC22" s="45">
        <v>3.8946503499999996</v>
      </c>
      <c r="GD22" s="45">
        <v>3.67068371</v>
      </c>
      <c r="GE22" s="45">
        <v>3.64251251</v>
      </c>
      <c r="GF22" s="45">
        <f t="shared" si="14"/>
        <v>46.428712169999997</v>
      </c>
      <c r="GG22" s="45">
        <f>41.81897+4.609743</f>
        <v>46.428713000000002</v>
      </c>
      <c r="GH22" s="45">
        <v>4.2385041899999996</v>
      </c>
      <c r="GI22" s="45">
        <v>4.4987883500000008</v>
      </c>
      <c r="GJ22" s="45">
        <v>4.3208153099999995</v>
      </c>
      <c r="GK22" s="45">
        <v>4.4976907099999996</v>
      </c>
      <c r="GL22" s="45">
        <v>4.5176877599999994</v>
      </c>
      <c r="GM22" s="45">
        <v>4.5320917200000004</v>
      </c>
      <c r="GN22" s="45">
        <v>4.5340605700000003</v>
      </c>
      <c r="GO22" s="45">
        <v>4.2088040600000003</v>
      </c>
      <c r="GP22" s="45">
        <v>4.2461534200000006</v>
      </c>
      <c r="GQ22" s="45">
        <v>4.4870528800000002</v>
      </c>
      <c r="GR22" s="45">
        <v>4.2986727499999997</v>
      </c>
      <c r="GS22" s="45">
        <v>4.5411490099999998</v>
      </c>
      <c r="GT22" s="45">
        <f t="shared" si="20"/>
        <v>52.921470730000003</v>
      </c>
      <c r="GU22" s="45">
        <v>52.921470730000003</v>
      </c>
      <c r="GV22" s="45">
        <v>4.51163911</v>
      </c>
      <c r="GW22" s="45">
        <v>4.2499566499999997</v>
      </c>
      <c r="GX22" s="45">
        <v>4.34599504</v>
      </c>
      <c r="GY22" s="45">
        <v>4.7350130200000002</v>
      </c>
      <c r="GZ22" s="45">
        <v>4.64949426</v>
      </c>
      <c r="HA22" s="45">
        <v>4.4915832599999996</v>
      </c>
      <c r="HB22" s="45">
        <v>4.4055563600000003</v>
      </c>
      <c r="HC22" s="45">
        <v>4.3489226799999994</v>
      </c>
      <c r="HD22" s="45">
        <v>4.5264193800000001</v>
      </c>
      <c r="HE22" s="45">
        <v>4.4234758100000002</v>
      </c>
      <c r="HF22" s="45">
        <v>4.6740611100000002</v>
      </c>
      <c r="HG22" s="45">
        <v>4.4045069699999999</v>
      </c>
      <c r="HH22" s="45">
        <f t="shared" si="15"/>
        <v>53.76662365</v>
      </c>
      <c r="HI22" s="45">
        <v>4.7728005200000005</v>
      </c>
      <c r="HJ22" s="45">
        <v>5.2663269099999992</v>
      </c>
      <c r="HK22" s="45">
        <v>5.1128513599999996</v>
      </c>
      <c r="HL22" s="45">
        <v>5.4285691900000002</v>
      </c>
      <c r="HM22" s="45"/>
      <c r="HN22" s="45"/>
      <c r="HO22" s="45"/>
      <c r="HP22" s="45"/>
      <c r="HQ22" s="45"/>
      <c r="HR22" s="45"/>
      <c r="HS22" s="45"/>
      <c r="HT22" s="45"/>
      <c r="HU22" s="283">
        <f t="shared" si="16"/>
        <v>17.842604000000001</v>
      </c>
      <c r="HV22" s="283">
        <f t="shared" si="17"/>
        <v>20.580548</v>
      </c>
      <c r="HW22" s="280">
        <f t="shared" si="21"/>
        <v>2.7379439999999988</v>
      </c>
      <c r="HX22" s="280">
        <f t="shared" si="22"/>
        <v>15.344979914366746</v>
      </c>
    </row>
    <row r="23" spans="1:232" s="12" customFormat="1" ht="21" hidden="1" customHeight="1">
      <c r="A23" s="77" t="s">
        <v>68</v>
      </c>
      <c r="B23" s="12" t="s">
        <v>69</v>
      </c>
      <c r="C23" s="77" t="s">
        <v>70</v>
      </c>
      <c r="D23" s="42">
        <v>23.767418796705769</v>
      </c>
      <c r="E23" s="42">
        <v>13.546618972003575</v>
      </c>
      <c r="F23" s="42">
        <v>3.7451209725613404</v>
      </c>
      <c r="G23" s="42">
        <v>5.0536223470555086</v>
      </c>
      <c r="H23" s="42">
        <v>0.4193245912089284</v>
      </c>
      <c r="I23" s="42">
        <v>0.43676330812004482</v>
      </c>
      <c r="J23" s="42">
        <v>0.51501272047398705</v>
      </c>
      <c r="K23" s="42">
        <v>0.56403634583753082</v>
      </c>
      <c r="L23" s="42">
        <v>0.69377237465922226</v>
      </c>
      <c r="M23" s="42">
        <v>0.65811662995657405</v>
      </c>
      <c r="N23" s="42">
        <v>0.70974553360538639</v>
      </c>
      <c r="O23" s="42">
        <v>0.78382735442598495</v>
      </c>
      <c r="P23" s="42">
        <v>0.69745761264876127</v>
      </c>
      <c r="Q23" s="42">
        <v>0.75470401420595223</v>
      </c>
      <c r="R23" s="42">
        <v>0.74603587913557701</v>
      </c>
      <c r="S23" s="42">
        <v>0.77744862009891813</v>
      </c>
      <c r="T23" s="42">
        <v>7.7562449843768668</v>
      </c>
      <c r="U23" s="42">
        <v>7.7562449843768686</v>
      </c>
      <c r="V23" s="42">
        <v>0.60600679563576765</v>
      </c>
      <c r="W23" s="42">
        <v>0.52998417766546579</v>
      </c>
      <c r="X23" s="42">
        <v>0.69618556525005548</v>
      </c>
      <c r="Y23" s="42">
        <v>0.75571425319150154</v>
      </c>
      <c r="Z23" s="42">
        <v>0.81453861958668416</v>
      </c>
      <c r="AA23" s="42">
        <v>0.78507663587572074</v>
      </c>
      <c r="AB23" s="42">
        <v>0.89026385734856384</v>
      </c>
      <c r="AC23" s="42">
        <v>0.8396921474550515</v>
      </c>
      <c r="AD23" s="42">
        <v>0.73947928583218081</v>
      </c>
      <c r="AE23" s="42">
        <v>0.88217909972054798</v>
      </c>
      <c r="AF23" s="42">
        <v>0.78388000068297847</v>
      </c>
      <c r="AG23" s="42">
        <v>0.58425535426662345</v>
      </c>
      <c r="AH23" s="42">
        <v>8.9072557925111404</v>
      </c>
      <c r="AI23" s="42">
        <v>8.9072557925111404</v>
      </c>
      <c r="AJ23" s="42">
        <v>0.69337823916767694</v>
      </c>
      <c r="AK23" s="42">
        <v>0.6160892652859119</v>
      </c>
      <c r="AL23" s="42">
        <v>0.72749585944303119</v>
      </c>
      <c r="AM23" s="42">
        <v>0.85232867200528173</v>
      </c>
      <c r="AN23" s="42">
        <v>0.93604191211205412</v>
      </c>
      <c r="AO23" s="42">
        <v>0.87528528579803189</v>
      </c>
      <c r="AP23" s="42">
        <v>1.0008992549843199</v>
      </c>
      <c r="AQ23" s="42">
        <v>0.8825917325456315</v>
      </c>
      <c r="AR23" s="42">
        <v>0.82318398870808929</v>
      </c>
      <c r="AS23" s="42">
        <v>0.91627253117512131</v>
      </c>
      <c r="AT23" s="42">
        <v>0.82005793934012894</v>
      </c>
      <c r="AU23" s="42">
        <v>0.77897251580810578</v>
      </c>
      <c r="AV23" s="42">
        <v>9.922597196373383</v>
      </c>
      <c r="AW23" s="42">
        <v>9.9225971963733848</v>
      </c>
      <c r="AX23" s="42">
        <v>0.69928999999999997</v>
      </c>
      <c r="AY23" s="42">
        <v>0.72264700000000004</v>
      </c>
      <c r="AZ23" s="42">
        <v>0.92163099999999998</v>
      </c>
      <c r="BA23" s="42">
        <v>0.98409100000000005</v>
      </c>
      <c r="BB23" s="42">
        <v>0.97295100000000001</v>
      </c>
      <c r="BC23" s="42">
        <v>0.99145700000000003</v>
      </c>
      <c r="BD23" s="42">
        <v>1.1640079999999999</v>
      </c>
      <c r="BE23" s="42">
        <v>0.98631800000000003</v>
      </c>
      <c r="BF23" s="42">
        <v>0.96786104000000006</v>
      </c>
      <c r="BG23" s="42">
        <v>1.0265438200000001</v>
      </c>
      <c r="BH23" s="42">
        <v>0.82294382999999993</v>
      </c>
      <c r="BI23" s="42">
        <v>0.93182390000000004</v>
      </c>
      <c r="BJ23" s="45">
        <f t="shared" si="1"/>
        <v>11.19156559</v>
      </c>
      <c r="BK23" s="44">
        <v>11.191565000000001</v>
      </c>
      <c r="BL23" s="42">
        <v>0.7239972899999999</v>
      </c>
      <c r="BM23" s="42">
        <v>0.74302170000000012</v>
      </c>
      <c r="BN23" s="42">
        <v>0.99863394000000005</v>
      </c>
      <c r="BO23" s="42">
        <v>1.0419659300000002</v>
      </c>
      <c r="BP23" s="42">
        <v>0.91815195000000005</v>
      </c>
      <c r="BQ23" s="42">
        <v>1.0235093399999999</v>
      </c>
      <c r="BR23" s="42">
        <v>1.09747639</v>
      </c>
      <c r="BS23" s="42">
        <v>0.92979621999999995</v>
      </c>
      <c r="BT23" s="42">
        <v>0.96096888999999985</v>
      </c>
      <c r="BU23" s="42">
        <v>0.93171246000000008</v>
      </c>
      <c r="BV23" s="42">
        <v>0.8316029800000001</v>
      </c>
      <c r="BW23" s="42">
        <v>0.92978822999999999</v>
      </c>
      <c r="BX23" s="45">
        <f t="shared" si="4"/>
        <v>11.130625319999998</v>
      </c>
      <c r="BY23" s="45">
        <v>11.130625</v>
      </c>
      <c r="BZ23" s="45">
        <v>0.59223873000000005</v>
      </c>
      <c r="CA23" s="45">
        <v>0.74804486999999997</v>
      </c>
      <c r="CB23" s="45">
        <v>0.94893927</v>
      </c>
      <c r="CC23" s="45">
        <v>0.98671889000000002</v>
      </c>
      <c r="CD23" s="45">
        <v>0.97716755</v>
      </c>
      <c r="CE23" s="45">
        <v>0.90408171000000004</v>
      </c>
      <c r="CF23" s="45">
        <v>0.9302156800000001</v>
      </c>
      <c r="CG23" s="45">
        <v>0.99075803000000007</v>
      </c>
      <c r="CH23" s="45">
        <v>0.8952010600000001</v>
      </c>
      <c r="CI23" s="45">
        <v>0.84837675000000001</v>
      </c>
      <c r="CJ23" s="45">
        <v>0.79488958999999992</v>
      </c>
      <c r="CK23" s="45">
        <v>0.69270268000000002</v>
      </c>
      <c r="CL23" s="45">
        <f t="shared" si="5"/>
        <v>10.309334810000001</v>
      </c>
      <c r="CM23" s="45">
        <v>10.309335000000001</v>
      </c>
      <c r="CN23" s="45">
        <v>2.3781819999999999E-2</v>
      </c>
      <c r="CO23" s="45">
        <v>3.9500000000000001E-4</v>
      </c>
      <c r="CP23" s="45">
        <v>-4.2574399999999995E-3</v>
      </c>
      <c r="CQ23" s="45">
        <v>-3.1353400000000003E-3</v>
      </c>
      <c r="CR23" s="45">
        <v>-3.2129400000000001E-3</v>
      </c>
      <c r="CS23" s="45">
        <v>-1.47211E-3</v>
      </c>
      <c r="CT23" s="45">
        <v>3.0692000000000002E-4</v>
      </c>
      <c r="CU23" s="45">
        <v>-1.0279000000000001E-4</v>
      </c>
      <c r="CV23" s="45">
        <v>-1.35542E-3</v>
      </c>
      <c r="CW23" s="45">
        <v>-3.0782999999999999E-4</v>
      </c>
      <c r="CX23" s="45">
        <v>-1.16E-4</v>
      </c>
      <c r="CY23" s="45">
        <v>-4.0989999999999999E-5</v>
      </c>
      <c r="CZ23" s="45">
        <f t="shared" si="6"/>
        <v>1.048288E-2</v>
      </c>
      <c r="DA23" s="45">
        <v>1.0482999999999999E-2</v>
      </c>
      <c r="DB23" s="45">
        <v>1.0399999999999999E-4</v>
      </c>
      <c r="DC23" s="45">
        <v>1.0399999999999999E-4</v>
      </c>
      <c r="DD23" s="45">
        <v>1.0399999999999999E-4</v>
      </c>
      <c r="DE23" s="45">
        <v>1.0399999999999999E-4</v>
      </c>
      <c r="DF23" s="45">
        <v>1.0399999999999999E-4</v>
      </c>
      <c r="DG23" s="45">
        <v>1.0399999999999999E-4</v>
      </c>
      <c r="DH23" s="45">
        <v>4.2299999999999998E-4</v>
      </c>
      <c r="DI23" s="45">
        <v>1.0399999999999999E-4</v>
      </c>
      <c r="DJ23" s="45">
        <v>1.0399999999999999E-4</v>
      </c>
      <c r="DK23" s="45">
        <v>4.2299999999999998E-4</v>
      </c>
      <c r="DL23" s="45">
        <v>3.0699999999999998E-4</v>
      </c>
      <c r="DM23" s="45">
        <v>7.9998999999999999E-4</v>
      </c>
      <c r="DN23" s="45">
        <f t="shared" si="7"/>
        <v>2.7849899999999998E-3</v>
      </c>
      <c r="DO23" s="50">
        <v>2.7850000000000001E-3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0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f t="shared" si="10"/>
        <v>0</v>
      </c>
      <c r="EC23" s="50"/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/>
      <c r="EJ23" s="45"/>
      <c r="EK23" s="45"/>
      <c r="EL23" s="45">
        <v>0</v>
      </c>
      <c r="EM23" s="45">
        <v>0</v>
      </c>
      <c r="EN23" s="45">
        <v>0</v>
      </c>
      <c r="EO23" s="45">
        <v>0</v>
      </c>
      <c r="EP23" s="45">
        <f t="shared" si="11"/>
        <v>0</v>
      </c>
      <c r="EQ23" s="45"/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0</v>
      </c>
      <c r="EZ23" s="45">
        <v>0</v>
      </c>
      <c r="FA23" s="45">
        <v>0</v>
      </c>
      <c r="FB23" s="45"/>
      <c r="FC23" s="45"/>
      <c r="FD23" s="45">
        <f t="shared" si="12"/>
        <v>0</v>
      </c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>
        <f t="shared" si="13"/>
        <v>0</v>
      </c>
      <c r="FS23" s="45"/>
      <c r="FT23" s="45"/>
      <c r="FU23" s="45"/>
      <c r="FV23" s="45"/>
      <c r="FW23" s="45"/>
      <c r="FX23" s="45"/>
      <c r="FY23" s="45">
        <v>3.6382235600000001</v>
      </c>
      <c r="FZ23" s="45"/>
      <c r="GA23" s="45"/>
      <c r="GB23" s="45"/>
      <c r="GC23" s="45"/>
      <c r="GD23" s="45"/>
      <c r="GE23" s="45"/>
      <c r="GF23" s="45">
        <f t="shared" si="14"/>
        <v>3.6382235600000001</v>
      </c>
      <c r="GG23" s="45"/>
      <c r="GH23" s="45"/>
      <c r="GI23" s="45"/>
      <c r="GJ23" s="45"/>
      <c r="GK23" s="45"/>
      <c r="GL23" s="45"/>
      <c r="GM23" s="45"/>
      <c r="GN23" s="45"/>
      <c r="GO23" s="45">
        <v>4.2088040600000003</v>
      </c>
      <c r="GP23" s="45"/>
      <c r="GQ23" s="45"/>
      <c r="GR23" s="45"/>
      <c r="GS23" s="45"/>
      <c r="GT23" s="45">
        <f t="shared" si="20"/>
        <v>4.2088040600000003</v>
      </c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>
        <f t="shared" si="15"/>
        <v>0</v>
      </c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283">
        <f t="shared" si="16"/>
        <v>0</v>
      </c>
      <c r="HV23" s="283">
        <f t="shared" si="17"/>
        <v>0</v>
      </c>
      <c r="HW23" s="280">
        <f t="shared" si="21"/>
        <v>0</v>
      </c>
      <c r="HX23" s="280"/>
    </row>
    <row r="24" spans="1:232" s="12" customFormat="1" ht="20.5">
      <c r="A24" s="77" t="s">
        <v>71</v>
      </c>
      <c r="B24" s="12" t="s">
        <v>72</v>
      </c>
      <c r="C24" s="77" t="s">
        <v>73</v>
      </c>
      <c r="D24" s="42">
        <v>0</v>
      </c>
      <c r="E24" s="42">
        <v>0</v>
      </c>
      <c r="F24" s="42">
        <v>0</v>
      </c>
      <c r="G24" s="42">
        <v>0</v>
      </c>
      <c r="H24" s="42">
        <v>4.6666396321022647</v>
      </c>
      <c r="I24" s="42">
        <v>4.1380384858367343</v>
      </c>
      <c r="J24" s="42">
        <v>5.3270385484430935</v>
      </c>
      <c r="K24" s="42">
        <v>4.8681481607958981</v>
      </c>
      <c r="L24" s="42">
        <v>5.9822880917012426</v>
      </c>
      <c r="M24" s="42">
        <v>5.9198211734708392</v>
      </c>
      <c r="N24" s="42">
        <v>6.0863199412638522</v>
      </c>
      <c r="O24" s="42">
        <v>6.0888370014968611</v>
      </c>
      <c r="P24" s="42">
        <v>5.3321551954741295</v>
      </c>
      <c r="Q24" s="42">
        <v>5.0726973665488533</v>
      </c>
      <c r="R24" s="42">
        <v>4.7262750354295084</v>
      </c>
      <c r="S24" s="42">
        <v>4.6464220465449833</v>
      </c>
      <c r="T24" s="42">
        <v>62.854680679108263</v>
      </c>
      <c r="U24" s="42">
        <v>62.854680679108256</v>
      </c>
      <c r="V24" s="42">
        <v>6.3148274625642431</v>
      </c>
      <c r="W24" s="42">
        <v>4.5021271933568965</v>
      </c>
      <c r="X24" s="42">
        <v>5.3930313430202448</v>
      </c>
      <c r="Y24" s="42">
        <v>5.1352254682671132</v>
      </c>
      <c r="Z24" s="42">
        <v>6.3133846705482606</v>
      </c>
      <c r="AA24" s="42">
        <v>6.4397413788196998</v>
      </c>
      <c r="AB24" s="42">
        <v>6.754760929078377</v>
      </c>
      <c r="AC24" s="42">
        <v>6.5779249975811185</v>
      </c>
      <c r="AD24" s="42">
        <v>5.2100528739164833</v>
      </c>
      <c r="AE24" s="42">
        <v>5.7834403332934938</v>
      </c>
      <c r="AF24" s="42">
        <v>5.1309255496553803</v>
      </c>
      <c r="AG24" s="42">
        <v>4.1251899533867196</v>
      </c>
      <c r="AH24" s="42">
        <v>67.680632153488034</v>
      </c>
      <c r="AI24" s="42">
        <v>67.68063215348802</v>
      </c>
      <c r="AJ24" s="42">
        <v>7.705038673655813</v>
      </c>
      <c r="AK24" s="42">
        <v>5.2990976146976969</v>
      </c>
      <c r="AL24" s="42">
        <v>5.5824255411181491</v>
      </c>
      <c r="AM24" s="42">
        <v>6.1132420987928358</v>
      </c>
      <c r="AN24" s="42">
        <v>6.3685650622364127</v>
      </c>
      <c r="AO24" s="42">
        <v>6.0275809471773076</v>
      </c>
      <c r="AP24" s="42">
        <v>7.1299153106698308</v>
      </c>
      <c r="AQ24" s="42">
        <v>6.1805425125639575</v>
      </c>
      <c r="AR24" s="42">
        <v>5.7015441004888991</v>
      </c>
      <c r="AS24" s="42">
        <v>5.8372718425051655</v>
      </c>
      <c r="AT24" s="42">
        <v>4.9000973244318473</v>
      </c>
      <c r="AU24" s="42">
        <v>5.1091271535164857</v>
      </c>
      <c r="AV24" s="42">
        <v>71.954448181854417</v>
      </c>
      <c r="AW24" s="42">
        <v>71.954448181854403</v>
      </c>
      <c r="AX24" s="42">
        <v>7.7209199999999996</v>
      </c>
      <c r="AY24" s="42">
        <v>5.3837869999999999</v>
      </c>
      <c r="AZ24" s="42">
        <v>5.9707749999999997</v>
      </c>
      <c r="BA24" s="42">
        <v>6.3405370000000003</v>
      </c>
      <c r="BB24" s="42">
        <v>6.7012299999999998</v>
      </c>
      <c r="BC24" s="42">
        <v>6.3851550000000001</v>
      </c>
      <c r="BD24" s="42">
        <v>7.3181240000000001</v>
      </c>
      <c r="BE24" s="42">
        <v>6.0627509999999996</v>
      </c>
      <c r="BF24" s="42">
        <v>6.1593288799999995</v>
      </c>
      <c r="BG24" s="42">
        <v>5.9734575799999998</v>
      </c>
      <c r="BH24" s="42">
        <v>4.47831549</v>
      </c>
      <c r="BI24" s="42">
        <v>5.00969189</v>
      </c>
      <c r="BJ24" s="45">
        <f t="shared" si="1"/>
        <v>73.504072839999992</v>
      </c>
      <c r="BK24" s="44">
        <v>73.504071999999994</v>
      </c>
      <c r="BL24" s="42">
        <v>8.9998730299999998</v>
      </c>
      <c r="BM24" s="42">
        <v>5.8480398600000001</v>
      </c>
      <c r="BN24" s="42">
        <v>6.8154553100000008</v>
      </c>
      <c r="BO24" s="42">
        <v>6.6337985700000006</v>
      </c>
      <c r="BP24" s="42">
        <v>6.7456630799999999</v>
      </c>
      <c r="BQ24" s="42">
        <v>6.8664564399999994</v>
      </c>
      <c r="BR24" s="42">
        <v>7.2347767999999997</v>
      </c>
      <c r="BS24" s="42">
        <v>6.3162678799999998</v>
      </c>
      <c r="BT24" s="42">
        <v>6.20234679</v>
      </c>
      <c r="BU24" s="42">
        <v>6.3470968599999997</v>
      </c>
      <c r="BV24" s="42">
        <v>5.3886693399999999</v>
      </c>
      <c r="BW24" s="42">
        <v>5.9861039099999998</v>
      </c>
      <c r="BX24" s="45">
        <f t="shared" si="4"/>
        <v>79.384547870000006</v>
      </c>
      <c r="BY24" s="45">
        <v>79.384547999999995</v>
      </c>
      <c r="BZ24" s="45">
        <v>8.2673971399999999</v>
      </c>
      <c r="CA24" s="45">
        <v>6.4367554800000004</v>
      </c>
      <c r="CB24" s="45">
        <v>6.8213365600000007</v>
      </c>
      <c r="CC24" s="45">
        <v>7.0754652499999997</v>
      </c>
      <c r="CD24" s="45">
        <v>7.9538630299999991</v>
      </c>
      <c r="CE24" s="45">
        <v>7.1191935299999995</v>
      </c>
      <c r="CF24" s="45">
        <v>7.3891406500000008</v>
      </c>
      <c r="CG24" s="45">
        <v>7.4822211699999999</v>
      </c>
      <c r="CH24" s="45">
        <v>6.2067744800000009</v>
      </c>
      <c r="CI24" s="45">
        <v>6.4850332800000006</v>
      </c>
      <c r="CJ24" s="45">
        <v>6.0175674299999997</v>
      </c>
      <c r="CK24" s="45">
        <v>6.4588300399999996</v>
      </c>
      <c r="CL24" s="45">
        <f t="shared" si="5"/>
        <v>83.713578040000002</v>
      </c>
      <c r="CM24" s="45">
        <v>83.713577999999998</v>
      </c>
      <c r="CN24" s="45">
        <v>9.6037743399999993</v>
      </c>
      <c r="CO24" s="45">
        <v>6.3459881900000008</v>
      </c>
      <c r="CP24" s="45">
        <v>7.8712047699999994</v>
      </c>
      <c r="CQ24" s="45">
        <v>7.1082731700000004</v>
      </c>
      <c r="CR24" s="45">
        <v>8.4954813199999997</v>
      </c>
      <c r="CS24" s="45">
        <v>8.1261642500000004</v>
      </c>
      <c r="CT24" s="45">
        <v>8.4876839299999993</v>
      </c>
      <c r="CU24" s="45">
        <v>8.3203297599999999</v>
      </c>
      <c r="CV24" s="45">
        <v>6.7761977400000006</v>
      </c>
      <c r="CW24" s="45">
        <v>7.0654540199999998</v>
      </c>
      <c r="CX24" s="45">
        <v>6.4246461699999999</v>
      </c>
      <c r="CY24" s="45">
        <v>6.3923863399999998</v>
      </c>
      <c r="CZ24" s="45">
        <f t="shared" si="6"/>
        <v>91.017583999999999</v>
      </c>
      <c r="DA24" s="45">
        <v>91.017583999999999</v>
      </c>
      <c r="DB24" s="45">
        <v>10.891072339999999</v>
      </c>
      <c r="DC24" s="45">
        <v>7.3980420000000002</v>
      </c>
      <c r="DD24" s="45">
        <v>7.7811672900000008</v>
      </c>
      <c r="DE24" s="45">
        <v>8.15032508</v>
      </c>
      <c r="DF24" s="45">
        <v>8.8403837899999989</v>
      </c>
      <c r="DG24" s="45">
        <v>8.4143292100000018</v>
      </c>
      <c r="DH24" s="45">
        <v>8.6341466400000009</v>
      </c>
      <c r="DI24" s="45">
        <v>7.941980130000001</v>
      </c>
      <c r="DJ24" s="45">
        <v>6.7211733499999999</v>
      </c>
      <c r="DK24" s="45">
        <v>7.6233613</v>
      </c>
      <c r="DL24" s="45">
        <v>6.3384984199999996</v>
      </c>
      <c r="DM24" s="45">
        <v>5.5662266499999999</v>
      </c>
      <c r="DN24" s="45">
        <f t="shared" si="7"/>
        <v>94.300706199999993</v>
      </c>
      <c r="DO24" s="50">
        <v>94.300706000000005</v>
      </c>
      <c r="DP24" s="45">
        <v>10.174811419999999</v>
      </c>
      <c r="DQ24" s="45">
        <v>7.5096290999999997</v>
      </c>
      <c r="DR24" s="45">
        <v>8.8483956299999988</v>
      </c>
      <c r="DS24" s="45">
        <v>8.4541108700000009</v>
      </c>
      <c r="DT24" s="45">
        <v>8.4132070099999989</v>
      </c>
      <c r="DU24" s="45">
        <v>7.7257525399999993</v>
      </c>
      <c r="DV24" s="45">
        <v>9.0754060899999995</v>
      </c>
      <c r="DW24" s="45">
        <v>8.054383210000001</v>
      </c>
      <c r="DX24" s="45">
        <v>7.4493456899999995</v>
      </c>
      <c r="DY24" s="45">
        <v>7.9363437699999997</v>
      </c>
      <c r="DZ24" s="45">
        <v>6.0775305700000004</v>
      </c>
      <c r="EA24" s="45">
        <v>5.5800379299999996</v>
      </c>
      <c r="EB24" s="45">
        <f t="shared" si="10"/>
        <v>95.298953830000016</v>
      </c>
      <c r="EC24" s="50">
        <v>95.298953999999995</v>
      </c>
      <c r="ED24" s="45">
        <v>10.821935570000001</v>
      </c>
      <c r="EE24" s="45">
        <v>7.8094413200000004</v>
      </c>
      <c r="EF24" s="45">
        <v>8.3805289500000004</v>
      </c>
      <c r="EG24" s="45">
        <v>7.5729200600000004</v>
      </c>
      <c r="EH24" s="45">
        <v>8.13636056</v>
      </c>
      <c r="EI24" s="45">
        <v>8.1171277000000011</v>
      </c>
      <c r="EJ24" s="45">
        <v>9.7340493299999995</v>
      </c>
      <c r="EK24" s="45">
        <v>7.9889552899999998</v>
      </c>
      <c r="EL24" s="45">
        <v>7.94003733</v>
      </c>
      <c r="EM24" s="45">
        <v>7.5684057400000002</v>
      </c>
      <c r="EN24" s="45">
        <v>6.6801850200000006</v>
      </c>
      <c r="EO24" s="45">
        <v>6.696460029999999</v>
      </c>
      <c r="EP24" s="45">
        <f t="shared" si="11"/>
        <v>97.446406899999999</v>
      </c>
      <c r="EQ24" s="45">
        <v>97.446406999999994</v>
      </c>
      <c r="ER24" s="45">
        <v>9.7757996899999995</v>
      </c>
      <c r="ES24" s="45">
        <v>7.6553680299999991</v>
      </c>
      <c r="ET24" s="45">
        <v>9.9519380300000009</v>
      </c>
      <c r="EU24" s="45">
        <v>8.8235363499999995</v>
      </c>
      <c r="EV24" s="45">
        <v>8.4036477899999991</v>
      </c>
      <c r="EW24" s="45">
        <v>8.4375343399999991</v>
      </c>
      <c r="EX24" s="45">
        <v>9.3987283700000006</v>
      </c>
      <c r="EY24" s="45">
        <v>8.7588501099999991</v>
      </c>
      <c r="EZ24" s="45">
        <v>7.9278119500000015</v>
      </c>
      <c r="FA24" s="45">
        <v>7.4875334399999991</v>
      </c>
      <c r="FB24" s="45">
        <v>6.7729282300000007</v>
      </c>
      <c r="FC24" s="45">
        <v>6.5992597499999999</v>
      </c>
      <c r="FD24" s="45">
        <f>SUM(ER24:FC24)</f>
        <v>99.992936080000007</v>
      </c>
      <c r="FE24" s="45">
        <v>99.992936</v>
      </c>
      <c r="FF24" s="45">
        <v>11.201256769999999</v>
      </c>
      <c r="FG24" s="45">
        <v>8.1970305999999997</v>
      </c>
      <c r="FH24" s="45">
        <v>9.829315170000001</v>
      </c>
      <c r="FI24" s="45">
        <v>8.0720415900000013</v>
      </c>
      <c r="FJ24" s="45">
        <v>9.1310759199999989</v>
      </c>
      <c r="FK24" s="45">
        <v>8.4013734499999995</v>
      </c>
      <c r="FL24" s="45">
        <v>8.9128371499999997</v>
      </c>
      <c r="FM24" s="45">
        <v>9.0753390500000002</v>
      </c>
      <c r="FN24" s="45">
        <v>7.8482544500000007</v>
      </c>
      <c r="FO24" s="45">
        <v>7.5056207100000005</v>
      </c>
      <c r="FP24" s="45">
        <v>6.98839875</v>
      </c>
      <c r="FQ24" s="45">
        <v>6.298886669999999</v>
      </c>
      <c r="FR24" s="45">
        <f>SUM(FF24:FQ24)</f>
        <v>101.46143028000002</v>
      </c>
      <c r="FS24" s="45">
        <v>101.46143000000001</v>
      </c>
      <c r="FT24" s="45">
        <v>11.72114891</v>
      </c>
      <c r="FU24" s="45">
        <v>8.1808069000000003</v>
      </c>
      <c r="FV24" s="45">
        <v>9.9148641300000016</v>
      </c>
      <c r="FW24" s="45">
        <v>8.1541350499999989</v>
      </c>
      <c r="FX24" s="45">
        <v>9.2046899</v>
      </c>
      <c r="FY24" s="45">
        <v>8.9229247899999997</v>
      </c>
      <c r="FZ24" s="45">
        <v>8.9798910999999997</v>
      </c>
      <c r="GA24" s="45">
        <v>9.0953692699999991</v>
      </c>
      <c r="GB24" s="45">
        <v>7.6266981999999999</v>
      </c>
      <c r="GC24" s="45">
        <v>7.8464128800000008</v>
      </c>
      <c r="GD24" s="45">
        <v>6.8528797799999994</v>
      </c>
      <c r="GE24" s="45">
        <v>6.0338129700000005</v>
      </c>
      <c r="GF24" s="45">
        <f t="shared" si="14"/>
        <v>102.53363387999998</v>
      </c>
      <c r="GG24" s="45">
        <v>102.53363299999999</v>
      </c>
      <c r="GH24" s="45">
        <v>11.531470430000001</v>
      </c>
      <c r="GI24" s="45">
        <v>8.576314309999999</v>
      </c>
      <c r="GJ24" s="45">
        <v>8.9440178800000005</v>
      </c>
      <c r="GK24" s="45">
        <v>9.16692134</v>
      </c>
      <c r="GL24" s="45">
        <v>8.9714888800000008</v>
      </c>
      <c r="GM24" s="45">
        <v>8.1102570299999996</v>
      </c>
      <c r="GN24" s="45">
        <v>9.6214650900000009</v>
      </c>
      <c r="GO24" s="45">
        <v>8.4275544700000005</v>
      </c>
      <c r="GP24" s="45">
        <v>7.8474719699999991</v>
      </c>
      <c r="GQ24" s="45">
        <v>8.3407920600000001</v>
      </c>
      <c r="GR24" s="45">
        <v>6.8199880499999992</v>
      </c>
      <c r="GS24" s="45">
        <v>5.96442155</v>
      </c>
      <c r="GT24" s="45">
        <f t="shared" si="20"/>
        <v>102.32216306000001</v>
      </c>
      <c r="GU24" s="45">
        <v>102.322163</v>
      </c>
      <c r="GV24" s="45">
        <v>13.814018779999998</v>
      </c>
      <c r="GW24" s="45">
        <v>8.8957136400000003</v>
      </c>
      <c r="GX24" s="45">
        <v>10.286344570000001</v>
      </c>
      <c r="GY24" s="45">
        <v>9.5147276200000004</v>
      </c>
      <c r="GZ24" s="45">
        <v>9.421090809999999</v>
      </c>
      <c r="HA24" s="45">
        <v>8.966416670000001</v>
      </c>
      <c r="HB24" s="45">
        <v>10.90712529</v>
      </c>
      <c r="HC24" s="45">
        <v>9.4933171400000003</v>
      </c>
      <c r="HD24" s="45">
        <v>9.3090895299999996</v>
      </c>
      <c r="HE24" s="45">
        <v>9.2210889399999996</v>
      </c>
      <c r="HF24" s="45">
        <v>7.05665794</v>
      </c>
      <c r="HG24" s="45">
        <v>6.5373961699999992</v>
      </c>
      <c r="HH24" s="45">
        <f t="shared" si="15"/>
        <v>113.42298709999999</v>
      </c>
      <c r="HI24" s="45">
        <v>15.937897449999999</v>
      </c>
      <c r="HJ24" s="45">
        <v>8.4379887299999989</v>
      </c>
      <c r="HK24" s="45">
        <v>10.403929209999999</v>
      </c>
      <c r="HL24" s="45">
        <v>9.2540353399999997</v>
      </c>
      <c r="HM24" s="45"/>
      <c r="HN24" s="45"/>
      <c r="HO24" s="45"/>
      <c r="HP24" s="45"/>
      <c r="HQ24" s="45"/>
      <c r="HR24" s="45"/>
      <c r="HS24" s="45"/>
      <c r="HT24" s="45"/>
      <c r="HU24" s="283">
        <f t="shared" si="16"/>
        <v>42.510804999999998</v>
      </c>
      <c r="HV24" s="283">
        <f t="shared" si="17"/>
        <v>44.033850999999999</v>
      </c>
      <c r="HW24" s="280">
        <f t="shared" si="21"/>
        <v>1.5230460000000008</v>
      </c>
      <c r="HX24" s="280">
        <f t="shared" ref="HX24:HX35" si="25">HV24/HU24*100-100</f>
        <v>3.5827267914592511</v>
      </c>
    </row>
    <row r="25" spans="1:232" s="12" customFormat="1" ht="20.5">
      <c r="A25" s="77" t="s">
        <v>74</v>
      </c>
      <c r="B25" s="12" t="s">
        <v>75</v>
      </c>
      <c r="C25" s="77" t="s">
        <v>76</v>
      </c>
      <c r="D25" s="42">
        <v>0</v>
      </c>
      <c r="E25" s="42">
        <v>0</v>
      </c>
      <c r="F25" s="42">
        <v>0</v>
      </c>
      <c r="G25" s="42">
        <v>0</v>
      </c>
      <c r="H25" s="42">
        <v>0.2963386662568796</v>
      </c>
      <c r="I25" s="42">
        <v>0.49066453805043797</v>
      </c>
      <c r="J25" s="42">
        <v>0.65045873387174813</v>
      </c>
      <c r="K25" s="42">
        <v>0.67901434823933848</v>
      </c>
      <c r="L25" s="42">
        <v>0.90742226851298513</v>
      </c>
      <c r="M25" s="42">
        <v>1.0776745721424466</v>
      </c>
      <c r="N25" s="42">
        <v>1.2351167608607805</v>
      </c>
      <c r="O25" s="42">
        <v>1.3821008417709633</v>
      </c>
      <c r="P25" s="42">
        <v>1.4246091371136191</v>
      </c>
      <c r="Q25" s="42">
        <v>1.5492512848532449</v>
      </c>
      <c r="R25" s="42">
        <v>1.8540816500759814</v>
      </c>
      <c r="S25" s="42">
        <v>5.7218726700474098</v>
      </c>
      <c r="T25" s="42">
        <v>17.268605471795833</v>
      </c>
      <c r="U25" s="42">
        <v>17.268605471795837</v>
      </c>
      <c r="V25" s="42">
        <v>0.9221674890865732</v>
      </c>
      <c r="W25" s="42">
        <v>0.66793159970631921</v>
      </c>
      <c r="X25" s="42">
        <v>0.72633621891736533</v>
      </c>
      <c r="Y25" s="42">
        <v>0.69617845089100239</v>
      </c>
      <c r="Z25" s="42">
        <v>1.1143320185997803</v>
      </c>
      <c r="AA25" s="42">
        <v>1.2876947200072852</v>
      </c>
      <c r="AB25" s="42">
        <v>1.451101587355792</v>
      </c>
      <c r="AC25" s="42">
        <v>1.4434693029635572</v>
      </c>
      <c r="AD25" s="42">
        <v>1.4760687190169663</v>
      </c>
      <c r="AE25" s="42">
        <v>1.8054777718965742</v>
      </c>
      <c r="AF25" s="42">
        <v>1.8670582409889529</v>
      </c>
      <c r="AG25" s="42">
        <v>3.2582057017319199</v>
      </c>
      <c r="AH25" s="42">
        <v>16.716021821162091</v>
      </c>
      <c r="AI25" s="42">
        <v>16.716021821162091</v>
      </c>
      <c r="AJ25" s="42">
        <v>1.85290920370402</v>
      </c>
      <c r="AK25" s="42">
        <v>1.4440669091240232</v>
      </c>
      <c r="AL25" s="42">
        <v>1.3494743911531524</v>
      </c>
      <c r="AM25" s="42">
        <v>1.4655622335672536</v>
      </c>
      <c r="AN25" s="42">
        <v>1.4185505489439447</v>
      </c>
      <c r="AO25" s="42">
        <v>1.4977675141291171</v>
      </c>
      <c r="AP25" s="42">
        <v>1.7809844565483408</v>
      </c>
      <c r="AQ25" s="42">
        <v>1.6301159355951302</v>
      </c>
      <c r="AR25" s="42">
        <v>1.6447843210909443</v>
      </c>
      <c r="AS25" s="42">
        <v>1.8819642460771424</v>
      </c>
      <c r="AT25" s="42">
        <v>1.7086456536957675</v>
      </c>
      <c r="AU25" s="42">
        <v>3.1214506462683764</v>
      </c>
      <c r="AV25" s="42">
        <v>20.79627605989721</v>
      </c>
      <c r="AW25" s="42">
        <v>20.79627605989721</v>
      </c>
      <c r="AX25" s="42">
        <v>1.464642</v>
      </c>
      <c r="AY25" s="42">
        <v>1.345288</v>
      </c>
      <c r="AZ25" s="42">
        <v>1.3303910000000001</v>
      </c>
      <c r="BA25" s="42">
        <v>1.6748670000000001</v>
      </c>
      <c r="BB25" s="42">
        <v>1.2231590000000001</v>
      </c>
      <c r="BC25" s="42">
        <v>1.4581200000000001</v>
      </c>
      <c r="BD25" s="42">
        <v>1.6662189999999999</v>
      </c>
      <c r="BE25" s="42">
        <v>1.4971730000000001</v>
      </c>
      <c r="BF25" s="42">
        <v>1.62653895</v>
      </c>
      <c r="BG25" s="42">
        <v>1.75303637</v>
      </c>
      <c r="BH25" s="42">
        <v>1.4071057</v>
      </c>
      <c r="BI25" s="42">
        <v>2.7657597000000003</v>
      </c>
      <c r="BJ25" s="45">
        <f t="shared" si="1"/>
        <v>19.212299720000001</v>
      </c>
      <c r="BK25" s="44">
        <v>19.212299999999999</v>
      </c>
      <c r="BL25" s="42">
        <v>1.8142865100000001</v>
      </c>
      <c r="BM25" s="42">
        <v>1.3916383600000002</v>
      </c>
      <c r="BN25" s="42">
        <v>1.4980413100000001</v>
      </c>
      <c r="BO25" s="42">
        <v>1.5695227300000001</v>
      </c>
      <c r="BP25" s="42">
        <v>1.53773837</v>
      </c>
      <c r="BQ25" s="42">
        <v>1.5208728300000001</v>
      </c>
      <c r="BR25" s="42">
        <v>1.59108925</v>
      </c>
      <c r="BS25" s="42">
        <v>1.4485865</v>
      </c>
      <c r="BT25" s="42">
        <v>1.71963691</v>
      </c>
      <c r="BU25" s="42">
        <v>1.78507628</v>
      </c>
      <c r="BV25" s="42">
        <v>1.6070051699999999</v>
      </c>
      <c r="BW25" s="42">
        <v>2.85881585</v>
      </c>
      <c r="BX25" s="45">
        <f t="shared" si="4"/>
        <v>20.34231007</v>
      </c>
      <c r="BY25" s="45">
        <v>20.34231007</v>
      </c>
      <c r="BZ25" s="45">
        <v>1.7430713600000001</v>
      </c>
      <c r="CA25" s="45">
        <v>1.48429214</v>
      </c>
      <c r="CB25" s="45">
        <v>1.5434508300000001</v>
      </c>
      <c r="CC25" s="45">
        <v>1.5279576699999999</v>
      </c>
      <c r="CD25" s="45">
        <v>1.7700201200000001</v>
      </c>
      <c r="CE25" s="45">
        <v>1.6915508700000002</v>
      </c>
      <c r="CF25" s="45">
        <v>1.7506129099999999</v>
      </c>
      <c r="CG25" s="45">
        <v>1.74493163</v>
      </c>
      <c r="CH25" s="45">
        <v>1.6418075700000001</v>
      </c>
      <c r="CI25" s="45">
        <v>1.83067592</v>
      </c>
      <c r="CJ25" s="45">
        <v>1.91663731</v>
      </c>
      <c r="CK25" s="45">
        <v>2.9907668900000002</v>
      </c>
      <c r="CL25" s="45">
        <f t="shared" si="5"/>
        <v>21.635775219999999</v>
      </c>
      <c r="CM25" s="45">
        <v>21.635774999999999</v>
      </c>
      <c r="CN25" s="45">
        <v>1.80924391</v>
      </c>
      <c r="CO25" s="45">
        <v>1.4417031</v>
      </c>
      <c r="CP25" s="45">
        <v>1.6973851100000001</v>
      </c>
      <c r="CQ25" s="45">
        <v>1.6195672400000001</v>
      </c>
      <c r="CR25" s="45">
        <v>1.7821058600000002</v>
      </c>
      <c r="CS25" s="45">
        <v>1.8181615</v>
      </c>
      <c r="CT25" s="45">
        <v>1.88930091</v>
      </c>
      <c r="CU25" s="45">
        <v>1.8553165900000002</v>
      </c>
      <c r="CV25" s="45">
        <v>1.5840045600000001</v>
      </c>
      <c r="CW25" s="45">
        <v>1.8613401299999999</v>
      </c>
      <c r="CX25" s="45">
        <v>1.74089951</v>
      </c>
      <c r="CY25" s="45">
        <v>2.7196116200000002</v>
      </c>
      <c r="CZ25" s="45">
        <f t="shared" si="6"/>
        <v>21.818640039999998</v>
      </c>
      <c r="DA25" s="45">
        <v>21.818639999999998</v>
      </c>
      <c r="DB25" s="45">
        <v>1.74803526</v>
      </c>
      <c r="DC25" s="45">
        <v>1.4805035900000001</v>
      </c>
      <c r="DD25" s="45">
        <v>1.6933663999999999</v>
      </c>
      <c r="DE25" s="45">
        <v>1.7318391399999999</v>
      </c>
      <c r="DF25" s="45">
        <v>1.85241992</v>
      </c>
      <c r="DG25" s="45">
        <v>1.7117259899999999</v>
      </c>
      <c r="DH25" s="45">
        <v>1.81262576</v>
      </c>
      <c r="DI25" s="45">
        <v>1.7631438799999999</v>
      </c>
      <c r="DJ25" s="45">
        <v>1.6085973200000001</v>
      </c>
      <c r="DK25" s="45">
        <v>1.9155354</v>
      </c>
      <c r="DL25" s="45">
        <v>1.7026931599999999</v>
      </c>
      <c r="DM25" s="45">
        <v>2.4751543300000001</v>
      </c>
      <c r="DN25" s="45">
        <f t="shared" si="7"/>
        <v>21.495640149999996</v>
      </c>
      <c r="DO25" s="50">
        <v>21.495640000000002</v>
      </c>
      <c r="DP25" s="45">
        <v>1.6517012099999999</v>
      </c>
      <c r="DQ25" s="45">
        <v>1.4942178400000001</v>
      </c>
      <c r="DR25" s="45">
        <v>1.74553772</v>
      </c>
      <c r="DS25" s="45">
        <v>1.65960591</v>
      </c>
      <c r="DT25" s="45">
        <v>1.6570928</v>
      </c>
      <c r="DU25" s="45">
        <v>1.6059766200000001</v>
      </c>
      <c r="DV25" s="45">
        <v>1.8292282600000001</v>
      </c>
      <c r="DW25" s="45">
        <v>1.6812087600000001</v>
      </c>
      <c r="DX25" s="45">
        <v>1.7183914199999999</v>
      </c>
      <c r="DY25" s="45">
        <v>1.9248375900000001</v>
      </c>
      <c r="DZ25" s="45">
        <v>1.6414489800000001</v>
      </c>
      <c r="EA25" s="45">
        <v>2.5044418900000003</v>
      </c>
      <c r="EB25" s="45">
        <f t="shared" si="10"/>
        <v>21.113688999999997</v>
      </c>
      <c r="EC25" s="50">
        <v>21.113689000000001</v>
      </c>
      <c r="ED25" s="45">
        <v>1.8291967600000001</v>
      </c>
      <c r="EE25" s="45">
        <v>1.60002589</v>
      </c>
      <c r="EF25" s="45">
        <v>1.7223714699999999</v>
      </c>
      <c r="EG25" s="45">
        <v>1.60502297</v>
      </c>
      <c r="EH25" s="45">
        <v>1.6835539399999999</v>
      </c>
      <c r="EI25" s="45">
        <v>1.7110373000000001</v>
      </c>
      <c r="EJ25" s="45">
        <v>1.93351903</v>
      </c>
      <c r="EK25" s="45">
        <v>1.67678393</v>
      </c>
      <c r="EL25" s="45">
        <v>1.7669434900000001</v>
      </c>
      <c r="EM25" s="45">
        <v>1.7988426899999999</v>
      </c>
      <c r="EN25" s="45">
        <v>1.6819513100000001</v>
      </c>
      <c r="EO25" s="45">
        <v>2.7605061699999998</v>
      </c>
      <c r="EP25" s="45">
        <f t="shared" si="11"/>
        <v>21.769754949999996</v>
      </c>
      <c r="EQ25" s="45">
        <v>21.769755</v>
      </c>
      <c r="ER25" s="45">
        <v>1.51910397</v>
      </c>
      <c r="ES25" s="45">
        <v>1.59155183</v>
      </c>
      <c r="ET25" s="45">
        <v>2.0258117599999999</v>
      </c>
      <c r="EU25" s="45">
        <v>1.7385583500000001</v>
      </c>
      <c r="EV25" s="45">
        <v>1.6534264999999999</v>
      </c>
      <c r="EW25" s="45">
        <v>1.7993940100000001</v>
      </c>
      <c r="EX25" s="45">
        <v>1.97089212</v>
      </c>
      <c r="EY25" s="45">
        <v>1.9286020100000001</v>
      </c>
      <c r="EZ25" s="45">
        <v>1.8826303899999999</v>
      </c>
      <c r="FA25" s="45">
        <v>1.9856059699999999</v>
      </c>
      <c r="FB25" s="45">
        <v>1.6997702299999999</v>
      </c>
      <c r="FC25" s="45">
        <v>2.7275345400000002</v>
      </c>
      <c r="FD25" s="45">
        <f t="shared" si="12"/>
        <v>22.522881679999998</v>
      </c>
      <c r="FE25" s="45">
        <v>22.522881000000002</v>
      </c>
      <c r="FF25" s="45">
        <v>1.6737566000000001</v>
      </c>
      <c r="FG25" s="45">
        <v>1.7770114699999999</v>
      </c>
      <c r="FH25" s="45">
        <v>1.95462969</v>
      </c>
      <c r="FI25" s="45">
        <v>1.60430856</v>
      </c>
      <c r="FJ25" s="45">
        <v>1.7040713200000002</v>
      </c>
      <c r="FK25" s="45">
        <v>1.79308928</v>
      </c>
      <c r="FL25" s="45">
        <v>1.8735011399999999</v>
      </c>
      <c r="FM25" s="45">
        <v>1.9456206200000001</v>
      </c>
      <c r="FN25" s="45">
        <v>1.96630156</v>
      </c>
      <c r="FO25" s="45">
        <v>1.83570385</v>
      </c>
      <c r="FP25" s="45">
        <v>1.86413915</v>
      </c>
      <c r="FQ25" s="45">
        <v>2.4556930499999998</v>
      </c>
      <c r="FR25" s="45">
        <f t="shared" si="13"/>
        <v>22.447826290000002</v>
      </c>
      <c r="FS25" s="45">
        <v>22.447825999999999</v>
      </c>
      <c r="FT25" s="45">
        <v>1.8721875800000001</v>
      </c>
      <c r="FU25" s="45">
        <v>1.7593479599999999</v>
      </c>
      <c r="FV25" s="45">
        <v>2.1674899999999999</v>
      </c>
      <c r="FW25" s="45">
        <v>1.7793641899999999</v>
      </c>
      <c r="FX25" s="45">
        <v>1.9541126499999999</v>
      </c>
      <c r="FY25" s="45">
        <v>2.1627993500000002</v>
      </c>
      <c r="FZ25" s="45">
        <v>2.17109481</v>
      </c>
      <c r="GA25" s="45">
        <v>2.3352397999999996</v>
      </c>
      <c r="GB25" s="45">
        <v>2.0904618999999998</v>
      </c>
      <c r="GC25" s="45">
        <v>2.1287293700000003</v>
      </c>
      <c r="GD25" s="45">
        <v>2.0351366799999999</v>
      </c>
      <c r="GE25" s="45">
        <v>2.8864420800000001</v>
      </c>
      <c r="GF25" s="45">
        <f t="shared" si="14"/>
        <v>25.342406370000006</v>
      </c>
      <c r="GG25" s="45">
        <v>25.342406</v>
      </c>
      <c r="GH25" s="45">
        <v>2.3733082400000001</v>
      </c>
      <c r="GI25" s="45">
        <v>2.1929507999999998</v>
      </c>
      <c r="GJ25" s="45">
        <v>2.1970225099999996</v>
      </c>
      <c r="GK25" s="45">
        <v>2.3204088599999997</v>
      </c>
      <c r="GL25" s="45">
        <v>2.2439511899999998</v>
      </c>
      <c r="GM25" s="45">
        <v>2.1908277200000001</v>
      </c>
      <c r="GN25" s="45">
        <v>2.6556222599999999</v>
      </c>
      <c r="GO25" s="45">
        <v>2.3621316800000001</v>
      </c>
      <c r="GP25" s="45">
        <v>2.3450780400000002</v>
      </c>
      <c r="GQ25" s="45">
        <v>2.46555875</v>
      </c>
      <c r="GR25" s="45">
        <v>2.2187987400000004</v>
      </c>
      <c r="GS25" s="45">
        <v>2.9367358299999999</v>
      </c>
      <c r="GT25" s="45">
        <f t="shared" si="20"/>
        <v>28.50239462</v>
      </c>
      <c r="GU25" s="45">
        <v>28.502395</v>
      </c>
      <c r="GV25" s="45">
        <v>2.5845109700000002</v>
      </c>
      <c r="GW25" s="45">
        <v>2.2717374000000001</v>
      </c>
      <c r="GX25" s="45">
        <v>2.7039917599999996</v>
      </c>
      <c r="GY25" s="45">
        <v>2.0821107300000001</v>
      </c>
      <c r="GZ25" s="45">
        <v>2.2978995099999997</v>
      </c>
      <c r="HA25" s="45">
        <v>2.2689142100000002</v>
      </c>
      <c r="HB25" s="45">
        <v>2.7275595799999999</v>
      </c>
      <c r="HC25" s="45">
        <v>2.3731192599999997</v>
      </c>
      <c r="HD25" s="45">
        <v>2.34369234</v>
      </c>
      <c r="HE25" s="45">
        <v>2.7215479999999999</v>
      </c>
      <c r="HF25" s="45">
        <v>2.1656499900000004</v>
      </c>
      <c r="HG25" s="45">
        <v>2.9930278800000001</v>
      </c>
      <c r="HH25" s="45">
        <f t="shared" si="15"/>
        <v>29.533761630000001</v>
      </c>
      <c r="HI25" s="45">
        <v>2.7364943999999998</v>
      </c>
      <c r="HJ25" s="45">
        <v>1.5915488500000001</v>
      </c>
      <c r="HK25" s="45">
        <v>1.82105983</v>
      </c>
      <c r="HL25" s="45">
        <v>1.8403899399999999</v>
      </c>
      <c r="HM25" s="45"/>
      <c r="HN25" s="45"/>
      <c r="HO25" s="45"/>
      <c r="HP25" s="45"/>
      <c r="HQ25" s="45"/>
      <c r="HR25" s="45"/>
      <c r="HS25" s="45"/>
      <c r="HT25" s="45"/>
      <c r="HU25" s="283">
        <f t="shared" si="16"/>
        <v>9.6423509999999997</v>
      </c>
      <c r="HV25" s="283">
        <f t="shared" si="17"/>
        <v>7.9894930000000004</v>
      </c>
      <c r="HW25" s="280">
        <f t="shared" si="21"/>
        <v>-1.6528579999999993</v>
      </c>
      <c r="HX25" s="280">
        <f t="shared" si="25"/>
        <v>-17.141649375759087</v>
      </c>
    </row>
    <row r="26" spans="1:232" s="12" customFormat="1" ht="20.5">
      <c r="A26" s="77" t="s">
        <v>77</v>
      </c>
      <c r="B26" s="12" t="s">
        <v>78</v>
      </c>
      <c r="C26" s="77" t="s">
        <v>79</v>
      </c>
      <c r="D26" s="42">
        <v>0.75193225991883939</v>
      </c>
      <c r="E26" s="42">
        <v>1.1696490059817533</v>
      </c>
      <c r="F26" s="42">
        <v>0.8337772693382508</v>
      </c>
      <c r="G26" s="42">
        <v>0.94930165451534143</v>
      </c>
      <c r="H26" s="42">
        <v>8.0767895458762312E-2</v>
      </c>
      <c r="I26" s="42">
        <v>5.2475512376139012E-3</v>
      </c>
      <c r="J26" s="42">
        <v>2.8727781856676968E-3</v>
      </c>
      <c r="K26" s="42">
        <v>2.1528050494874816E-3</v>
      </c>
      <c r="L26" s="42">
        <v>2.0418210482581207E-3</v>
      </c>
      <c r="M26" s="42">
        <v>1.2017575312604938E-2</v>
      </c>
      <c r="N26" s="42">
        <v>0.14440014570207341</v>
      </c>
      <c r="O26" s="42">
        <v>0.23624082959118051</v>
      </c>
      <c r="P26" s="42">
        <v>0.22357300186111631</v>
      </c>
      <c r="Q26" s="42">
        <v>0.21585107654481192</v>
      </c>
      <c r="R26" s="42">
        <v>0.19938844969579003</v>
      </c>
      <c r="S26" s="42">
        <v>0.11309412012452974</v>
      </c>
      <c r="T26" s="42">
        <v>1.2376480498118962</v>
      </c>
      <c r="U26" s="42">
        <v>1.2376480498118965</v>
      </c>
      <c r="V26" s="42">
        <v>6.2018713610053448E-2</v>
      </c>
      <c r="W26" s="42">
        <v>9.9303646535876297E-2</v>
      </c>
      <c r="X26" s="42">
        <v>0.10845698089367733</v>
      </c>
      <c r="Y26" s="42">
        <v>4.0637218911673809E-2</v>
      </c>
      <c r="Z26" s="42">
        <v>3.2246543844371971E-2</v>
      </c>
      <c r="AA26" s="42">
        <v>9.066539177352435E-3</v>
      </c>
      <c r="AB26" s="42">
        <v>9.6183288655158489E-2</v>
      </c>
      <c r="AC26" s="42">
        <v>0.17284477606843446</v>
      </c>
      <c r="AD26" s="42">
        <v>0.22639740240522252</v>
      </c>
      <c r="AE26" s="42">
        <v>0.23726814303845739</v>
      </c>
      <c r="AF26" s="42">
        <v>0.14525956027569564</v>
      </c>
      <c r="AG26" s="42">
        <v>7.187636951411773E-2</v>
      </c>
      <c r="AH26" s="42">
        <v>1.3015591829300917</v>
      </c>
      <c r="AI26" s="42">
        <v>1.3015591829300914</v>
      </c>
      <c r="AJ26" s="42">
        <v>8.1290089413264585E-2</v>
      </c>
      <c r="AK26" s="42">
        <v>8.0555887558978037E-2</v>
      </c>
      <c r="AL26" s="42">
        <v>9.7594777491306253E-2</v>
      </c>
      <c r="AM26" s="42">
        <v>0.12388375706455855</v>
      </c>
      <c r="AN26" s="42">
        <v>6.7530919004445064E-2</v>
      </c>
      <c r="AO26" s="42">
        <v>7.4302365951246724E-3</v>
      </c>
      <c r="AP26" s="42">
        <v>5.5127745431158622E-2</v>
      </c>
      <c r="AQ26" s="42">
        <v>0.1276387157728186</v>
      </c>
      <c r="AR26" s="42">
        <v>0.13954388421238356</v>
      </c>
      <c r="AS26" s="42">
        <v>0.12889795732522866</v>
      </c>
      <c r="AT26" s="42">
        <v>8.2870899994877664E-2</v>
      </c>
      <c r="AU26" s="42">
        <v>2.9582927814867304E-2</v>
      </c>
      <c r="AV26" s="42">
        <v>1.0219477976790117</v>
      </c>
      <c r="AW26" s="42">
        <v>1.0219477976790114</v>
      </c>
      <c r="AX26" s="42">
        <v>6.6705E-2</v>
      </c>
      <c r="AY26" s="42">
        <v>2.3619999999999999E-2</v>
      </c>
      <c r="AZ26" s="42">
        <v>4.3038E-2</v>
      </c>
      <c r="BA26" s="42">
        <v>2.4420000000000001E-2</v>
      </c>
      <c r="BB26" s="42">
        <v>0.211364</v>
      </c>
      <c r="BC26" s="42">
        <v>0.18964900000000001</v>
      </c>
      <c r="BD26" s="42">
        <v>0.221752</v>
      </c>
      <c r="BE26" s="42">
        <v>0.20466200000000001</v>
      </c>
      <c r="BF26" s="42">
        <v>0.22221407999999998</v>
      </c>
      <c r="BG26" s="42">
        <v>0.21447126</v>
      </c>
      <c r="BH26" s="42">
        <v>0.16290441</v>
      </c>
      <c r="BI26" s="42">
        <v>0.15400082999999998</v>
      </c>
      <c r="BJ26" s="45">
        <f t="shared" si="1"/>
        <v>1.7388005800000002</v>
      </c>
      <c r="BK26" s="44">
        <v>1.738801</v>
      </c>
      <c r="BL26" s="42">
        <v>0.16869942999999998</v>
      </c>
      <c r="BM26" s="42">
        <v>0.19443963</v>
      </c>
      <c r="BN26" s="42">
        <v>0.15385182</v>
      </c>
      <c r="BO26" s="42">
        <v>2.757457E-2</v>
      </c>
      <c r="BP26" s="42">
        <v>5.0280699999999999E-3</v>
      </c>
      <c r="BQ26" s="42">
        <v>8.4306829999999999E-2</v>
      </c>
      <c r="BR26" s="42">
        <v>0.14750929999999998</v>
      </c>
      <c r="BS26" s="42">
        <v>0.19285376999999998</v>
      </c>
      <c r="BT26" s="42">
        <v>0.20462588000000001</v>
      </c>
      <c r="BU26" s="42">
        <v>0.19998973</v>
      </c>
      <c r="BV26" s="42">
        <v>0.14162060000000001</v>
      </c>
      <c r="BW26" s="42">
        <v>0.11406895</v>
      </c>
      <c r="BX26" s="45">
        <f t="shared" si="4"/>
        <v>1.63456858</v>
      </c>
      <c r="BY26" s="45">
        <v>1.63456858</v>
      </c>
      <c r="BZ26" s="45">
        <v>6.8695560000000003E-2</v>
      </c>
      <c r="CA26" s="45">
        <v>4.6174180000000002E-2</v>
      </c>
      <c r="CB26" s="45">
        <v>0.10861564</v>
      </c>
      <c r="CC26" s="45">
        <v>3.3916250000000002E-2</v>
      </c>
      <c r="CD26" s="45">
        <v>3.33563E-3</v>
      </c>
      <c r="CE26" s="45">
        <v>2.7762389999999998E-2</v>
      </c>
      <c r="CF26" s="45">
        <v>0.11658578</v>
      </c>
      <c r="CG26" s="45">
        <v>0.13697257999999998</v>
      </c>
      <c r="CH26" s="45">
        <v>0.12242217999999999</v>
      </c>
      <c r="CI26" s="45">
        <v>0.16283581</v>
      </c>
      <c r="CJ26" s="45">
        <v>6.2574470000000007E-2</v>
      </c>
      <c r="CK26" s="45">
        <v>2.9742319999999999E-2</v>
      </c>
      <c r="CL26" s="45">
        <f t="shared" si="5"/>
        <v>0.91963278999999998</v>
      </c>
      <c r="CM26" s="45">
        <v>0.91963300000000003</v>
      </c>
      <c r="CN26" s="45">
        <v>1.858566E-2</v>
      </c>
      <c r="CO26" s="45">
        <v>0.43289674</v>
      </c>
      <c r="CP26" s="45">
        <v>0.49514332</v>
      </c>
      <c r="CQ26" s="45">
        <v>0.42495002000000004</v>
      </c>
      <c r="CR26" s="45">
        <v>0.41550138000000003</v>
      </c>
      <c r="CS26" s="45">
        <v>0.40288032000000001</v>
      </c>
      <c r="CT26" s="45">
        <v>0.36476267000000001</v>
      </c>
      <c r="CU26" s="45">
        <v>0.37962915999999997</v>
      </c>
      <c r="CV26" s="45">
        <v>0.38807791999999997</v>
      </c>
      <c r="CW26" s="45">
        <v>0.40013477000000003</v>
      </c>
      <c r="CX26" s="45">
        <v>0.43024863000000002</v>
      </c>
      <c r="CY26" s="45">
        <v>0.44948110999999996</v>
      </c>
      <c r="CZ26" s="45">
        <f t="shared" si="6"/>
        <v>4.6022917000000003</v>
      </c>
      <c r="DA26" s="45">
        <v>4.6022920000000003</v>
      </c>
      <c r="DB26" s="45">
        <v>0.44239989000000002</v>
      </c>
      <c r="DC26" s="45">
        <v>0.46416684999999996</v>
      </c>
      <c r="DD26" s="45">
        <v>0.41675265</v>
      </c>
      <c r="DE26" s="45">
        <v>0.48329960999999999</v>
      </c>
      <c r="DF26" s="45">
        <v>0.40844915999999998</v>
      </c>
      <c r="DG26" s="45">
        <v>0.40579187</v>
      </c>
      <c r="DH26" s="45">
        <v>0.39265522999999997</v>
      </c>
      <c r="DI26" s="45">
        <v>0.39961334999999998</v>
      </c>
      <c r="DJ26" s="45">
        <v>0.41481840000000003</v>
      </c>
      <c r="DK26" s="45">
        <v>0.36774628999999998</v>
      </c>
      <c r="DL26" s="45">
        <v>0.46139432000000002</v>
      </c>
      <c r="DM26" s="45">
        <v>0.34032835</v>
      </c>
      <c r="DN26" s="45">
        <f t="shared" si="7"/>
        <v>4.9974159700000005</v>
      </c>
      <c r="DO26" s="50">
        <v>4.9974160000000003</v>
      </c>
      <c r="DP26" s="45">
        <v>0.50939407999999997</v>
      </c>
      <c r="DQ26" s="45">
        <v>0.46078637</v>
      </c>
      <c r="DR26" s="45">
        <v>0.41662242999999999</v>
      </c>
      <c r="DS26" s="45">
        <v>0.41325856</v>
      </c>
      <c r="DT26" s="45">
        <v>0.38620088000000002</v>
      </c>
      <c r="DU26" s="45">
        <v>0.39408859000000002</v>
      </c>
      <c r="DV26" s="45">
        <v>0.37789851000000002</v>
      </c>
      <c r="DW26" s="45">
        <v>0.37604850000000001</v>
      </c>
      <c r="DX26" s="45">
        <v>0.48612346999999995</v>
      </c>
      <c r="DY26" s="45">
        <v>0.37778828999999997</v>
      </c>
      <c r="DZ26" s="45">
        <v>0.41355782000000002</v>
      </c>
      <c r="EA26" s="45">
        <v>0.40563924000000001</v>
      </c>
      <c r="EB26" s="45">
        <f t="shared" si="10"/>
        <v>5.0174067400000002</v>
      </c>
      <c r="EC26" s="50">
        <v>5.0174070000000004</v>
      </c>
      <c r="ED26" s="45">
        <v>0.43697147999999997</v>
      </c>
      <c r="EE26" s="45">
        <v>0.40816726000000003</v>
      </c>
      <c r="EF26" s="45">
        <v>0.42361599</v>
      </c>
      <c r="EG26" s="45">
        <v>0.42842878000000001</v>
      </c>
      <c r="EH26" s="45">
        <v>0.38668428000000005</v>
      </c>
      <c r="EI26" s="45">
        <v>0.36669816</v>
      </c>
      <c r="EJ26" s="45">
        <v>0.35803962</v>
      </c>
      <c r="EK26" s="45">
        <v>0.38183102000000002</v>
      </c>
      <c r="EL26" s="45">
        <v>0.39422942999999999</v>
      </c>
      <c r="EM26" s="45">
        <v>0.39566220000000002</v>
      </c>
      <c r="EN26" s="45">
        <v>0.42206077000000003</v>
      </c>
      <c r="EO26" s="45">
        <v>0.39674380999999997</v>
      </c>
      <c r="EP26" s="45">
        <f t="shared" si="11"/>
        <v>4.7991327999999998</v>
      </c>
      <c r="EQ26" s="45">
        <v>4.7991330000000003</v>
      </c>
      <c r="ER26" s="45">
        <v>0.42642672999999998</v>
      </c>
      <c r="ES26" s="45">
        <v>0.44595979999999996</v>
      </c>
      <c r="ET26" s="45">
        <v>0.41806119000000003</v>
      </c>
      <c r="EU26" s="45">
        <v>0.46918213000000003</v>
      </c>
      <c r="EV26" s="45">
        <v>0.39525737999999999</v>
      </c>
      <c r="EW26" s="45">
        <v>0.39833542999999999</v>
      </c>
      <c r="EX26" s="45">
        <v>0.37680681999999999</v>
      </c>
      <c r="EY26" s="45">
        <v>0.43373690999999998</v>
      </c>
      <c r="EZ26" s="45">
        <v>0.41095847999999996</v>
      </c>
      <c r="FA26" s="45">
        <v>0.39814073999999999</v>
      </c>
      <c r="FB26" s="45">
        <v>0.44900727000000001</v>
      </c>
      <c r="FC26" s="45">
        <v>0.42087928000000002</v>
      </c>
      <c r="FD26" s="45">
        <f t="shared" si="12"/>
        <v>5.04275216</v>
      </c>
      <c r="FE26" s="45">
        <v>5.0427520000000001</v>
      </c>
      <c r="FF26" s="45">
        <v>0.48379061000000001</v>
      </c>
      <c r="FG26" s="45">
        <v>0.41561244000000003</v>
      </c>
      <c r="FH26" s="45">
        <v>0.42839981999999999</v>
      </c>
      <c r="FI26" s="45">
        <v>0.44967048999999998</v>
      </c>
      <c r="FJ26" s="45">
        <v>0.41378862999999999</v>
      </c>
      <c r="FK26" s="45">
        <v>0.40190478999999996</v>
      </c>
      <c r="FL26" s="45">
        <v>0.38874878999999996</v>
      </c>
      <c r="FM26" s="45">
        <v>0.38741755999999999</v>
      </c>
      <c r="FN26" s="45">
        <v>0.41408634999999999</v>
      </c>
      <c r="FO26" s="45">
        <v>0.36916569999999999</v>
      </c>
      <c r="FP26" s="45">
        <v>0.40093808000000003</v>
      </c>
      <c r="FQ26" s="45">
        <v>0.43040110999999998</v>
      </c>
      <c r="FR26" s="45">
        <f t="shared" si="13"/>
        <v>4.9839243700000004</v>
      </c>
      <c r="FS26" s="45">
        <v>4.983924</v>
      </c>
      <c r="FT26" s="45">
        <v>0.43421607000000001</v>
      </c>
      <c r="FU26" s="45">
        <v>0.46753906000000001</v>
      </c>
      <c r="FV26" s="45">
        <v>0.41399075000000002</v>
      </c>
      <c r="FW26" s="45">
        <v>0.43584993999999999</v>
      </c>
      <c r="FX26" s="45">
        <v>0.38106150999999999</v>
      </c>
      <c r="FY26" s="45">
        <v>0.38488783000000004</v>
      </c>
      <c r="FZ26" s="45">
        <v>0.37138394000000002</v>
      </c>
      <c r="GA26" s="45">
        <v>0.36922944000000002</v>
      </c>
      <c r="GB26" s="45">
        <v>0.41312624999999997</v>
      </c>
      <c r="GC26" s="45">
        <v>0.38548478000000003</v>
      </c>
      <c r="GD26" s="45">
        <v>0.42069011000000001</v>
      </c>
      <c r="GE26" s="45">
        <v>0.43678093000000001</v>
      </c>
      <c r="GF26" s="45">
        <f t="shared" si="14"/>
        <v>4.9142406100000002</v>
      </c>
      <c r="GG26" s="45">
        <v>4.9142409999999996</v>
      </c>
      <c r="GH26" s="45">
        <v>0.44794128000000005</v>
      </c>
      <c r="GI26" s="45">
        <v>0.44912417999999998</v>
      </c>
      <c r="GJ26" s="45">
        <v>0.42597166999999997</v>
      </c>
      <c r="GK26" s="45">
        <v>0.41666689000000001</v>
      </c>
      <c r="GL26" s="45">
        <v>0.42158015000000004</v>
      </c>
      <c r="GM26" s="45">
        <v>0.38142877000000003</v>
      </c>
      <c r="GN26" s="45">
        <v>0.36693796999999995</v>
      </c>
      <c r="GO26" s="45">
        <v>0.39519710999999996</v>
      </c>
      <c r="GP26" s="45">
        <v>0.39463628000000001</v>
      </c>
      <c r="GQ26" s="45">
        <v>0.39258134</v>
      </c>
      <c r="GR26" s="45">
        <v>0.43092978999999998</v>
      </c>
      <c r="GS26" s="45">
        <v>0.42922378999999999</v>
      </c>
      <c r="GT26" s="45">
        <f t="shared" si="20"/>
        <v>4.9522192199999999</v>
      </c>
      <c r="GU26" s="45">
        <v>4.9522190000000004</v>
      </c>
      <c r="GV26" s="45">
        <v>0.43988663</v>
      </c>
      <c r="GW26" s="45">
        <v>0.44684942</v>
      </c>
      <c r="GX26" s="45">
        <v>0.44636003000000002</v>
      </c>
      <c r="GY26" s="45">
        <v>0.45297375000000001</v>
      </c>
      <c r="GZ26" s="45">
        <v>0.40747541999999998</v>
      </c>
      <c r="HA26" s="45">
        <v>0.40443572</v>
      </c>
      <c r="HB26" s="45">
        <v>0.37364520000000001</v>
      </c>
      <c r="HC26" s="45">
        <v>0.42002305000000001</v>
      </c>
      <c r="HD26" s="45">
        <v>0.40909305000000001</v>
      </c>
      <c r="HE26" s="45">
        <v>0.39578288</v>
      </c>
      <c r="HF26" s="45">
        <v>0.45376630000000001</v>
      </c>
      <c r="HG26" s="45">
        <v>0.45968819</v>
      </c>
      <c r="HH26" s="45">
        <f t="shared" si="15"/>
        <v>5.1099796399999997</v>
      </c>
      <c r="HI26" s="45">
        <v>0.46304208000000002</v>
      </c>
      <c r="HJ26" s="45">
        <v>0.51569337000000004</v>
      </c>
      <c r="HK26" s="45">
        <v>0.47922179999999998</v>
      </c>
      <c r="HL26" s="45">
        <v>0.47356788</v>
      </c>
      <c r="HM26" s="45"/>
      <c r="HN26" s="45"/>
      <c r="HO26" s="45"/>
      <c r="HP26" s="45"/>
      <c r="HQ26" s="45"/>
      <c r="HR26" s="45"/>
      <c r="HS26" s="45"/>
      <c r="HT26" s="45"/>
      <c r="HU26" s="283">
        <f t="shared" si="16"/>
        <v>1.78607</v>
      </c>
      <c r="HV26" s="283">
        <f t="shared" si="17"/>
        <v>1.9315249999999999</v>
      </c>
      <c r="HW26" s="280">
        <f t="shared" si="21"/>
        <v>0.14545499999999989</v>
      </c>
      <c r="HX26" s="280">
        <f t="shared" si="25"/>
        <v>8.143857743537481</v>
      </c>
    </row>
    <row r="27" spans="1:232" s="12" customFormat="1" ht="20.5">
      <c r="A27" s="77" t="s">
        <v>80</v>
      </c>
      <c r="B27" s="12" t="s">
        <v>81</v>
      </c>
      <c r="C27" s="77" t="s">
        <v>82</v>
      </c>
      <c r="D27" s="42">
        <v>39.621144728829087</v>
      </c>
      <c r="E27" s="42">
        <v>37.549299662494803</v>
      </c>
      <c r="F27" s="42">
        <v>21.445496895293708</v>
      </c>
      <c r="G27" s="42">
        <v>24.569816051132324</v>
      </c>
      <c r="H27" s="42">
        <v>2.1313851372502151</v>
      </c>
      <c r="I27" s="42">
        <v>2.2011883825362406</v>
      </c>
      <c r="J27" s="42">
        <v>2.8171837382826506</v>
      </c>
      <c r="K27" s="42">
        <v>2.0609515597520787</v>
      </c>
      <c r="L27" s="42">
        <v>2.631814844537026</v>
      </c>
      <c r="M27" s="42">
        <v>2.20040011155315</v>
      </c>
      <c r="N27" s="42">
        <v>2.5245929163749778</v>
      </c>
      <c r="O27" s="42">
        <v>2.5667910256629161</v>
      </c>
      <c r="P27" s="42">
        <v>2.6468005304466109</v>
      </c>
      <c r="Q27" s="42">
        <v>2.7724201911201418</v>
      </c>
      <c r="R27" s="42">
        <v>2.6113852510799598</v>
      </c>
      <c r="S27" s="42">
        <v>2.527801492307955</v>
      </c>
      <c r="T27" s="42">
        <v>29.692715180903921</v>
      </c>
      <c r="U27" s="42">
        <v>29.692715180903921</v>
      </c>
      <c r="V27" s="42">
        <v>2.6188695568038884</v>
      </c>
      <c r="W27" s="42">
        <v>2.7055295644304813</v>
      </c>
      <c r="X27" s="42">
        <v>3.0061823780172001</v>
      </c>
      <c r="Y27" s="42">
        <v>2.5020162093556668</v>
      </c>
      <c r="Z27" s="42">
        <v>2.4962535785226039</v>
      </c>
      <c r="AA27" s="42">
        <v>2.2812562250641713</v>
      </c>
      <c r="AB27" s="42">
        <v>2.2273806068263697</v>
      </c>
      <c r="AC27" s="42">
        <v>2.7658564834576924</v>
      </c>
      <c r="AD27" s="42">
        <v>2.6301358558004795</v>
      </c>
      <c r="AE27" s="42">
        <v>3.3834113067085561</v>
      </c>
      <c r="AF27" s="42">
        <v>2.9694182161740685</v>
      </c>
      <c r="AG27" s="42">
        <v>2.3287303430259363</v>
      </c>
      <c r="AH27" s="42">
        <v>31.915040324187114</v>
      </c>
      <c r="AI27" s="42">
        <v>31.915040324187114</v>
      </c>
      <c r="AJ27" s="42">
        <v>2.4242690707508778</v>
      </c>
      <c r="AK27" s="42">
        <v>1.3289992657981458</v>
      </c>
      <c r="AL27" s="42">
        <v>2.2353686091712626</v>
      </c>
      <c r="AM27" s="42">
        <v>2.443990074046249</v>
      </c>
      <c r="AN27" s="42">
        <v>2.3170699085378001</v>
      </c>
      <c r="AO27" s="42">
        <v>1.7322325997006278</v>
      </c>
      <c r="AP27" s="42">
        <v>2.3536505199173599</v>
      </c>
      <c r="AQ27" s="42">
        <v>2.3284343856893246</v>
      </c>
      <c r="AR27" s="42">
        <v>2.4637964496502582</v>
      </c>
      <c r="AS27" s="42">
        <v>2.5855999681276716</v>
      </c>
      <c r="AT27" s="42">
        <v>2.653574823137034</v>
      </c>
      <c r="AU27" s="42">
        <v>2.7012794463321215</v>
      </c>
      <c r="AV27" s="42">
        <v>27.568265120858733</v>
      </c>
      <c r="AW27" s="42">
        <v>27.568265120858733</v>
      </c>
      <c r="AX27" s="42">
        <v>2.5818319999999999</v>
      </c>
      <c r="AY27" s="42">
        <v>2.7064699999999999</v>
      </c>
      <c r="AZ27" s="42">
        <v>3.0772089999999999</v>
      </c>
      <c r="BA27" s="42">
        <v>3.149095</v>
      </c>
      <c r="BB27" s="42">
        <v>2.7078829999999998</v>
      </c>
      <c r="BC27" s="42">
        <v>2.3678279999999998</v>
      </c>
      <c r="BD27" s="42">
        <v>3.2836989999999999</v>
      </c>
      <c r="BE27" s="42">
        <v>2.7371530000000002</v>
      </c>
      <c r="BF27" s="42">
        <v>3.4026588900000001</v>
      </c>
      <c r="BG27" s="42">
        <v>3.2477963599999997</v>
      </c>
      <c r="BH27" s="42">
        <v>3.0349518199999999</v>
      </c>
      <c r="BI27" s="42">
        <v>3.3406056399999997</v>
      </c>
      <c r="BJ27" s="45">
        <f t="shared" si="1"/>
        <v>35.63718171</v>
      </c>
      <c r="BK27" s="44">
        <v>35.637182000000003</v>
      </c>
      <c r="BL27" s="42">
        <v>3.3807308100000002</v>
      </c>
      <c r="BM27" s="42">
        <v>3.1421966600000002</v>
      </c>
      <c r="BN27" s="42">
        <v>3.5649939099999997</v>
      </c>
      <c r="BO27" s="42">
        <v>2.9964210599999999</v>
      </c>
      <c r="BP27" s="42">
        <v>2.75141569</v>
      </c>
      <c r="BQ27" s="42">
        <v>3.21092171</v>
      </c>
      <c r="BR27" s="42">
        <v>3.4151947499999999</v>
      </c>
      <c r="BS27" s="42">
        <v>3.0491496699999998</v>
      </c>
      <c r="BT27" s="42">
        <v>3.6395499</v>
      </c>
      <c r="BU27" s="42">
        <v>3.7936569700000002</v>
      </c>
      <c r="BV27" s="42">
        <v>3.5700300600000001</v>
      </c>
      <c r="BW27" s="42">
        <v>3.4507070299999998</v>
      </c>
      <c r="BX27" s="45">
        <f t="shared" si="4"/>
        <v>39.964968219999996</v>
      </c>
      <c r="BY27" s="45">
        <v>39.964967999999999</v>
      </c>
      <c r="BZ27" s="45">
        <v>2.4417675599999997</v>
      </c>
      <c r="CA27" s="45">
        <v>3.4051756800000001</v>
      </c>
      <c r="CB27" s="45">
        <v>3.5195546799999997</v>
      </c>
      <c r="CC27" s="45">
        <v>3.2439843700000002</v>
      </c>
      <c r="CD27" s="45">
        <v>2.9133125400000002</v>
      </c>
      <c r="CE27" s="45">
        <v>3.0777749999999999</v>
      </c>
      <c r="CF27" s="45">
        <v>2.8963613599999998</v>
      </c>
      <c r="CG27" s="45">
        <v>3.3246597100000002</v>
      </c>
      <c r="CH27" s="45">
        <v>3.4395158300000004</v>
      </c>
      <c r="CI27" s="45">
        <v>8.0694992800000005</v>
      </c>
      <c r="CJ27" s="45">
        <v>3.2424987099999996</v>
      </c>
      <c r="CK27" s="45">
        <v>3.0021208200000005</v>
      </c>
      <c r="CL27" s="45">
        <f t="shared" si="5"/>
        <v>42.576225540000003</v>
      </c>
      <c r="CM27" s="45">
        <v>42.576225999999998</v>
      </c>
      <c r="CN27" s="45">
        <v>2.8427924499999997</v>
      </c>
      <c r="CO27" s="45">
        <v>3.3802950200000002</v>
      </c>
      <c r="CP27" s="45">
        <v>3.5343195400000003</v>
      </c>
      <c r="CQ27" s="45">
        <v>3.04495425</v>
      </c>
      <c r="CR27" s="45">
        <v>3.1052594300000003</v>
      </c>
      <c r="CS27" s="45">
        <v>3.2643814399999997</v>
      </c>
      <c r="CT27" s="45">
        <v>4.0476725800000004</v>
      </c>
      <c r="CU27" s="45">
        <v>4.2239830899999999</v>
      </c>
      <c r="CV27" s="45">
        <v>4.19127998</v>
      </c>
      <c r="CW27" s="45">
        <v>4.3505973600000001</v>
      </c>
      <c r="CX27" s="45">
        <v>4.2197754600000001</v>
      </c>
      <c r="CY27" s="45">
        <v>5.0959252299999998</v>
      </c>
      <c r="CZ27" s="45">
        <f t="shared" si="6"/>
        <v>45.301235830000003</v>
      </c>
      <c r="DA27" s="45">
        <v>45.301236000000003</v>
      </c>
      <c r="DB27" s="45">
        <v>4.5730551799999999</v>
      </c>
      <c r="DC27" s="45">
        <v>3.9441526500000004</v>
      </c>
      <c r="DD27" s="45">
        <v>4.5281036600000002</v>
      </c>
      <c r="DE27" s="45">
        <v>3.8105974099999997</v>
      </c>
      <c r="DF27" s="45">
        <v>4.3658163300000004</v>
      </c>
      <c r="DG27" s="45">
        <v>3.6417229499999997</v>
      </c>
      <c r="DH27" s="45">
        <v>3.6361210800000001</v>
      </c>
      <c r="DI27" s="45">
        <v>5.1534413899999993</v>
      </c>
      <c r="DJ27" s="45">
        <v>4.6832836899999997</v>
      </c>
      <c r="DK27" s="45">
        <v>5.3361932599999999</v>
      </c>
      <c r="DL27" s="45">
        <v>4.9829410000000003</v>
      </c>
      <c r="DM27" s="45">
        <v>4.1290899900000007</v>
      </c>
      <c r="DN27" s="45">
        <f t="shared" si="7"/>
        <v>52.78451858999999</v>
      </c>
      <c r="DO27" s="45">
        <v>52.784519000000003</v>
      </c>
      <c r="DP27" s="45">
        <v>4.3775878399999995</v>
      </c>
      <c r="DQ27" s="45">
        <v>4.0370475399999997</v>
      </c>
      <c r="DR27" s="45">
        <v>4.2486198600000007</v>
      </c>
      <c r="DS27" s="45">
        <v>4.3360582999999995</v>
      </c>
      <c r="DT27" s="45">
        <v>4.2670698499999995</v>
      </c>
      <c r="DU27" s="45">
        <v>3.5320588700000002</v>
      </c>
      <c r="DV27" s="45">
        <v>4.1869190099999996</v>
      </c>
      <c r="DW27" s="45">
        <v>4.2593056699999998</v>
      </c>
      <c r="DX27" s="45">
        <v>4.05480061</v>
      </c>
      <c r="DY27" s="45">
        <v>4.7969013100000009</v>
      </c>
      <c r="DZ27" s="45">
        <v>4.1088525000000002</v>
      </c>
      <c r="EA27" s="45">
        <v>3.4655078100000001</v>
      </c>
      <c r="EB27" s="45">
        <f t="shared" si="10"/>
        <v>49.670729170000001</v>
      </c>
      <c r="EC27" s="45">
        <v>49.670729000000001</v>
      </c>
      <c r="ED27" s="45">
        <v>4.3266214999999999</v>
      </c>
      <c r="EE27" s="45">
        <v>4.24534653</v>
      </c>
      <c r="EF27" s="45">
        <v>4.4216349800000003</v>
      </c>
      <c r="EG27" s="45">
        <v>3.6650933899999996</v>
      </c>
      <c r="EH27" s="45">
        <v>3.7885135600000002</v>
      </c>
      <c r="EI27" s="45">
        <v>3.9138715899999998</v>
      </c>
      <c r="EJ27" s="45">
        <v>3.7646541300000003</v>
      </c>
      <c r="EK27" s="45">
        <v>3.7574420700000002</v>
      </c>
      <c r="EL27" s="45">
        <v>3.7301978399999998</v>
      </c>
      <c r="EM27" s="45">
        <v>4.5115933900000007</v>
      </c>
      <c r="EN27" s="45">
        <v>3.7749249200000006</v>
      </c>
      <c r="EO27" s="45">
        <v>3.8196266800000003</v>
      </c>
      <c r="EP27" s="45">
        <f t="shared" si="11"/>
        <v>47.719520580000008</v>
      </c>
      <c r="EQ27" s="45">
        <v>47.719521</v>
      </c>
      <c r="ER27" s="45">
        <v>4.4934027400000005</v>
      </c>
      <c r="ES27" s="45">
        <v>3.8957172299999998</v>
      </c>
      <c r="ET27" s="45">
        <v>4.6603418699999999</v>
      </c>
      <c r="EU27" s="45">
        <v>5.8040480499999996</v>
      </c>
      <c r="EV27" s="45">
        <v>5.0070785300000002</v>
      </c>
      <c r="EW27" s="45">
        <v>5.1973242099999997</v>
      </c>
      <c r="EX27" s="45">
        <v>5.7530703999999995</v>
      </c>
      <c r="EY27" s="45">
        <v>5.8182615199999992</v>
      </c>
      <c r="EZ27" s="45">
        <v>6.4241213400000001</v>
      </c>
      <c r="FA27" s="45">
        <v>7.6081083599999992</v>
      </c>
      <c r="FB27" s="45">
        <v>7.7492840799999998</v>
      </c>
      <c r="FC27" s="45">
        <v>8.3219279099999994</v>
      </c>
      <c r="FD27" s="45">
        <f t="shared" si="12"/>
        <v>70.732686239999992</v>
      </c>
      <c r="FE27" s="45">
        <v>70.732686000000001</v>
      </c>
      <c r="FF27" s="45">
        <v>10.190891899999999</v>
      </c>
      <c r="FG27" s="45">
        <v>6.08224608</v>
      </c>
      <c r="FH27" s="45">
        <v>7.6192412799999998</v>
      </c>
      <c r="FI27" s="45">
        <v>7.6067234799999994</v>
      </c>
      <c r="FJ27" s="45">
        <v>8.7819127699999999</v>
      </c>
      <c r="FK27" s="45">
        <v>8.4473802400000011</v>
      </c>
      <c r="FL27" s="45">
        <v>6.5185861099999993</v>
      </c>
      <c r="FM27" s="45">
        <v>5.8317595000000004</v>
      </c>
      <c r="FN27" s="45">
        <v>5.8681167099999998</v>
      </c>
      <c r="FO27" s="45">
        <v>5.8004613000000003</v>
      </c>
      <c r="FP27" s="45">
        <v>6.2878124399999997</v>
      </c>
      <c r="FQ27" s="45">
        <v>8.8249214300000016</v>
      </c>
      <c r="FR27" s="45">
        <f t="shared" si="13"/>
        <v>87.860053239999985</v>
      </c>
      <c r="FS27" s="45">
        <v>87.860051999999996</v>
      </c>
      <c r="FT27" s="45">
        <v>5.6276850499999993</v>
      </c>
      <c r="FU27" s="45">
        <v>4.9668836300000008</v>
      </c>
      <c r="FV27" s="45">
        <v>6.3840181500000011</v>
      </c>
      <c r="FW27" s="45">
        <v>3.6746650500000002</v>
      </c>
      <c r="FX27" s="45">
        <v>4.0247763900000004</v>
      </c>
      <c r="FY27" s="45">
        <v>4.399385950000001</v>
      </c>
      <c r="FZ27" s="45">
        <v>4.2794576500000003</v>
      </c>
      <c r="GA27" s="45">
        <v>4.9301913899999992</v>
      </c>
      <c r="GB27" s="45">
        <v>4.1458522699999998</v>
      </c>
      <c r="GC27" s="45">
        <v>5.0929069199999999</v>
      </c>
      <c r="GD27" s="45">
        <v>4.8730808799999998</v>
      </c>
      <c r="GE27" s="45">
        <v>4.4904552500000001</v>
      </c>
      <c r="GF27" s="45">
        <f t="shared" si="14"/>
        <v>56.889358579999993</v>
      </c>
      <c r="GG27" s="45">
        <v>56.889358000000001</v>
      </c>
      <c r="GH27" s="45">
        <v>4.5778784099999994</v>
      </c>
      <c r="GI27" s="45">
        <v>4.8174430199999998</v>
      </c>
      <c r="GJ27" s="45">
        <v>6.1570978599999995</v>
      </c>
      <c r="GK27" s="45">
        <v>5.83326543</v>
      </c>
      <c r="GL27" s="45">
        <v>5.20807427</v>
      </c>
      <c r="GM27" s="45">
        <v>4.3978706399999998</v>
      </c>
      <c r="GN27" s="45">
        <v>4.8375660600000003</v>
      </c>
      <c r="GO27" s="45">
        <v>4.5600166999999994</v>
      </c>
      <c r="GP27" s="45">
        <v>4.5432751200000006</v>
      </c>
      <c r="GQ27" s="45">
        <v>6.0689853099999995</v>
      </c>
      <c r="GR27" s="45">
        <v>5.6977708099999989</v>
      </c>
      <c r="GS27" s="45">
        <v>5.5548312600000003</v>
      </c>
      <c r="GT27" s="45">
        <f t="shared" si="20"/>
        <v>62.254074890000005</v>
      </c>
      <c r="GU27" s="45">
        <v>62.254075</v>
      </c>
      <c r="GV27" s="45">
        <v>8.3573237300000009</v>
      </c>
      <c r="GW27" s="45">
        <v>5.3797267999999994</v>
      </c>
      <c r="GX27" s="45">
        <v>5.2389274500000003</v>
      </c>
      <c r="GY27" s="45">
        <v>6.5289146599999999</v>
      </c>
      <c r="GZ27" s="45">
        <v>5.0880901600000001</v>
      </c>
      <c r="HA27" s="45">
        <v>4.5080626400000003</v>
      </c>
      <c r="HB27" s="45">
        <v>6.2651030500000005</v>
      </c>
      <c r="HC27" s="45">
        <v>4.0575510699999997</v>
      </c>
      <c r="HD27" s="45">
        <v>4.7752739399999999</v>
      </c>
      <c r="HE27" s="45">
        <v>5.45955952</v>
      </c>
      <c r="HF27" s="45">
        <v>6.46647645</v>
      </c>
      <c r="HG27" s="45">
        <v>13.46313239</v>
      </c>
      <c r="HH27" s="45">
        <f t="shared" si="15"/>
        <v>75.588141860000007</v>
      </c>
      <c r="HI27" s="45">
        <v>6.1609492799999996</v>
      </c>
      <c r="HJ27" s="45">
        <v>6.0740649300000005</v>
      </c>
      <c r="HK27" s="45">
        <v>4.7769998500000002</v>
      </c>
      <c r="HL27" s="45">
        <v>6.2303940300000002</v>
      </c>
      <c r="HM27" s="45"/>
      <c r="HN27" s="45"/>
      <c r="HO27" s="45"/>
      <c r="HP27" s="45"/>
      <c r="HQ27" s="45"/>
      <c r="HR27" s="45"/>
      <c r="HS27" s="45"/>
      <c r="HT27" s="45"/>
      <c r="HU27" s="283">
        <f t="shared" si="16"/>
        <v>25.504892999999999</v>
      </c>
      <c r="HV27" s="283">
        <f t="shared" si="17"/>
        <v>23.242408000000001</v>
      </c>
      <c r="HW27" s="280">
        <f t="shared" si="21"/>
        <v>-2.2624849999999981</v>
      </c>
      <c r="HX27" s="280">
        <f t="shared" si="25"/>
        <v>-8.870788048395255</v>
      </c>
    </row>
    <row r="28" spans="1:232" s="12" customFormat="1" ht="21" hidden="1" customHeight="1">
      <c r="A28" s="77" t="s">
        <v>83</v>
      </c>
      <c r="B28" s="12" t="s">
        <v>84</v>
      </c>
      <c r="C28" s="77" t="s">
        <v>83</v>
      </c>
      <c r="D28" s="44" t="s">
        <v>46</v>
      </c>
      <c r="E28" s="44" t="s">
        <v>46</v>
      </c>
      <c r="F28" s="44" t="s">
        <v>46</v>
      </c>
      <c r="G28" s="44" t="s">
        <v>46</v>
      </c>
      <c r="H28" s="44" t="s">
        <v>46</v>
      </c>
      <c r="I28" s="44" t="s">
        <v>46</v>
      </c>
      <c r="J28" s="44" t="s">
        <v>46</v>
      </c>
      <c r="K28" s="44" t="s">
        <v>46</v>
      </c>
      <c r="L28" s="44" t="s">
        <v>46</v>
      </c>
      <c r="M28" s="44" t="s">
        <v>46</v>
      </c>
      <c r="N28" s="44" t="s">
        <v>46</v>
      </c>
      <c r="O28" s="44" t="s">
        <v>46</v>
      </c>
      <c r="P28" s="44" t="s">
        <v>46</v>
      </c>
      <c r="Q28" s="44" t="s">
        <v>46</v>
      </c>
      <c r="R28" s="44" t="s">
        <v>46</v>
      </c>
      <c r="S28" s="44" t="s">
        <v>46</v>
      </c>
      <c r="T28" s="44">
        <v>0</v>
      </c>
      <c r="U28" s="44" t="s">
        <v>46</v>
      </c>
      <c r="V28" s="44" t="s">
        <v>46</v>
      </c>
      <c r="W28" s="44" t="s">
        <v>46</v>
      </c>
      <c r="X28" s="44" t="s">
        <v>46</v>
      </c>
      <c r="Y28" s="44" t="s">
        <v>46</v>
      </c>
      <c r="Z28" s="44" t="s">
        <v>46</v>
      </c>
      <c r="AA28" s="44" t="s">
        <v>46</v>
      </c>
      <c r="AB28" s="44" t="s">
        <v>46</v>
      </c>
      <c r="AC28" s="44" t="s">
        <v>46</v>
      </c>
      <c r="AD28" s="44" t="s">
        <v>46</v>
      </c>
      <c r="AE28" s="44" t="s">
        <v>46</v>
      </c>
      <c r="AF28" s="44" t="s">
        <v>46</v>
      </c>
      <c r="AG28" s="44" t="s">
        <v>46</v>
      </c>
      <c r="AH28" s="44">
        <v>0</v>
      </c>
      <c r="AI28" s="44" t="s">
        <v>46</v>
      </c>
      <c r="AJ28" s="44" t="s">
        <v>46</v>
      </c>
      <c r="AK28" s="44" t="s">
        <v>46</v>
      </c>
      <c r="AL28" s="44" t="s">
        <v>46</v>
      </c>
      <c r="AM28" s="44" t="s">
        <v>46</v>
      </c>
      <c r="AN28" s="44" t="s">
        <v>46</v>
      </c>
      <c r="AO28" s="44" t="s">
        <v>46</v>
      </c>
      <c r="AP28" s="44" t="s">
        <v>46</v>
      </c>
      <c r="AQ28" s="44" t="s">
        <v>46</v>
      </c>
      <c r="AR28" s="44" t="s">
        <v>46</v>
      </c>
      <c r="AS28" s="44" t="s">
        <v>46</v>
      </c>
      <c r="AT28" s="44" t="s">
        <v>46</v>
      </c>
      <c r="AU28" s="44" t="s">
        <v>46</v>
      </c>
      <c r="AV28" s="44" t="s">
        <v>46</v>
      </c>
      <c r="AW28" s="44" t="s">
        <v>46</v>
      </c>
      <c r="AX28" s="44"/>
      <c r="AY28" s="44"/>
      <c r="AZ28" s="44">
        <v>2.7927059999999999</v>
      </c>
      <c r="BA28" s="44">
        <v>2.5697930000000002</v>
      </c>
      <c r="BB28" s="44">
        <v>2.746076</v>
      </c>
      <c r="BC28" s="44">
        <v>2.5419719999999999</v>
      </c>
      <c r="BD28" s="44">
        <v>2.5598619999999999</v>
      </c>
      <c r="BE28" s="44">
        <v>2.3077019999999999</v>
      </c>
      <c r="BF28" s="44">
        <v>2.3262954200000001</v>
      </c>
      <c r="BG28" s="44">
        <v>2.2600144800000002</v>
      </c>
      <c r="BH28" s="44">
        <v>2.2820726499999999</v>
      </c>
      <c r="BI28" s="44">
        <v>2.59003615</v>
      </c>
      <c r="BJ28" s="50">
        <f t="shared" si="1"/>
        <v>24.976529699999997</v>
      </c>
      <c r="BK28" s="44">
        <v>24.97653</v>
      </c>
      <c r="BL28" s="44">
        <v>2.6578912099999998</v>
      </c>
      <c r="BM28" s="42">
        <v>2.66595227</v>
      </c>
      <c r="BN28" s="42">
        <v>2.8182498199999997</v>
      </c>
      <c r="BO28" s="42">
        <v>2.7897721899999999</v>
      </c>
      <c r="BP28" s="42">
        <v>2.7885663700000003</v>
      </c>
      <c r="BQ28" s="42">
        <v>2.7059291400000003</v>
      </c>
      <c r="BR28" s="42">
        <v>2.6090785299999997</v>
      </c>
      <c r="BS28" s="42">
        <v>2.36219599</v>
      </c>
      <c r="BT28" s="42">
        <v>2.51282681</v>
      </c>
      <c r="BU28" s="42">
        <v>2.2583141200000001</v>
      </c>
      <c r="BV28" s="42">
        <v>2.4182676299999999</v>
      </c>
      <c r="BW28" s="42">
        <v>2.44323508</v>
      </c>
      <c r="BX28" s="45">
        <f t="shared" si="4"/>
        <v>31.030279159999999</v>
      </c>
      <c r="BY28" s="45">
        <v>31.030279159999999</v>
      </c>
      <c r="BZ28" s="45">
        <v>2.50069608</v>
      </c>
      <c r="CA28" s="45">
        <v>2.7211892999999998</v>
      </c>
      <c r="CB28" s="45">
        <v>2.6356979300000001</v>
      </c>
      <c r="CC28" s="45">
        <v>2.6168763099999999</v>
      </c>
      <c r="CD28" s="45">
        <v>2.6647590800000001</v>
      </c>
      <c r="CE28" s="45">
        <v>2.4488686299999998</v>
      </c>
      <c r="CF28" s="45">
        <v>2.2670969100000002</v>
      </c>
      <c r="CG28" s="45">
        <v>2.2620278599999999</v>
      </c>
      <c r="CH28" s="45">
        <v>2.1948775699999996</v>
      </c>
      <c r="CI28" s="45">
        <v>2.3972796499999998</v>
      </c>
      <c r="CJ28" s="45">
        <v>2.27393548</v>
      </c>
      <c r="CK28" s="45">
        <v>2.25213785</v>
      </c>
      <c r="CL28" s="45">
        <f t="shared" si="5"/>
        <v>29.23544265</v>
      </c>
      <c r="CM28" s="45">
        <v>29.235443</v>
      </c>
      <c r="CN28" s="45">
        <v>2.5956331499999998</v>
      </c>
      <c r="CO28" s="45">
        <v>2.7150087300000001</v>
      </c>
      <c r="CP28" s="45">
        <v>2.6297472799999997</v>
      </c>
      <c r="CQ28" s="45">
        <v>2.6166387799999997</v>
      </c>
      <c r="CR28" s="45">
        <v>2.7685647700000002</v>
      </c>
      <c r="CS28" s="45">
        <v>2.6363543700000003</v>
      </c>
      <c r="CT28" s="45">
        <v>2.5531593399999997</v>
      </c>
      <c r="CU28" s="45">
        <v>2.5457564700000002</v>
      </c>
      <c r="CV28" s="45">
        <v>2.4111152900000001</v>
      </c>
      <c r="CW28" s="45">
        <v>2.4333384100000002</v>
      </c>
      <c r="CX28" s="45">
        <v>2.4561539799999998</v>
      </c>
      <c r="CY28" s="45">
        <v>2.7021582299999998</v>
      </c>
      <c r="CZ28" s="45">
        <f t="shared" si="6"/>
        <v>31.063628800000004</v>
      </c>
      <c r="DA28" s="45">
        <v>31.063628999999999</v>
      </c>
      <c r="DB28" s="45">
        <v>2.6419992099999998</v>
      </c>
      <c r="DC28" s="45">
        <v>2.6259112599999996</v>
      </c>
      <c r="DD28" s="45">
        <v>0</v>
      </c>
      <c r="DE28" s="45">
        <v>-1.0014729999999999E-2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f t="shared" si="7"/>
        <v>5.2578957399999995</v>
      </c>
      <c r="DO28" s="50">
        <v>5.2578959999999997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f t="shared" si="10"/>
        <v>0</v>
      </c>
      <c r="EC28" s="50"/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/>
      <c r="EJ28" s="45"/>
      <c r="EK28" s="45"/>
      <c r="EL28" s="45">
        <v>0</v>
      </c>
      <c r="EM28" s="45">
        <v>0</v>
      </c>
      <c r="EN28" s="45">
        <v>0</v>
      </c>
      <c r="EO28" s="45">
        <v>0</v>
      </c>
      <c r="EP28" s="45">
        <f t="shared" si="11"/>
        <v>0</v>
      </c>
      <c r="EQ28" s="45"/>
      <c r="ER28" s="45">
        <v>0</v>
      </c>
      <c r="ES28" s="45">
        <v>0</v>
      </c>
      <c r="ET28" s="45">
        <v>0</v>
      </c>
      <c r="EU28" s="45">
        <v>0</v>
      </c>
      <c r="EV28" s="45">
        <v>0</v>
      </c>
      <c r="EW28" s="45">
        <v>0</v>
      </c>
      <c r="EX28" s="45">
        <v>0</v>
      </c>
      <c r="EY28" s="45">
        <v>0</v>
      </c>
      <c r="EZ28" s="45">
        <v>0</v>
      </c>
      <c r="FA28" s="45"/>
      <c r="FB28" s="45"/>
      <c r="FC28" s="45"/>
      <c r="FD28" s="45">
        <f t="shared" si="12"/>
        <v>0</v>
      </c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>
        <f t="shared" si="13"/>
        <v>0</v>
      </c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>
        <f t="shared" si="14"/>
        <v>0</v>
      </c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>
        <f t="shared" si="20"/>
        <v>0</v>
      </c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>
        <f t="shared" si="15"/>
        <v>0</v>
      </c>
      <c r="HI28" s="45"/>
      <c r="HJ28" s="45"/>
      <c r="HK28" s="45"/>
      <c r="HL28" s="45">
        <v>6.2303940300000002</v>
      </c>
      <c r="HM28" s="45"/>
      <c r="HN28" s="45"/>
      <c r="HO28" s="45"/>
      <c r="HP28" s="45"/>
      <c r="HQ28" s="45"/>
      <c r="HR28" s="45"/>
      <c r="HS28" s="45"/>
      <c r="HT28" s="45"/>
      <c r="HU28" s="283">
        <f t="shared" si="16"/>
        <v>0</v>
      </c>
      <c r="HV28" s="283">
        <f t="shared" si="17"/>
        <v>6.2303940000000004</v>
      </c>
      <c r="HW28" s="277">
        <f t="shared" si="21"/>
        <v>6.2303940000000004</v>
      </c>
      <c r="HX28" s="277" t="e">
        <f t="shared" si="25"/>
        <v>#DIV/0!</v>
      </c>
    </row>
    <row r="29" spans="1:232" s="12" customFormat="1" ht="20.5">
      <c r="A29" s="46" t="s">
        <v>85</v>
      </c>
      <c r="B29" s="12" t="s">
        <v>86</v>
      </c>
      <c r="C29" s="46" t="s">
        <v>87</v>
      </c>
      <c r="D29" s="42">
        <v>0</v>
      </c>
      <c r="E29" s="42">
        <v>0</v>
      </c>
      <c r="F29" s="42">
        <v>3.2408751230784114E-2</v>
      </c>
      <c r="G29" s="42">
        <v>0.12383395655118638</v>
      </c>
      <c r="H29" s="42">
        <v>0.44088963637088008</v>
      </c>
      <c r="I29" s="42">
        <v>-0.30488016573610849</v>
      </c>
      <c r="J29" s="42">
        <v>0.17121274210163856</v>
      </c>
      <c r="K29" s="42">
        <v>5.5412319793285182E-2</v>
      </c>
      <c r="L29" s="42">
        <v>0.43877098024484779</v>
      </c>
      <c r="M29" s="42">
        <v>0.29009225900820146</v>
      </c>
      <c r="N29" s="42">
        <v>-0.48073716142765266</v>
      </c>
      <c r="O29" s="42">
        <v>0.65086425233777845</v>
      </c>
      <c r="P29" s="42">
        <v>0.44084695021656112</v>
      </c>
      <c r="Q29" s="42">
        <v>-0.88946562626279879</v>
      </c>
      <c r="R29" s="42">
        <v>0.62282656330925834</v>
      </c>
      <c r="S29" s="42">
        <v>-1.4044826153522176</v>
      </c>
      <c r="T29" s="42">
        <v>3.135013460367353E-2</v>
      </c>
      <c r="U29" s="42">
        <v>3.1350134603673287E-2</v>
      </c>
      <c r="V29" s="42">
        <v>0.86141797713160417</v>
      </c>
      <c r="W29" s="42">
        <v>0.90722164358768598</v>
      </c>
      <c r="X29" s="42">
        <v>0.60363771407106392</v>
      </c>
      <c r="Y29" s="42">
        <v>-1.6480668863580743</v>
      </c>
      <c r="Z29" s="42">
        <v>0.94062213647048121</v>
      </c>
      <c r="AA29" s="42">
        <v>0.64262867029783555</v>
      </c>
      <c r="AB29" s="42">
        <v>-1.4002396116129106</v>
      </c>
      <c r="AC29" s="42">
        <v>1.1617307243555814</v>
      </c>
      <c r="AD29" s="42">
        <v>0.6704970375808903</v>
      </c>
      <c r="AE29" s="42">
        <v>-1.4940808532677674</v>
      </c>
      <c r="AF29" s="42">
        <v>1.1915128542239373</v>
      </c>
      <c r="AG29" s="42">
        <v>-2.4422726677708155</v>
      </c>
      <c r="AH29" s="42">
        <v>-5.3912612904878365E-3</v>
      </c>
      <c r="AI29" s="42">
        <v>-5.3912612904878175E-3</v>
      </c>
      <c r="AJ29" s="42">
        <v>1.925339070352474</v>
      </c>
      <c r="AK29" s="42">
        <v>1.6504132019738076</v>
      </c>
      <c r="AL29" s="42">
        <v>0.68807661880125892</v>
      </c>
      <c r="AM29" s="42">
        <v>-3.0391218604333501</v>
      </c>
      <c r="AN29" s="42">
        <v>1.362833734583184</v>
      </c>
      <c r="AO29" s="42">
        <v>0.85604236743103346</v>
      </c>
      <c r="AP29" s="42">
        <v>-2.0349186971047404</v>
      </c>
      <c r="AQ29" s="42">
        <v>1.5832835328199613</v>
      </c>
      <c r="AR29" s="42">
        <v>0.98787286355797643</v>
      </c>
      <c r="AS29" s="42">
        <v>-1.9577150955316134</v>
      </c>
      <c r="AT29" s="42">
        <v>1.6899647696939686</v>
      </c>
      <c r="AU29" s="42">
        <v>-3.7140084575500425</v>
      </c>
      <c r="AV29" s="42">
        <v>-1.937951406081097E-3</v>
      </c>
      <c r="AW29" s="42">
        <v>-1.9379514060819231E-3</v>
      </c>
      <c r="AX29" s="42">
        <v>2.4652609999999999</v>
      </c>
      <c r="AY29" s="42">
        <v>1.7009380000000001</v>
      </c>
      <c r="AZ29" s="42">
        <v>1.1983740000000001</v>
      </c>
      <c r="BA29" s="42">
        <v>-3.148946</v>
      </c>
      <c r="BB29" s="42">
        <v>1.6613119999999999</v>
      </c>
      <c r="BC29" s="42">
        <v>1.1012470000000001</v>
      </c>
      <c r="BD29" s="42">
        <v>-2.7156099999999999</v>
      </c>
      <c r="BE29" s="42">
        <v>1.8125830000000001</v>
      </c>
      <c r="BF29" s="42">
        <v>1.2380702399999997</v>
      </c>
      <c r="BG29" s="42">
        <v>-2.9264369300000004</v>
      </c>
      <c r="BH29" s="42">
        <v>1.9053963800000002</v>
      </c>
      <c r="BI29" s="42">
        <v>-4.291625569999999</v>
      </c>
      <c r="BJ29" s="45">
        <f t="shared" si="1"/>
        <v>5.6312000000069418E-4</v>
      </c>
      <c r="BK29" s="44">
        <v>5.6300000000000002E-4</v>
      </c>
      <c r="BL29" s="42">
        <v>2.4580776600000003</v>
      </c>
      <c r="BM29" s="42">
        <v>2.2537743999999997</v>
      </c>
      <c r="BN29" s="42">
        <v>1.5245784199999999</v>
      </c>
      <c r="BO29" s="42">
        <v>-5.4997201799999997</v>
      </c>
      <c r="BP29" s="42">
        <v>8.3633853699999996</v>
      </c>
      <c r="BQ29" s="42">
        <v>2.3706220199999999</v>
      </c>
      <c r="BR29" s="42">
        <v>-8.7054396000000001</v>
      </c>
      <c r="BS29" s="42">
        <v>2.19491382</v>
      </c>
      <c r="BT29" s="42">
        <v>1.4693522700000001</v>
      </c>
      <c r="BU29" s="42">
        <v>-4.1264802000000005</v>
      </c>
      <c r="BV29" s="42">
        <v>2.3148835500000002</v>
      </c>
      <c r="BW29" s="42">
        <v>-4.6155962400000003</v>
      </c>
      <c r="BX29" s="45">
        <f t="shared" si="4"/>
        <v>2.3512900000000059E-3</v>
      </c>
      <c r="BY29" s="45">
        <v>2.3519999999999999E-3</v>
      </c>
      <c r="BZ29" s="45">
        <v>2.3891937200000002</v>
      </c>
      <c r="CA29" s="45">
        <v>2.4790009400000002</v>
      </c>
      <c r="CB29" s="45">
        <v>1.4882863299999998</v>
      </c>
      <c r="CC29" s="45">
        <v>-4.4924985199999998</v>
      </c>
      <c r="CD29" s="45">
        <v>2.3320667899999998</v>
      </c>
      <c r="CE29" s="45">
        <v>1.4362413999999999</v>
      </c>
      <c r="CF29" s="45">
        <v>-3.52442645</v>
      </c>
      <c r="CG29" s="45">
        <v>2.4384935400000001</v>
      </c>
      <c r="CH29" s="45">
        <v>1.5017888300000002</v>
      </c>
      <c r="CI29" s="45">
        <v>-3.8398782000000002</v>
      </c>
      <c r="CJ29" s="45">
        <v>2.4829898400000001</v>
      </c>
      <c r="CK29" s="45">
        <v>-4.6933903700000004</v>
      </c>
      <c r="CL29" s="45">
        <f t="shared" si="5"/>
        <v>-2.1321499999995552E-3</v>
      </c>
      <c r="CM29" s="45">
        <v>-2.1320000000000002E-3</v>
      </c>
      <c r="CN29" s="45">
        <v>2.5015902099999998</v>
      </c>
      <c r="CO29" s="45">
        <v>2.6406221399999996</v>
      </c>
      <c r="CP29" s="45">
        <v>1.92169141</v>
      </c>
      <c r="CQ29" s="45">
        <v>-3.6705595999999998</v>
      </c>
      <c r="CR29" s="45">
        <v>3.2846009000000005</v>
      </c>
      <c r="CS29" s="45">
        <v>2.0482035500000002</v>
      </c>
      <c r="CT29" s="45">
        <v>-5.6699492199999995</v>
      </c>
      <c r="CU29" s="45">
        <v>3.4801058</v>
      </c>
      <c r="CV29" s="45">
        <v>2.1819820600000002</v>
      </c>
      <c r="CW29" s="45">
        <v>-5.7197377300000003</v>
      </c>
      <c r="CX29" s="45">
        <v>3.39876304</v>
      </c>
      <c r="CY29" s="45">
        <v>-6.3972662399999995</v>
      </c>
      <c r="CZ29" s="45">
        <f t="shared" si="6"/>
        <v>4.6320000003596817E-5</v>
      </c>
      <c r="DA29" s="45">
        <v>4.6E-5</v>
      </c>
      <c r="DB29" s="45">
        <v>3.7753718200000002</v>
      </c>
      <c r="DC29" s="45">
        <v>3.6055820300000003</v>
      </c>
      <c r="DD29" s="45">
        <v>2.3114003599999999</v>
      </c>
      <c r="DE29" s="45">
        <v>-7.2582298300000003</v>
      </c>
      <c r="DF29" s="45">
        <v>3.3282697999999997</v>
      </c>
      <c r="DG29" s="45">
        <v>2.2327938999999999</v>
      </c>
      <c r="DH29" s="45">
        <v>-5.2313562999999998</v>
      </c>
      <c r="DI29" s="45">
        <v>3.4598137599999998</v>
      </c>
      <c r="DJ29" s="45">
        <v>2.19141875</v>
      </c>
      <c r="DK29" s="45">
        <v>-5.3201735899999996</v>
      </c>
      <c r="DL29" s="45">
        <v>3.5010428200000003</v>
      </c>
      <c r="DM29" s="45">
        <v>-6.5910152000000002</v>
      </c>
      <c r="DN29" s="45">
        <f t="shared" si="7"/>
        <v>4.918320000002474E-3</v>
      </c>
      <c r="DO29" s="45">
        <v>4.9179999999999996E-3</v>
      </c>
      <c r="DP29" s="45">
        <v>4.3315611500000006</v>
      </c>
      <c r="DQ29" s="45">
        <v>3.3821438600000002</v>
      </c>
      <c r="DR29" s="45">
        <v>2.3051744599999999</v>
      </c>
      <c r="DS29" s="45">
        <v>-6.7302654500000001</v>
      </c>
      <c r="DT29" s="45">
        <v>3.1781012400000002</v>
      </c>
      <c r="DU29" s="45">
        <v>2.2583292099999999</v>
      </c>
      <c r="DV29" s="45">
        <v>-6.3695969399999992</v>
      </c>
      <c r="DW29" s="45">
        <v>2.9182235900000002</v>
      </c>
      <c r="DX29" s="45">
        <v>2.2505934299999999</v>
      </c>
      <c r="DY29" s="45">
        <v>-4.4158282199999999</v>
      </c>
      <c r="DZ29" s="45">
        <v>2.9119962600000004</v>
      </c>
      <c r="EA29" s="45">
        <v>-6.0248081300000003</v>
      </c>
      <c r="EB29" s="45">
        <f t="shared" si="10"/>
        <v>-4.3755399999962918E-3</v>
      </c>
      <c r="EC29" s="85">
        <v>-4.3750000000000004E-3</v>
      </c>
      <c r="ED29" s="45">
        <v>3.1906939100000002</v>
      </c>
      <c r="EE29" s="45">
        <v>2.7969236500000001</v>
      </c>
      <c r="EF29" s="45">
        <v>1.8809337599999998</v>
      </c>
      <c r="EG29" s="45">
        <v>-5.6012135800000005</v>
      </c>
      <c r="EH29" s="45">
        <v>2.1095652999999999</v>
      </c>
      <c r="EI29" s="45">
        <v>1.6402025999999998</v>
      </c>
      <c r="EJ29" s="45">
        <v>-3.79470252</v>
      </c>
      <c r="EK29" s="45">
        <v>2.1702610900000003</v>
      </c>
      <c r="EL29" s="45">
        <v>1.9274877099999999</v>
      </c>
      <c r="EM29" s="45">
        <v>-4.12643264</v>
      </c>
      <c r="EN29" s="45">
        <v>2.653759</v>
      </c>
      <c r="EO29" s="45">
        <v>-4.8474626799999996</v>
      </c>
      <c r="EP29" s="45">
        <f t="shared" si="11"/>
        <v>1.5599999999338365E-5</v>
      </c>
      <c r="EQ29" s="45">
        <v>-5.2700000000000002E-4</v>
      </c>
      <c r="ER29" s="45">
        <v>8.1142869999999992E-2</v>
      </c>
      <c r="ES29" s="45">
        <v>-6.5845680000000004E-2</v>
      </c>
      <c r="ET29" s="45">
        <v>-4.3249349999999999E-2</v>
      </c>
      <c r="EU29" s="45">
        <v>-3.5170299999999995E-3</v>
      </c>
      <c r="EV29" s="45">
        <v>-6.9920000000000008E-4</v>
      </c>
      <c r="EW29" s="45">
        <v>2.5249000000000002E-4</v>
      </c>
      <c r="EX29" s="45">
        <v>-9.7064999999999999E-4</v>
      </c>
      <c r="EY29" s="45">
        <v>-4.9182660000000003E-2</v>
      </c>
      <c r="EZ29" s="45">
        <v>-5.91677E-3</v>
      </c>
      <c r="FA29" s="45">
        <v>-2.51359E-3</v>
      </c>
      <c r="FB29" s="45">
        <v>-3.349620000134057E-3</v>
      </c>
      <c r="FC29" s="45">
        <v>1.8079040000000001E-2</v>
      </c>
      <c r="FD29" s="45">
        <f t="shared" si="12"/>
        <v>-7.5770150000134054E-2</v>
      </c>
      <c r="FE29" s="45">
        <v>-7.6009999999999994E-2</v>
      </c>
      <c r="FF29" s="45">
        <v>2.1775099999999997E-3</v>
      </c>
      <c r="FG29" s="45">
        <v>1.2406199999999998E-3</v>
      </c>
      <c r="FH29" s="45">
        <v>6.9286E-4</v>
      </c>
      <c r="FI29" s="45">
        <v>0.12301068</v>
      </c>
      <c r="FJ29" s="45">
        <v>-0.12159968000000002</v>
      </c>
      <c r="FK29" s="45">
        <v>1.4570000000000002E-4</v>
      </c>
      <c r="FL29" s="45">
        <v>-2.5219999999999999E-5</v>
      </c>
      <c r="FM29" s="45">
        <v>2.7604000000000002E-4</v>
      </c>
      <c r="FN29" s="45">
        <f>0.00037485-0.000014</f>
        <v>3.6084999999999996E-4</v>
      </c>
      <c r="FO29" s="45">
        <v>2.1312000000000002E-4</v>
      </c>
      <c r="FP29" s="45">
        <v>2.2640999999999998E-3</v>
      </c>
      <c r="FQ29" s="45">
        <v>4.4005599999999995E-3</v>
      </c>
      <c r="FR29" s="45">
        <f t="shared" si="13"/>
        <v>1.3157139999999975E-2</v>
      </c>
      <c r="FS29" s="45">
        <f>0.013171-0.000015</f>
        <v>1.3156000000000001E-2</v>
      </c>
      <c r="FT29" s="45">
        <v>8.5182599999999997E-3</v>
      </c>
      <c r="FU29" s="45">
        <v>1.3332699999999999E-3</v>
      </c>
      <c r="FV29" s="45">
        <v>9.077E-4</v>
      </c>
      <c r="FW29" s="45">
        <v>2.9379999999999999E-4</v>
      </c>
      <c r="FX29" s="45">
        <v>7.1229999999999994E-5</v>
      </c>
      <c r="FY29" s="45">
        <v>-9.6949999999999998E-5</v>
      </c>
      <c r="FZ29" s="45">
        <v>2.4283E-4</v>
      </c>
      <c r="GA29" s="45">
        <v>1.6200000000000001E-4</v>
      </c>
      <c r="GB29" s="45">
        <v>2.04E-4</v>
      </c>
      <c r="GC29" s="45">
        <v>6.0621999999999998E-4</v>
      </c>
      <c r="GD29" s="45">
        <v>1.717E-3</v>
      </c>
      <c r="GE29" s="45">
        <v>9.6045299999607259E-3</v>
      </c>
      <c r="GF29" s="45">
        <f t="shared" si="14"/>
        <v>2.3563889999960723E-2</v>
      </c>
      <c r="GG29" s="45">
        <v>2.3415999999999999E-2</v>
      </c>
      <c r="GH29" s="45">
        <v>2.7195100000000001E-3</v>
      </c>
      <c r="GI29" s="45">
        <v>1.4986400000000001E-3</v>
      </c>
      <c r="GJ29" s="45">
        <v>9.9201999999999992E-4</v>
      </c>
      <c r="GK29" s="45">
        <v>2.8653990000000001E-2</v>
      </c>
      <c r="GL29" s="45">
        <v>5.2400000000000005E-4</v>
      </c>
      <c r="GM29" s="45">
        <v>-4.9392450000000004E-2</v>
      </c>
      <c r="GN29" s="45">
        <v>5.2171290000000002E-2</v>
      </c>
      <c r="GO29" s="45">
        <v>1.5300000000000001E-4</v>
      </c>
      <c r="GP29" s="45">
        <v>3.2713000000000002E-4</v>
      </c>
      <c r="GQ29" s="45">
        <v>2.8801E-4</v>
      </c>
      <c r="GR29" s="45">
        <v>1.97051E-3</v>
      </c>
      <c r="GS29" s="45">
        <v>9.7623400000000013E-3</v>
      </c>
      <c r="GT29" s="45">
        <f>SUM(GH29:GS29)</f>
        <v>4.9667990000000002E-2</v>
      </c>
      <c r="GU29" s="45">
        <f>0.020532+0.029136</f>
        <v>4.9668000000000004E-2</v>
      </c>
      <c r="GV29" s="45">
        <v>2.60377E-3</v>
      </c>
      <c r="GW29" s="45">
        <v>8.0212999999999997E-4</v>
      </c>
      <c r="GX29" s="45">
        <v>8.2401000000000002E-4</v>
      </c>
      <c r="GY29" s="45">
        <v>4.6599E-4</v>
      </c>
      <c r="GZ29" s="45">
        <v>-1E-8</v>
      </c>
      <c r="HA29" s="45">
        <v>6.4099999999999997E-4</v>
      </c>
      <c r="HB29" s="45">
        <v>4.1102000000000001E-4</v>
      </c>
      <c r="HC29" s="45">
        <v>2.9498000000000003E-4</v>
      </c>
      <c r="HD29" s="45">
        <v>-5.1960000000000004E-5</v>
      </c>
      <c r="HE29" s="45">
        <v>7.6502000000000004E-4</v>
      </c>
      <c r="HF29" s="45">
        <v>1.8338199999999999E-3</v>
      </c>
      <c r="HG29" s="45">
        <v>8.9922300000000004E-3</v>
      </c>
      <c r="HH29" s="45">
        <f t="shared" si="15"/>
        <v>1.7582E-2</v>
      </c>
      <c r="HI29" s="45">
        <v>-3.1729799999999997E-3</v>
      </c>
      <c r="HJ29" s="45">
        <v>6.3619899999999997E-3</v>
      </c>
      <c r="HK29" s="45">
        <v>5.7701000000000009E-4</v>
      </c>
      <c r="HL29" s="45">
        <v>4.4598000000000001E-4</v>
      </c>
      <c r="HM29" s="45"/>
      <c r="HN29" s="45"/>
      <c r="HO29" s="45"/>
      <c r="HP29" s="45"/>
      <c r="HQ29" s="45"/>
      <c r="HR29" s="45"/>
      <c r="HS29" s="45"/>
      <c r="HT29" s="45"/>
      <c r="HU29" s="283">
        <f t="shared" si="16"/>
        <v>4.6959999999999997E-3</v>
      </c>
      <c r="HV29" s="283">
        <f t="shared" si="17"/>
        <v>4.2119999999999996E-3</v>
      </c>
      <c r="HW29" s="280">
        <f t="shared" si="21"/>
        <v>-4.8400000000000006E-4</v>
      </c>
      <c r="HX29" s="280">
        <f t="shared" si="25"/>
        <v>-10.306643952299837</v>
      </c>
    </row>
    <row r="30" spans="1:232" s="12" customFormat="1" ht="20.5">
      <c r="A30" s="46" t="s">
        <v>88</v>
      </c>
      <c r="C30" s="46" t="s">
        <v>89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5"/>
      <c r="BK30" s="44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8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>
        <f t="shared" si="11"/>
        <v>0</v>
      </c>
      <c r="EQ30" s="45"/>
      <c r="ER30" s="45">
        <v>108.444799</v>
      </c>
      <c r="ES30" s="45">
        <v>16.010897029999999</v>
      </c>
      <c r="ET30" s="45">
        <v>46.653340319999998</v>
      </c>
      <c r="EU30" s="45">
        <v>57.285141270000004</v>
      </c>
      <c r="EV30" s="45">
        <v>74.044946999999993</v>
      </c>
      <c r="EW30" s="45">
        <v>-38.021982999999999</v>
      </c>
      <c r="EX30" s="45">
        <v>6.8669710000000004</v>
      </c>
      <c r="EY30" s="45">
        <v>4.1647794499999709</v>
      </c>
      <c r="EZ30" s="45">
        <v>15.1746669</v>
      </c>
      <c r="FA30" s="45">
        <v>-78.06193193</v>
      </c>
      <c r="FB30" s="45">
        <v>43.919421</v>
      </c>
      <c r="FC30" s="45">
        <v>89.553413580000012</v>
      </c>
      <c r="FD30" s="45">
        <f t="shared" si="12"/>
        <v>346.03446161999989</v>
      </c>
      <c r="FE30" s="45">
        <v>346.03446100000002</v>
      </c>
      <c r="FF30" s="45">
        <v>-100.50582699999997</v>
      </c>
      <c r="FG30" s="45">
        <v>9.4563140000000004E-2</v>
      </c>
      <c r="FH30" s="45">
        <v>39.035239429999997</v>
      </c>
      <c r="FI30" s="45">
        <v>4.7994269200000002</v>
      </c>
      <c r="FJ30" s="45">
        <v>59.771283740000001</v>
      </c>
      <c r="FK30" s="45">
        <v>-106.98573773000001</v>
      </c>
      <c r="FL30" s="45">
        <v>10.1221838</v>
      </c>
      <c r="FM30" s="45">
        <v>-22.73803946</v>
      </c>
      <c r="FN30" s="45">
        <v>16.212695960000001</v>
      </c>
      <c r="FO30" s="45">
        <v>-26.931324750000002</v>
      </c>
      <c r="FP30" s="45">
        <v>5.1394456399999999</v>
      </c>
      <c r="FQ30" s="45">
        <v>139.84237862000001</v>
      </c>
      <c r="FR30" s="45">
        <f t="shared" si="13"/>
        <v>17.856288310000039</v>
      </c>
      <c r="FS30" s="45">
        <v>17.856287999999999</v>
      </c>
      <c r="FT30" s="45">
        <v>-129.65501176999999</v>
      </c>
      <c r="FU30" s="45">
        <v>6.4317831200000004</v>
      </c>
      <c r="FV30" s="45">
        <v>-11.924212610000001</v>
      </c>
      <c r="FW30" s="45">
        <v>18.271030469999999</v>
      </c>
      <c r="FX30" s="45">
        <v>73.487500209999993</v>
      </c>
      <c r="FY30" s="45">
        <v>-108.10106795</v>
      </c>
      <c r="FZ30" s="45">
        <v>-6.3888475300000005</v>
      </c>
      <c r="GA30" s="45">
        <v>-6.7772362299999998</v>
      </c>
      <c r="GB30" s="45">
        <v>-15.61334416</v>
      </c>
      <c r="GC30" s="45">
        <v>26.04573744</v>
      </c>
      <c r="GD30" s="45">
        <v>-18.672512879999999</v>
      </c>
      <c r="GE30" s="45">
        <v>134.08311295999999</v>
      </c>
      <c r="GF30" s="45">
        <f t="shared" si="14"/>
        <v>-38.813068929999986</v>
      </c>
      <c r="GG30" s="45">
        <v>-38.813068999999999</v>
      </c>
      <c r="GH30" s="45">
        <v>-144.84002692999999</v>
      </c>
      <c r="GI30" s="45">
        <v>-7.8529006500000005</v>
      </c>
      <c r="GJ30" s="45">
        <v>80.096921949999995</v>
      </c>
      <c r="GK30" s="45">
        <v>-43.489684559999993</v>
      </c>
      <c r="GL30" s="45">
        <v>53.921879650000001</v>
      </c>
      <c r="GM30" s="45">
        <v>-38.914134019999999</v>
      </c>
      <c r="GN30" s="45">
        <v>-3.3675344700000003</v>
      </c>
      <c r="GO30" s="45">
        <v>-11.24128499</v>
      </c>
      <c r="GP30" s="45">
        <v>-6.6318157199999996</v>
      </c>
      <c r="GQ30" s="45">
        <v>-10.398508150000001</v>
      </c>
      <c r="GR30" s="45">
        <v>8.2443690400000005</v>
      </c>
      <c r="GS30" s="45">
        <v>150.36969403000001</v>
      </c>
      <c r="GT30" s="45">
        <f t="shared" si="20"/>
        <v>25.896975179999984</v>
      </c>
      <c r="GU30" s="45">
        <v>25.896975000000001</v>
      </c>
      <c r="GV30" s="45">
        <v>-167.33376544999999</v>
      </c>
      <c r="GW30" s="45">
        <v>-5.837085769999999</v>
      </c>
      <c r="GX30" s="45">
        <v>72.739804839999991</v>
      </c>
      <c r="GY30" s="45">
        <v>-27.10248614</v>
      </c>
      <c r="GZ30" s="45">
        <v>-1.3178509199999999</v>
      </c>
      <c r="HA30" s="45">
        <v>26.463781940000001</v>
      </c>
      <c r="HB30" s="45">
        <v>-3.9396755099999998</v>
      </c>
      <c r="HC30" s="45">
        <v>-1.2945258100000001</v>
      </c>
      <c r="HD30" s="45">
        <v>-42.40067449</v>
      </c>
      <c r="HE30" s="45">
        <v>-0.68301065000000005</v>
      </c>
      <c r="HF30" s="45">
        <v>-2.3671898700000003</v>
      </c>
      <c r="HG30" s="45">
        <v>122.42129473999999</v>
      </c>
      <c r="HH30" s="45">
        <f t="shared" si="15"/>
        <v>-30.651383089999982</v>
      </c>
      <c r="HI30" s="45">
        <v>-131.96988658000001</v>
      </c>
      <c r="HJ30" s="45">
        <v>9.9572780899999991</v>
      </c>
      <c r="HK30" s="45">
        <v>67.716127540000002</v>
      </c>
      <c r="HL30" s="45">
        <v>-27.697971800000001</v>
      </c>
      <c r="HM30" s="45"/>
      <c r="HN30" s="45"/>
      <c r="HO30" s="45"/>
      <c r="HP30" s="45"/>
      <c r="HQ30" s="45"/>
      <c r="HR30" s="45"/>
      <c r="HS30" s="45"/>
      <c r="HT30" s="45"/>
      <c r="HU30" s="283">
        <f t="shared" si="16"/>
        <v>-127.53353300000001</v>
      </c>
      <c r="HV30" s="283">
        <f t="shared" si="17"/>
        <v>-81.994452999999993</v>
      </c>
      <c r="HW30" s="280">
        <f t="shared" si="21"/>
        <v>45.539080000000013</v>
      </c>
      <c r="HX30" s="280">
        <f t="shared" si="25"/>
        <v>-35.707534268653887</v>
      </c>
    </row>
    <row r="31" spans="1:232" s="12" customFormat="1" ht="20.5">
      <c r="A31" s="42" t="s">
        <v>90</v>
      </c>
      <c r="B31" s="12" t="s">
        <v>91</v>
      </c>
      <c r="C31" s="42" t="s">
        <v>92</v>
      </c>
      <c r="D31" s="42">
        <v>331.6943742494351</v>
      </c>
      <c r="E31" s="42">
        <v>404.6035452274034</v>
      </c>
      <c r="F31" s="42">
        <v>583.04529854696329</v>
      </c>
      <c r="G31" s="42">
        <v>530.92517117147872</v>
      </c>
      <c r="H31" s="42">
        <v>27.069470293282343</v>
      </c>
      <c r="I31" s="42">
        <v>13.290112179213551</v>
      </c>
      <c r="J31" s="42">
        <v>16.386015162122014</v>
      </c>
      <c r="K31" s="42">
        <v>41.725620514396617</v>
      </c>
      <c r="L31" s="42">
        <v>25.922706757502795</v>
      </c>
      <c r="M31" s="42">
        <v>141.1386218632791</v>
      </c>
      <c r="N31" s="42">
        <v>29.852869363293319</v>
      </c>
      <c r="O31" s="42">
        <v>24.250014228718104</v>
      </c>
      <c r="P31" s="42">
        <v>50.518833131285547</v>
      </c>
      <c r="Q31" s="42">
        <v>21.037118456923977</v>
      </c>
      <c r="R31" s="42">
        <v>17.551754116368148</v>
      </c>
      <c r="S31" s="42">
        <v>35.817956357675818</v>
      </c>
      <c r="T31" s="42">
        <v>444.56109242406137</v>
      </c>
      <c r="U31" s="42">
        <v>443.8422903113813</v>
      </c>
      <c r="V31" s="42">
        <v>54.620503013642505</v>
      </c>
      <c r="W31" s="42">
        <v>20.918706196891307</v>
      </c>
      <c r="X31" s="42">
        <v>27.106583058719071</v>
      </c>
      <c r="Y31" s="42">
        <v>52.413458090733691</v>
      </c>
      <c r="Z31" s="42">
        <v>40.811507902630041</v>
      </c>
      <c r="AA31" s="42">
        <v>75.92153573400266</v>
      </c>
      <c r="AB31" s="42">
        <v>100.37076339918386</v>
      </c>
      <c r="AC31" s="42">
        <v>31.59083044490356</v>
      </c>
      <c r="AD31" s="42">
        <v>20.662306702864527</v>
      </c>
      <c r="AE31" s="42">
        <v>53.735181074666627</v>
      </c>
      <c r="AF31" s="42">
        <v>29.749533298046117</v>
      </c>
      <c r="AG31" s="42">
        <v>22.824870091803689</v>
      </c>
      <c r="AH31" s="42">
        <v>530.72577900808756</v>
      </c>
      <c r="AI31" s="42">
        <v>530.55561579046218</v>
      </c>
      <c r="AJ31" s="42">
        <v>37.710458392382513</v>
      </c>
      <c r="AK31" s="42">
        <v>25.7638374283584</v>
      </c>
      <c r="AL31" s="42">
        <v>30.808548329263925</v>
      </c>
      <c r="AM31" s="42">
        <v>55.760839437453399</v>
      </c>
      <c r="AN31" s="42">
        <v>71.338654873905099</v>
      </c>
      <c r="AO31" s="42">
        <v>31.329427550213143</v>
      </c>
      <c r="AP31" s="42">
        <v>81.036623297533865</v>
      </c>
      <c r="AQ31" s="42">
        <v>47.678253111820652</v>
      </c>
      <c r="AR31" s="42">
        <v>27.706464391210066</v>
      </c>
      <c r="AS31" s="42">
        <v>30.830460555147663</v>
      </c>
      <c r="AT31" s="42">
        <v>24.480718664094109</v>
      </c>
      <c r="AU31" s="42">
        <v>25.128516627679982</v>
      </c>
      <c r="AV31" s="42">
        <v>489.57280265906292</v>
      </c>
      <c r="AW31" s="42">
        <v>486.46671618260569</v>
      </c>
      <c r="AX31" s="42">
        <v>23.070115000000001</v>
      </c>
      <c r="AY31" s="42">
        <v>27.103866</v>
      </c>
      <c r="AZ31" s="42">
        <v>18.700016999999999</v>
      </c>
      <c r="BA31" s="42">
        <v>62.126857999999999</v>
      </c>
      <c r="BB31" s="42">
        <v>117.69045699999999</v>
      </c>
      <c r="BC31" s="42">
        <v>26.971485000000001</v>
      </c>
      <c r="BD31" s="42">
        <v>34.199058000000001</v>
      </c>
      <c r="BE31" s="42">
        <v>31.302434999999999</v>
      </c>
      <c r="BF31" s="42">
        <v>20.509296820000003</v>
      </c>
      <c r="BG31" s="42">
        <v>24.384728280000008</v>
      </c>
      <c r="BH31" s="42">
        <v>25.925042279999985</v>
      </c>
      <c r="BI31" s="42">
        <v>32.429046030000002</v>
      </c>
      <c r="BJ31" s="45">
        <f t="shared" si="1"/>
        <v>444.41240440999991</v>
      </c>
      <c r="BK31" s="44">
        <v>444.42962799999998</v>
      </c>
      <c r="BL31" s="42">
        <v>33.068566849999996</v>
      </c>
      <c r="BM31" s="42">
        <v>27.171565319999978</v>
      </c>
      <c r="BN31" s="42">
        <v>17.483850059999998</v>
      </c>
      <c r="BO31" s="42">
        <v>79.782239340000004</v>
      </c>
      <c r="BP31" s="42">
        <v>42.939050929999993</v>
      </c>
      <c r="BQ31" s="42">
        <v>73.479087040000053</v>
      </c>
      <c r="BR31" s="42">
        <v>34.432767959999993</v>
      </c>
      <c r="BS31" s="42">
        <v>30.795877899999994</v>
      </c>
      <c r="BT31" s="42">
        <v>19.026327750000004</v>
      </c>
      <c r="BU31" s="42">
        <v>21.241984440000007</v>
      </c>
      <c r="BV31" s="42">
        <v>26.603667349999988</v>
      </c>
      <c r="BW31" s="42">
        <v>52.855166610000005</v>
      </c>
      <c r="BX31" s="45">
        <f t="shared" si="4"/>
        <v>458.88015155000005</v>
      </c>
      <c r="BY31" s="45">
        <v>459.27737100000002</v>
      </c>
      <c r="BZ31" s="45">
        <v>18.92306318</v>
      </c>
      <c r="CA31" s="45">
        <v>26.721433479999995</v>
      </c>
      <c r="CB31" s="45">
        <v>19.251489410000001</v>
      </c>
      <c r="CC31" s="45">
        <v>60.163412510000022</v>
      </c>
      <c r="CD31" s="45">
        <v>118.32543175999999</v>
      </c>
      <c r="CE31" s="45">
        <v>21.23700367999999</v>
      </c>
      <c r="CF31" s="45">
        <v>62.882030180000029</v>
      </c>
      <c r="CG31" s="45">
        <v>28.699481959999996</v>
      </c>
      <c r="CH31" s="45">
        <v>71.923809460000015</v>
      </c>
      <c r="CI31" s="45">
        <v>22.374332690000003</v>
      </c>
      <c r="CJ31" s="45">
        <v>28.869958580000009</v>
      </c>
      <c r="CK31" s="45">
        <v>37.60855600999998</v>
      </c>
      <c r="CL31" s="45">
        <f t="shared" si="5"/>
        <v>516.98000290000004</v>
      </c>
      <c r="CM31" s="45">
        <v>517.70306200000005</v>
      </c>
      <c r="CN31" s="45">
        <v>21.270577470000013</v>
      </c>
      <c r="CO31" s="45">
        <v>29.77732473</v>
      </c>
      <c r="CP31" s="45">
        <v>20.413565160000005</v>
      </c>
      <c r="CQ31" s="45">
        <v>52.582060299999995</v>
      </c>
      <c r="CR31" s="45">
        <v>116.93600302999995</v>
      </c>
      <c r="CS31" s="45">
        <v>63.922644360000007</v>
      </c>
      <c r="CT31" s="45">
        <v>25.872514049999989</v>
      </c>
      <c r="CU31" s="45">
        <v>43.787566930000004</v>
      </c>
      <c r="CV31" s="45">
        <v>18.713594640000007</v>
      </c>
      <c r="CW31" s="45">
        <v>23.480789879999996</v>
      </c>
      <c r="CX31" s="45">
        <v>31.728159420000001</v>
      </c>
      <c r="CY31" s="45">
        <v>26.416576269999997</v>
      </c>
      <c r="CZ31" s="45">
        <f t="shared" si="6"/>
        <v>474.90137623999999</v>
      </c>
      <c r="DA31" s="45">
        <v>476.82687900000002</v>
      </c>
      <c r="DB31" s="45">
        <v>24.715110310000011</v>
      </c>
      <c r="DC31" s="45">
        <v>23.767066219999997</v>
      </c>
      <c r="DD31" s="45">
        <v>21.358417720000013</v>
      </c>
      <c r="DE31" s="45">
        <v>62.479558700000034</v>
      </c>
      <c r="DF31" s="45">
        <v>206.97402087000003</v>
      </c>
      <c r="DG31" s="45">
        <v>68.167953609999998</v>
      </c>
      <c r="DH31" s="45">
        <v>29.665766970000014</v>
      </c>
      <c r="DI31" s="45">
        <v>28.816835839999996</v>
      </c>
      <c r="DJ31" s="45">
        <v>45.002745769999976</v>
      </c>
      <c r="DK31" s="45">
        <v>31.748992880000028</v>
      </c>
      <c r="DL31" s="45">
        <v>89.532899400000005</v>
      </c>
      <c r="DM31" s="45">
        <v>25.508217970000011</v>
      </c>
      <c r="DN31" s="45">
        <f t="shared" si="7"/>
        <v>657.73758626000017</v>
      </c>
      <c r="DO31" s="45">
        <v>657.95522300000005</v>
      </c>
      <c r="DP31" s="45">
        <v>24.401680089999999</v>
      </c>
      <c r="DQ31" s="45">
        <v>24.621852259999994</v>
      </c>
      <c r="DR31" s="45">
        <v>28.225399189999994</v>
      </c>
      <c r="DS31" s="45">
        <v>52.574821499999999</v>
      </c>
      <c r="DT31" s="45">
        <v>235.69510517999993</v>
      </c>
      <c r="DU31" s="45">
        <v>35.153288300000042</v>
      </c>
      <c r="DV31" s="45">
        <v>33.943638460000031</v>
      </c>
      <c r="DW31" s="45">
        <v>30.268678320000006</v>
      </c>
      <c r="DX31" s="45">
        <v>24.509899629999996</v>
      </c>
      <c r="DY31" s="45">
        <v>27.279014199999988</v>
      </c>
      <c r="DZ31" s="45">
        <v>29.821527860000007</v>
      </c>
      <c r="EA31" s="45">
        <v>28.613167329999996</v>
      </c>
      <c r="EB31" s="45">
        <f t="shared" si="10"/>
        <v>575.10807232000002</v>
      </c>
      <c r="EC31" s="45">
        <v>575.09333200000003</v>
      </c>
      <c r="ED31" s="45">
        <v>36.872057219999988</v>
      </c>
      <c r="EE31" s="45">
        <v>30.830161790000012</v>
      </c>
      <c r="EF31" s="45">
        <v>42.386489040000015</v>
      </c>
      <c r="EG31" s="45">
        <v>62.085011070000022</v>
      </c>
      <c r="EH31" s="45">
        <v>168.1877786200001</v>
      </c>
      <c r="EI31" s="45">
        <v>87.024621380000028</v>
      </c>
      <c r="EJ31" s="45">
        <v>27.858982970000021</v>
      </c>
      <c r="EK31" s="45">
        <v>27.582814970000015</v>
      </c>
      <c r="EL31" s="45">
        <v>26.404481820000012</v>
      </c>
      <c r="EM31" s="45">
        <v>33.537361219999994</v>
      </c>
      <c r="EN31" s="45">
        <v>41.441277210000003</v>
      </c>
      <c r="EO31" s="45">
        <v>32.936806659999995</v>
      </c>
      <c r="EP31" s="45">
        <f t="shared" si="11"/>
        <v>617.14784397000017</v>
      </c>
      <c r="EQ31" s="45">
        <v>615.65615100000002</v>
      </c>
      <c r="ER31" s="45">
        <v>27.519936999999999</v>
      </c>
      <c r="ES31" s="45">
        <v>40.42398</v>
      </c>
      <c r="ET31" s="45">
        <v>29.426504059999989</v>
      </c>
      <c r="EU31" s="45">
        <v>38.851857999999993</v>
      </c>
      <c r="EV31" s="45">
        <v>176.90497899999994</v>
      </c>
      <c r="EW31" s="45">
        <v>125.49519600000009</v>
      </c>
      <c r="EX31" s="45">
        <v>40.294282999999965</v>
      </c>
      <c r="EY31" s="45">
        <v>37.134296999999997</v>
      </c>
      <c r="EZ31" s="45">
        <v>50.894100000000002</v>
      </c>
      <c r="FA31" s="45">
        <v>43.893127999999997</v>
      </c>
      <c r="FB31" s="45">
        <v>35.615649000000019</v>
      </c>
      <c r="FC31" s="45">
        <v>44.861483</v>
      </c>
      <c r="FD31" s="45">
        <f t="shared" si="12"/>
        <v>691.3153940599999</v>
      </c>
      <c r="FE31" s="45">
        <v>691.07778399999995</v>
      </c>
      <c r="FF31" s="45">
        <v>53.230626660000027</v>
      </c>
      <c r="FG31" s="45">
        <v>41.995261469999718</v>
      </c>
      <c r="FH31" s="45">
        <v>57.351317739999985</v>
      </c>
      <c r="FI31" s="45">
        <v>62.244</v>
      </c>
      <c r="FJ31" s="45">
        <v>81.180646119999977</v>
      </c>
      <c r="FK31" s="45">
        <v>120.0216306899999</v>
      </c>
      <c r="FL31" s="45">
        <v>127.551964</v>
      </c>
      <c r="FM31" s="45">
        <v>47.848266000000002</v>
      </c>
      <c r="FN31" s="45">
        <v>33.022106999999991</v>
      </c>
      <c r="FO31" s="45">
        <v>43.401689500000025</v>
      </c>
      <c r="FP31" s="45">
        <v>50.261271999999998</v>
      </c>
      <c r="FQ31" s="45">
        <v>44.827418999999999</v>
      </c>
      <c r="FR31" s="45">
        <f t="shared" si="13"/>
        <v>762.93620017999945</v>
      </c>
      <c r="FS31" s="45">
        <v>762.74035200000003</v>
      </c>
      <c r="FT31" s="45">
        <v>47.244660749999987</v>
      </c>
      <c r="FU31" s="45">
        <v>49.118406730000046</v>
      </c>
      <c r="FV31" s="45">
        <v>45.837812</v>
      </c>
      <c r="FW31" s="45">
        <v>75.896910000000005</v>
      </c>
      <c r="FX31" s="45">
        <v>184.49235006999999</v>
      </c>
      <c r="FY31" s="45">
        <v>224.23545410000008</v>
      </c>
      <c r="FZ31" s="45">
        <v>89.714450000000014</v>
      </c>
      <c r="GA31" s="45">
        <v>68.883344000000008</v>
      </c>
      <c r="GB31" s="45">
        <v>49.164190239999961</v>
      </c>
      <c r="GC31" s="45">
        <v>71.27105367999998</v>
      </c>
      <c r="GD31" s="45">
        <v>77.997642789999929</v>
      </c>
      <c r="GE31" s="45">
        <v>50.699468909999965</v>
      </c>
      <c r="GF31" s="45">
        <f t="shared" si="14"/>
        <v>1034.55574327</v>
      </c>
      <c r="GG31" s="45">
        <v>1034.8014290000001</v>
      </c>
      <c r="GH31" s="45">
        <v>102.27642575999998</v>
      </c>
      <c r="GI31" s="45">
        <v>57.001479350000018</v>
      </c>
      <c r="GJ31" s="45">
        <v>41.547941000000002</v>
      </c>
      <c r="GK31" s="45">
        <v>90.648233000000005</v>
      </c>
      <c r="GL31" s="45">
        <v>92.537816000000007</v>
      </c>
      <c r="GM31" s="45">
        <v>436.30876044999991</v>
      </c>
      <c r="GN31" s="45">
        <v>87.984021999999996</v>
      </c>
      <c r="GO31" s="45">
        <v>50.019739159999993</v>
      </c>
      <c r="GP31" s="45">
        <v>48.449691000000001</v>
      </c>
      <c r="GQ31" s="45">
        <v>89.059668000000002</v>
      </c>
      <c r="GR31" s="45">
        <v>65.186832000000024</v>
      </c>
      <c r="GS31" s="45">
        <v>38.007834000000003</v>
      </c>
      <c r="GT31" s="45">
        <f t="shared" si="20"/>
        <v>1199.02844172</v>
      </c>
      <c r="GU31" s="45">
        <v>1198.4595670000001</v>
      </c>
      <c r="GV31" s="45">
        <v>81.584427999999988</v>
      </c>
      <c r="GW31" s="45">
        <v>55.768585000000002</v>
      </c>
      <c r="GX31" s="45">
        <v>40.335816999999999</v>
      </c>
      <c r="GY31" s="45">
        <v>59.50880999999999</v>
      </c>
      <c r="GZ31" s="45">
        <v>48.787350000000004</v>
      </c>
      <c r="HA31" s="45">
        <v>359.14106199999998</v>
      </c>
      <c r="HB31" s="45">
        <v>139.77301800000001</v>
      </c>
      <c r="HC31" s="45">
        <v>84.663038000000014</v>
      </c>
      <c r="HD31" s="45">
        <v>51.698357000000001</v>
      </c>
      <c r="HE31" s="45">
        <v>69.782149000000004</v>
      </c>
      <c r="HF31" s="45">
        <v>57.532591439999962</v>
      </c>
      <c r="HG31" s="45">
        <v>52.301110999999999</v>
      </c>
      <c r="HH31" s="45">
        <f t="shared" si="15"/>
        <v>1100.8763164399998</v>
      </c>
      <c r="HI31" s="45">
        <v>73.801389999999998</v>
      </c>
      <c r="HJ31" s="45">
        <v>65.370475999999982</v>
      </c>
      <c r="HK31" s="45">
        <v>41.296945999999998</v>
      </c>
      <c r="HL31" s="45">
        <v>87.971113349999939</v>
      </c>
      <c r="HM31" s="45"/>
      <c r="HN31" s="45"/>
      <c r="HO31" s="45"/>
      <c r="HP31" s="45"/>
      <c r="HQ31" s="45"/>
      <c r="HR31" s="45"/>
      <c r="HS31" s="45"/>
      <c r="HT31" s="45"/>
      <c r="HU31" s="283">
        <f t="shared" si="16"/>
        <v>237.19764000000001</v>
      </c>
      <c r="HV31" s="283">
        <f t="shared" si="17"/>
        <v>268.43992500000002</v>
      </c>
      <c r="HW31" s="280">
        <f t="shared" si="21"/>
        <v>31.24228500000001</v>
      </c>
      <c r="HX31" s="280">
        <f t="shared" si="25"/>
        <v>13.171414774615812</v>
      </c>
    </row>
    <row r="32" spans="1:232" s="12" customFormat="1" ht="20.5">
      <c r="A32" s="42" t="s">
        <v>93</v>
      </c>
      <c r="B32" s="12" t="s">
        <v>94</v>
      </c>
      <c r="C32" s="42" t="s">
        <v>95</v>
      </c>
      <c r="D32" s="42">
        <v>167.92290738242812</v>
      </c>
      <c r="E32" s="42">
        <v>177.22481232320817</v>
      </c>
      <c r="F32" s="42">
        <v>208.8462956955282</v>
      </c>
      <c r="G32" s="42">
        <v>182.56566553406071</v>
      </c>
      <c r="H32" s="42">
        <v>12.818811503634015</v>
      </c>
      <c r="I32" s="42">
        <v>17.498830399371659</v>
      </c>
      <c r="J32" s="42">
        <v>17.606679814002199</v>
      </c>
      <c r="K32" s="42">
        <v>14.40082156618346</v>
      </c>
      <c r="L32" s="42">
        <v>13.897749585944306</v>
      </c>
      <c r="M32" s="42">
        <v>12.159180938070929</v>
      </c>
      <c r="N32" s="42">
        <v>12.103162474886311</v>
      </c>
      <c r="O32" s="42">
        <v>17.223750860837445</v>
      </c>
      <c r="P32" s="42">
        <v>18.514053704873621</v>
      </c>
      <c r="Q32" s="42">
        <v>14.985895071741199</v>
      </c>
      <c r="R32" s="42">
        <v>16.48107011343134</v>
      </c>
      <c r="S32" s="42">
        <v>12.928863523827411</v>
      </c>
      <c r="T32" s="42">
        <v>180.61886955680387</v>
      </c>
      <c r="U32" s="42">
        <v>179.97555648516516</v>
      </c>
      <c r="V32" s="42">
        <v>14.660391801981776</v>
      </c>
      <c r="W32" s="42">
        <v>17.340846196094503</v>
      </c>
      <c r="X32" s="42">
        <v>13.903396964160706</v>
      </c>
      <c r="Y32" s="42">
        <v>14.672222753422396</v>
      </c>
      <c r="Z32" s="42">
        <v>12.981578078667736</v>
      </c>
      <c r="AA32" s="42">
        <v>11.180862658721351</v>
      </c>
      <c r="AB32" s="42">
        <v>14.095137477885633</v>
      </c>
      <c r="AC32" s="42">
        <v>17.073031741424352</v>
      </c>
      <c r="AD32" s="42">
        <v>15.947705192343809</v>
      </c>
      <c r="AE32" s="42">
        <v>15.058608089879966</v>
      </c>
      <c r="AF32" s="42">
        <v>12.846348341785193</v>
      </c>
      <c r="AG32" s="42">
        <v>12.564551425432981</v>
      </c>
      <c r="AH32" s="42">
        <v>172.32467952658209</v>
      </c>
      <c r="AI32" s="42">
        <v>171.35617754025304</v>
      </c>
      <c r="AJ32" s="42">
        <v>18.004591607332912</v>
      </c>
      <c r="AK32" s="42">
        <v>16.852048366258586</v>
      </c>
      <c r="AL32" s="42">
        <v>13.587944860871595</v>
      </c>
      <c r="AM32" s="42">
        <v>14.757573946647998</v>
      </c>
      <c r="AN32" s="42">
        <v>12.783374881190204</v>
      </c>
      <c r="AO32" s="42">
        <v>10.865249379847581</v>
      </c>
      <c r="AP32" s="42">
        <v>13.680237387284023</v>
      </c>
      <c r="AQ32" s="42">
        <v>16.936344983807718</v>
      </c>
      <c r="AR32" s="42">
        <v>15.618910820086398</v>
      </c>
      <c r="AS32" s="42">
        <v>15.453504817843951</v>
      </c>
      <c r="AT32" s="42">
        <v>11.722214159281963</v>
      </c>
      <c r="AU32" s="42">
        <v>13.226092907837748</v>
      </c>
      <c r="AV32" s="42">
        <v>173.48808771720138</v>
      </c>
      <c r="AW32" s="42">
        <v>170.34286799733638</v>
      </c>
      <c r="AX32" s="42">
        <v>17.646000470000001</v>
      </c>
      <c r="AY32" s="42">
        <v>15.275582999999999</v>
      </c>
      <c r="AZ32" s="42">
        <v>13.032706989999999</v>
      </c>
      <c r="BA32" s="42">
        <v>17.284323439999998</v>
      </c>
      <c r="BB32" s="42">
        <v>10.119256889999999</v>
      </c>
      <c r="BC32" s="42">
        <v>12.01884871</v>
      </c>
      <c r="BD32" s="42">
        <v>13.90601347</v>
      </c>
      <c r="BE32" s="42">
        <v>17.016182589999996</v>
      </c>
      <c r="BF32" s="42">
        <v>16.709697909999988</v>
      </c>
      <c r="BG32" s="42">
        <v>15.316467960000022</v>
      </c>
      <c r="BH32" s="42">
        <v>12.167971769999998</v>
      </c>
      <c r="BI32" s="42">
        <v>13.603823469999995</v>
      </c>
      <c r="BJ32" s="45">
        <f t="shared" si="1"/>
        <v>174.09687667000003</v>
      </c>
      <c r="BK32" s="42">
        <v>169.75266999999999</v>
      </c>
      <c r="BL32" s="42">
        <v>17.907413529999996</v>
      </c>
      <c r="BM32" s="42">
        <v>15.51970882</v>
      </c>
      <c r="BN32" s="42">
        <v>14.310958799999987</v>
      </c>
      <c r="BO32" s="42">
        <v>16.426004570000014</v>
      </c>
      <c r="BP32" s="42">
        <v>12.965828969999992</v>
      </c>
      <c r="BQ32" s="42">
        <v>10.946263599999995</v>
      </c>
      <c r="BR32" s="42">
        <v>17.697969590000014</v>
      </c>
      <c r="BS32" s="42">
        <v>18.403298349999979</v>
      </c>
      <c r="BT32" s="42">
        <v>17.34770748</v>
      </c>
      <c r="BU32" s="42">
        <v>15.822033980000002</v>
      </c>
      <c r="BV32" s="42">
        <v>14.108457480000006</v>
      </c>
      <c r="BW32" s="42">
        <v>13.646973770000002</v>
      </c>
      <c r="BX32" s="45">
        <f t="shared" si="4"/>
        <v>185.10261894000001</v>
      </c>
      <c r="BY32" s="45">
        <v>183.378669</v>
      </c>
      <c r="BZ32" s="45">
        <v>19.050275119999995</v>
      </c>
      <c r="CA32" s="45">
        <v>17.635866610000008</v>
      </c>
      <c r="CB32" s="45">
        <v>16.251379839999998</v>
      </c>
      <c r="CC32" s="45">
        <v>18.322706939999996</v>
      </c>
      <c r="CD32" s="45">
        <v>13.95751310999999</v>
      </c>
      <c r="CE32" s="45">
        <v>13.131727509999999</v>
      </c>
      <c r="CF32" s="45">
        <v>19.752259759999991</v>
      </c>
      <c r="CG32" s="45">
        <v>20.429445229999992</v>
      </c>
      <c r="CH32" s="45">
        <v>17.797014279999985</v>
      </c>
      <c r="CI32" s="45">
        <v>20.086822080000001</v>
      </c>
      <c r="CJ32" s="45">
        <v>13.293686139999989</v>
      </c>
      <c r="CK32" s="45">
        <v>15.950940849999993</v>
      </c>
      <c r="CL32" s="45">
        <f t="shared" si="5"/>
        <v>205.65963746999992</v>
      </c>
      <c r="CM32" s="45">
        <v>203.84200200000001</v>
      </c>
      <c r="CN32" s="45">
        <v>22.558996980000011</v>
      </c>
      <c r="CO32" s="45">
        <v>21.146452339999993</v>
      </c>
      <c r="CP32" s="45">
        <v>15.056858609999983</v>
      </c>
      <c r="CQ32" s="45">
        <v>17.86066438999999</v>
      </c>
      <c r="CR32" s="45">
        <v>15.192373809999998</v>
      </c>
      <c r="CS32" s="45">
        <v>13.801702280000011</v>
      </c>
      <c r="CT32" s="45">
        <v>18.115223249999975</v>
      </c>
      <c r="CU32" s="45">
        <v>22.161494890000007</v>
      </c>
      <c r="CV32" s="45">
        <v>13.738134489999984</v>
      </c>
      <c r="CW32" s="45">
        <v>21.176157730000035</v>
      </c>
      <c r="CX32" s="45">
        <v>16.510346989999999</v>
      </c>
      <c r="CY32" s="45">
        <v>17.390620570000028</v>
      </c>
      <c r="CZ32" s="45">
        <f t="shared" si="6"/>
        <v>214.70902633</v>
      </c>
      <c r="DA32" s="45">
        <v>212.591374</v>
      </c>
      <c r="DB32" s="45">
        <v>26.725240619999983</v>
      </c>
      <c r="DC32" s="45">
        <v>17.683566380000002</v>
      </c>
      <c r="DD32" s="45">
        <v>18.696246430000002</v>
      </c>
      <c r="DE32" s="45">
        <v>18.203990810000011</v>
      </c>
      <c r="DF32" s="45">
        <v>16.778351369999996</v>
      </c>
      <c r="DG32" s="45">
        <v>15.594322739999983</v>
      </c>
      <c r="DH32" s="45">
        <v>21.651726139999997</v>
      </c>
      <c r="DI32" s="45">
        <v>27.114373300000004</v>
      </c>
      <c r="DJ32" s="45">
        <v>19.478369170000008</v>
      </c>
      <c r="DK32" s="45">
        <v>20.598171720000003</v>
      </c>
      <c r="DL32" s="45">
        <v>24.233933710000006</v>
      </c>
      <c r="DM32" s="45">
        <v>16.522030219999994</v>
      </c>
      <c r="DN32" s="45">
        <f t="shared" si="7"/>
        <v>243.28032261000001</v>
      </c>
      <c r="DO32" s="45">
        <v>241.579229</v>
      </c>
      <c r="DP32" s="45">
        <v>30.089541190000034</v>
      </c>
      <c r="DQ32" s="45">
        <v>30.258094390000011</v>
      </c>
      <c r="DR32" s="45">
        <v>15.891776909999997</v>
      </c>
      <c r="DS32" s="45">
        <v>23.85581237000001</v>
      </c>
      <c r="DT32" s="45">
        <v>20.603238839999999</v>
      </c>
      <c r="DU32" s="45">
        <v>15.489663589999981</v>
      </c>
      <c r="DV32" s="45">
        <v>23.995375460000012</v>
      </c>
      <c r="DW32" s="45">
        <v>28.31611586</v>
      </c>
      <c r="DX32" s="45">
        <v>18.195978409999984</v>
      </c>
      <c r="DY32" s="45">
        <v>20.560599359999991</v>
      </c>
      <c r="DZ32" s="45">
        <v>17.223596709999974</v>
      </c>
      <c r="EA32" s="45">
        <v>21.095953600000001</v>
      </c>
      <c r="EB32" s="45">
        <f t="shared" si="10"/>
        <v>265.57574669000002</v>
      </c>
      <c r="EC32" s="45">
        <v>263.20879300000001</v>
      </c>
      <c r="ED32" s="45">
        <v>28.638120579999995</v>
      </c>
      <c r="EE32" s="45">
        <v>22.040094270000012</v>
      </c>
      <c r="EF32" s="45">
        <v>18.64909704999998</v>
      </c>
      <c r="EG32" s="45">
        <v>22.884666150000008</v>
      </c>
      <c r="EH32" s="45">
        <v>12.370243339999993</v>
      </c>
      <c r="EI32" s="45">
        <v>15.524395099999992</v>
      </c>
      <c r="EJ32" s="45">
        <v>19.183815109999987</v>
      </c>
      <c r="EK32" s="45">
        <v>27.787723779999965</v>
      </c>
      <c r="EL32" s="45">
        <v>19.778986160000006</v>
      </c>
      <c r="EM32" s="45">
        <v>22.891318590000012</v>
      </c>
      <c r="EN32" s="45">
        <v>20.024964479999987</v>
      </c>
      <c r="EO32" s="45">
        <v>15.642724509999979</v>
      </c>
      <c r="EP32" s="45">
        <f t="shared" si="11"/>
        <v>245.41614911999994</v>
      </c>
      <c r="EQ32" s="45">
        <v>242.95242300000001</v>
      </c>
      <c r="ER32" s="45">
        <v>27.372196729999999</v>
      </c>
      <c r="ES32" s="45">
        <v>20.292110190000017</v>
      </c>
      <c r="ET32" s="45">
        <v>22.370186850000007</v>
      </c>
      <c r="EU32" s="45">
        <v>26.73098984000001</v>
      </c>
      <c r="EV32" s="45">
        <v>17.035963559999992</v>
      </c>
      <c r="EW32" s="45">
        <v>13.639150650000007</v>
      </c>
      <c r="EX32" s="45">
        <v>23.173331939999994</v>
      </c>
      <c r="EY32" s="45">
        <v>33.752016930000018</v>
      </c>
      <c r="EZ32" s="45">
        <v>21.635229699999989</v>
      </c>
      <c r="FA32" s="45">
        <v>21.605875000000001</v>
      </c>
      <c r="FB32" s="45">
        <v>16.727561000000001</v>
      </c>
      <c r="FC32" s="45">
        <v>27.850873120000006</v>
      </c>
      <c r="FD32" s="45">
        <f t="shared" si="12"/>
        <v>272.18548551000003</v>
      </c>
      <c r="FE32" s="45">
        <v>268.63403799999998</v>
      </c>
      <c r="FF32" s="45">
        <v>33.91669138999999</v>
      </c>
      <c r="FG32" s="45">
        <v>21.22214482</v>
      </c>
      <c r="FH32" s="45">
        <v>24.898254829999996</v>
      </c>
      <c r="FI32" s="45">
        <v>35.540412839999995</v>
      </c>
      <c r="FJ32" s="45">
        <v>21.604912849999998</v>
      </c>
      <c r="FK32" s="45">
        <v>8.3734590499999975</v>
      </c>
      <c r="FL32" s="45">
        <v>21.689292610000003</v>
      </c>
      <c r="FM32" s="45">
        <v>33.296759569999999</v>
      </c>
      <c r="FN32" s="45">
        <v>29.513745230000005</v>
      </c>
      <c r="FO32" s="45">
        <v>25.390719690000001</v>
      </c>
      <c r="FP32" s="45">
        <v>16.608144830000001</v>
      </c>
      <c r="FQ32" s="45">
        <v>19.867123449999998</v>
      </c>
      <c r="FR32" s="45">
        <f t="shared" si="13"/>
        <v>291.92166116000004</v>
      </c>
      <c r="FS32" s="45">
        <v>290.132204</v>
      </c>
      <c r="FT32" s="45">
        <v>36.537382950000001</v>
      </c>
      <c r="FU32" s="45">
        <v>23.650872620000001</v>
      </c>
      <c r="FV32" s="45">
        <v>24.185972</v>
      </c>
      <c r="FW32" s="45">
        <v>27.960510130000003</v>
      </c>
      <c r="FX32" s="45">
        <v>27.418104319999994</v>
      </c>
      <c r="FY32" s="45">
        <v>22.377553110000001</v>
      </c>
      <c r="FZ32" s="45">
        <v>26.832941759999994</v>
      </c>
      <c r="GA32" s="45">
        <v>41.216678210000005</v>
      </c>
      <c r="GB32" s="45">
        <v>27.496008380000006</v>
      </c>
      <c r="GC32" s="45">
        <v>26.71986339</v>
      </c>
      <c r="GD32" s="45">
        <v>21.880234149999996</v>
      </c>
      <c r="GE32" s="45">
        <v>21.134419000000008</v>
      </c>
      <c r="GF32" s="45">
        <f t="shared" si="14"/>
        <v>327.41054001999998</v>
      </c>
      <c r="GG32" s="45">
        <v>323.63435800000002</v>
      </c>
      <c r="GH32" s="45">
        <v>44.032802030000006</v>
      </c>
      <c r="GI32" s="45">
        <v>34.607380889999988</v>
      </c>
      <c r="GJ32" s="45">
        <v>25.97209312</v>
      </c>
      <c r="GK32" s="45">
        <v>35.007791199999986</v>
      </c>
      <c r="GL32" s="45">
        <v>22.529655000000002</v>
      </c>
      <c r="GM32" s="45">
        <v>23.919194279999999</v>
      </c>
      <c r="GN32" s="45">
        <v>23.617316500000005</v>
      </c>
      <c r="GO32" s="45">
        <v>41.333099159999996</v>
      </c>
      <c r="GP32" s="45">
        <v>28.205984999999998</v>
      </c>
      <c r="GQ32" s="45">
        <v>31.411180000000002</v>
      </c>
      <c r="GR32" s="45">
        <v>22.542421999999998</v>
      </c>
      <c r="GS32" s="45">
        <v>26.130199999999995</v>
      </c>
      <c r="GT32" s="45">
        <f t="shared" si="20"/>
        <v>359.30911917999993</v>
      </c>
      <c r="GU32" s="45">
        <v>355.74409600000001</v>
      </c>
      <c r="GV32" s="45">
        <v>48.811994329999997</v>
      </c>
      <c r="GW32" s="45">
        <v>22.508645999999999</v>
      </c>
      <c r="GX32" s="45">
        <v>29.274625999999984</v>
      </c>
      <c r="GY32" s="45">
        <v>37.182217999999992</v>
      </c>
      <c r="GZ32" s="45">
        <v>44.687159999999999</v>
      </c>
      <c r="HA32" s="45">
        <v>21.919171739999999</v>
      </c>
      <c r="HB32" s="45">
        <v>29.999521160000008</v>
      </c>
      <c r="HC32" s="45">
        <v>57.093781810000003</v>
      </c>
      <c r="HD32" s="45">
        <v>28.489790849999999</v>
      </c>
      <c r="HE32" s="45">
        <v>28.577058999999998</v>
      </c>
      <c r="HF32" s="45">
        <v>21.823560199999999</v>
      </c>
      <c r="HG32" s="45">
        <v>26.073558999999999</v>
      </c>
      <c r="HH32" s="45">
        <f t="shared" si="15"/>
        <v>396.44108808999999</v>
      </c>
      <c r="HI32" s="45">
        <v>44.798309200000013</v>
      </c>
      <c r="HJ32" s="45">
        <v>40.531776619999995</v>
      </c>
      <c r="HK32" s="45">
        <v>35.597768860000009</v>
      </c>
      <c r="HL32" s="45">
        <v>38.346110769999996</v>
      </c>
      <c r="HM32" s="45"/>
      <c r="HN32" s="45"/>
      <c r="HO32" s="45"/>
      <c r="HP32" s="45"/>
      <c r="HQ32" s="45"/>
      <c r="HR32" s="45"/>
      <c r="HS32" s="45"/>
      <c r="HT32" s="45"/>
      <c r="HU32" s="283">
        <f t="shared" si="16"/>
        <v>137.77748399999999</v>
      </c>
      <c r="HV32" s="283">
        <f t="shared" si="17"/>
        <v>159.273965</v>
      </c>
      <c r="HW32" s="280">
        <f t="shared" si="21"/>
        <v>21.496481000000017</v>
      </c>
      <c r="HX32" s="280">
        <f t="shared" si="25"/>
        <v>15.602317864942307</v>
      </c>
    </row>
    <row r="33" spans="1:232" s="12" customFormat="1" ht="20.5">
      <c r="A33" s="42" t="s">
        <v>96</v>
      </c>
      <c r="B33" s="12" t="s">
        <v>97</v>
      </c>
      <c r="C33" s="42" t="s">
        <v>98</v>
      </c>
      <c r="D33" s="42">
        <v>12.682333908173545</v>
      </c>
      <c r="E33" s="42">
        <v>12.776270482239715</v>
      </c>
      <c r="F33" s="42">
        <v>4.5951118661817523</v>
      </c>
      <c r="G33" s="42">
        <v>5.1958013898611846</v>
      </c>
      <c r="H33" s="42">
        <v>0.26511943585978454</v>
      </c>
      <c r="I33" s="42">
        <v>0.4157403771179447</v>
      </c>
      <c r="J33" s="42">
        <v>0.29762494237369169</v>
      </c>
      <c r="K33" s="42">
        <v>0.30853694628943484</v>
      </c>
      <c r="L33" s="42">
        <v>0.30884001798509964</v>
      </c>
      <c r="M33" s="42">
        <v>1.9227266777081517E-2</v>
      </c>
      <c r="N33" s="42">
        <v>8.7093983528835919E-2</v>
      </c>
      <c r="O33" s="42">
        <v>0.14573764520406829</v>
      </c>
      <c r="P33" s="42">
        <v>0.54379741720308938</v>
      </c>
      <c r="Q33" s="42">
        <v>0.11793046140887076</v>
      </c>
      <c r="R33" s="42">
        <v>0.1086206111519001</v>
      </c>
      <c r="S33" s="42">
        <v>0.64835430646382197</v>
      </c>
      <c r="T33" s="42">
        <v>3.2666234113636232</v>
      </c>
      <c r="U33" s="42">
        <v>4.8258461818657841</v>
      </c>
      <c r="V33" s="42">
        <v>-9.5349485774127621E-2</v>
      </c>
      <c r="W33" s="42">
        <v>0.14541165104353418</v>
      </c>
      <c r="X33" s="42">
        <v>0.12503059174392861</v>
      </c>
      <c r="Y33" s="42">
        <v>5.3682335336346747E-2</v>
      </c>
      <c r="Z33" s="42">
        <v>8.0089185605090457E-2</v>
      </c>
      <c r="AA33" s="42">
        <v>0.5098775761094132</v>
      </c>
      <c r="AB33" s="42">
        <v>0.11988860335465504</v>
      </c>
      <c r="AC33" s="42">
        <v>5.2535272992185592E-2</v>
      </c>
      <c r="AD33" s="42">
        <v>0.19061644498323857</v>
      </c>
      <c r="AE33" s="42">
        <v>8.0237164273396278E-2</v>
      </c>
      <c r="AF33" s="42">
        <v>0.19585830473360999</v>
      </c>
      <c r="AG33" s="42">
        <v>0.90739096533315122</v>
      </c>
      <c r="AH33" s="42">
        <v>2.3652698049527325</v>
      </c>
      <c r="AI33" s="42">
        <v>3.5208834895646581</v>
      </c>
      <c r="AJ33" s="42">
        <v>-4.5649996300533291E-2</v>
      </c>
      <c r="AK33" s="42">
        <v>0.15350510241831294</v>
      </c>
      <c r="AL33" s="42">
        <v>0.15143055531841026</v>
      </c>
      <c r="AM33" s="42">
        <v>8.8600804776296088E-2</v>
      </c>
      <c r="AN33" s="42">
        <v>0.17476138439735689</v>
      </c>
      <c r="AO33" s="42">
        <v>0.11989583844941124</v>
      </c>
      <c r="AP33" s="42">
        <v>-2.0470226027114277E-2</v>
      </c>
      <c r="AQ33" s="42">
        <v>3.2203857690052989E-2</v>
      </c>
      <c r="AR33" s="42">
        <v>0.11179076954599006</v>
      </c>
      <c r="AS33" s="42">
        <v>8.4935486992105902E-2</v>
      </c>
      <c r="AT33" s="42">
        <v>0.27365951246720283</v>
      </c>
      <c r="AU33" s="42">
        <v>0.5890475865248348</v>
      </c>
      <c r="AV33" s="42">
        <v>1.71371107734162</v>
      </c>
      <c r="AW33" s="42">
        <v>2.9198140591117867</v>
      </c>
      <c r="AX33" s="42">
        <v>0.215532</v>
      </c>
      <c r="AY33" s="42">
        <v>0.41464000000000001</v>
      </c>
      <c r="AZ33" s="42">
        <v>1.1932E-2</v>
      </c>
      <c r="BA33" s="42">
        <v>0.27384999999999998</v>
      </c>
      <c r="BB33" s="42">
        <v>9.1781000000000001E-2</v>
      </c>
      <c r="BC33" s="42">
        <v>5.0396000000000003E-2</v>
      </c>
      <c r="BD33" s="42">
        <v>4.2102000000000001E-2</v>
      </c>
      <c r="BE33" s="42">
        <v>1.0209090000000001</v>
      </c>
      <c r="BF33" s="42">
        <v>0.10647140999999999</v>
      </c>
      <c r="BG33" s="42">
        <v>0.17732630999999999</v>
      </c>
      <c r="BH33" s="42">
        <v>0.38321920000000004</v>
      </c>
      <c r="BI33" s="42">
        <v>0.54061453000000004</v>
      </c>
      <c r="BJ33" s="45">
        <f>SUM(AX33:BI33)</f>
        <v>3.3287734499999999</v>
      </c>
      <c r="BK33" s="42">
        <v>4.578951</v>
      </c>
      <c r="BL33" s="42">
        <v>7.859735000000001E-2</v>
      </c>
      <c r="BM33" s="42">
        <v>0.93542636000000012</v>
      </c>
      <c r="BN33" s="42">
        <v>0.21011933999999999</v>
      </c>
      <c r="BO33" s="42">
        <v>0.28831806000000004</v>
      </c>
      <c r="BP33" s="42">
        <v>0.20693752000000001</v>
      </c>
      <c r="BQ33" s="42">
        <v>8.2293859999999996E-2</v>
      </c>
      <c r="BR33" s="42">
        <v>9.839386E-2</v>
      </c>
      <c r="BS33" s="42">
        <v>7.0855769999999998E-2</v>
      </c>
      <c r="BT33" s="42">
        <v>0.11649293000000001</v>
      </c>
      <c r="BU33" s="42">
        <v>0.10626511</v>
      </c>
      <c r="BV33" s="42">
        <v>4.8559429999999994E-2</v>
      </c>
      <c r="BW33" s="42">
        <v>1.3367869000000001</v>
      </c>
      <c r="BX33" s="45">
        <f t="shared" si="4"/>
        <v>3.5790464900000005</v>
      </c>
      <c r="BY33" s="45">
        <v>2.8017560000000001</v>
      </c>
      <c r="BZ33" s="45">
        <v>6.4823949999999991E-2</v>
      </c>
      <c r="CA33" s="45">
        <v>0.24202607999999998</v>
      </c>
      <c r="CB33" s="45">
        <v>8.7653499999999995E-2</v>
      </c>
      <c r="CC33" s="45">
        <v>0.13445551</v>
      </c>
      <c r="CD33" s="45">
        <v>0.10515237</v>
      </c>
      <c r="CE33" s="45">
        <v>6.3509360000000001E-2</v>
      </c>
      <c r="CF33" s="45">
        <v>5.8339149999999992E-2</v>
      </c>
      <c r="CG33" s="45">
        <v>0.24701555000000003</v>
      </c>
      <c r="CH33" s="45">
        <v>5.7955930000000017E-2</v>
      </c>
      <c r="CI33" s="45">
        <v>8.4477079999999982E-2</v>
      </c>
      <c r="CJ33" s="45">
        <v>8.3807809999999996E-2</v>
      </c>
      <c r="CK33" s="45">
        <v>1.52190475</v>
      </c>
      <c r="CL33" s="45">
        <f t="shared" si="5"/>
        <v>2.7511210400000001</v>
      </c>
      <c r="CM33" s="45">
        <v>2.7899630000000002</v>
      </c>
      <c r="CN33" s="45">
        <v>0.29675311000000004</v>
      </c>
      <c r="CO33" s="45">
        <v>8.8489300000000007E-2</v>
      </c>
      <c r="CP33" s="45">
        <v>0.10156012999999998</v>
      </c>
      <c r="CQ33" s="45">
        <v>0.13653375000000001</v>
      </c>
      <c r="CR33" s="45">
        <v>0.13769360999999999</v>
      </c>
      <c r="CS33" s="45">
        <v>0.21491684</v>
      </c>
      <c r="CT33" s="45">
        <v>6.1279449999999999E-2</v>
      </c>
      <c r="CU33" s="45">
        <v>3.9484180000000001E-2</v>
      </c>
      <c r="CV33" s="45">
        <v>0.48612894999999995</v>
      </c>
      <c r="CW33" s="45">
        <v>-0.14285328999999997</v>
      </c>
      <c r="CX33" s="45">
        <v>6.6339949999999995E-2</v>
      </c>
      <c r="CY33" s="45">
        <v>1.6240686000000002</v>
      </c>
      <c r="CZ33" s="45">
        <f t="shared" si="6"/>
        <v>3.1103945800000004</v>
      </c>
      <c r="DA33" s="45">
        <v>3.135481</v>
      </c>
      <c r="DB33" s="45">
        <v>0.27563654999999998</v>
      </c>
      <c r="DC33" s="45">
        <v>8.9365790000000014E-2</v>
      </c>
      <c r="DD33" s="45">
        <v>0.19326042999999996</v>
      </c>
      <c r="DE33" s="45">
        <v>4.5453130000000001E-2</v>
      </c>
      <c r="DF33" s="45">
        <v>2.69491E-2</v>
      </c>
      <c r="DG33" s="45">
        <v>5.7492740000000007E-2</v>
      </c>
      <c r="DH33" s="45">
        <v>9.3195520000000004E-2</v>
      </c>
      <c r="DI33" s="45">
        <v>4.3822449999999999E-2</v>
      </c>
      <c r="DJ33" s="45">
        <v>4.4832509999999999E-2</v>
      </c>
      <c r="DK33" s="45">
        <v>0.14009986999999999</v>
      </c>
      <c r="DL33" s="45">
        <v>3.946674E-2</v>
      </c>
      <c r="DM33" s="45">
        <v>1.8093890099999999</v>
      </c>
      <c r="DN33" s="45">
        <f t="shared" si="7"/>
        <v>2.8589638399999995</v>
      </c>
      <c r="DO33" s="45">
        <v>2.9183880000000002</v>
      </c>
      <c r="DP33" s="45">
        <v>0.26671858999999998</v>
      </c>
      <c r="DQ33" s="45">
        <v>7.7725350000000012E-2</v>
      </c>
      <c r="DR33" s="45">
        <v>3.6251470000000001E-2</v>
      </c>
      <c r="DS33" s="45">
        <v>0.27200389000000003</v>
      </c>
      <c r="DT33" s="45">
        <v>2.3346739999999998E-2</v>
      </c>
      <c r="DU33" s="45">
        <v>7.6380719999999999E-2</v>
      </c>
      <c r="DV33" s="45">
        <v>9.9918889999999996E-2</v>
      </c>
      <c r="DW33" s="45">
        <v>2.2516020000000001E-2</v>
      </c>
      <c r="DX33" s="45">
        <v>5.989543E-2</v>
      </c>
      <c r="DY33" s="45">
        <v>5.4688730000000005E-2</v>
      </c>
      <c r="DZ33" s="45">
        <v>7.4673970000000006E-2</v>
      </c>
      <c r="EA33" s="45">
        <v>1.56827999</v>
      </c>
      <c r="EB33" s="45">
        <f t="shared" si="10"/>
        <v>2.63239979</v>
      </c>
      <c r="EC33" s="45">
        <v>2.518599</v>
      </c>
      <c r="ED33" s="45">
        <v>0.24668291000000001</v>
      </c>
      <c r="EE33" s="45">
        <v>6.3255110000000003E-2</v>
      </c>
      <c r="EF33" s="45">
        <v>2.5880770000000001E-2</v>
      </c>
      <c r="EG33" s="45">
        <v>4.0206140000000001E-2</v>
      </c>
      <c r="EH33" s="45">
        <v>2.7489929999999999E-2</v>
      </c>
      <c r="EI33" s="45">
        <v>4.1769550000000003E-2</v>
      </c>
      <c r="EJ33" s="45">
        <v>1.399158E-2</v>
      </c>
      <c r="EK33" s="45">
        <v>5.2292089999999999E-2</v>
      </c>
      <c r="EL33" s="45">
        <v>3.7949260000000005E-2</v>
      </c>
      <c r="EM33" s="45">
        <v>3.6879439999999999E-2</v>
      </c>
      <c r="EN33" s="45">
        <v>4.8513000000000001E-2</v>
      </c>
      <c r="EO33" s="45">
        <v>1.62471678</v>
      </c>
      <c r="EP33" s="45">
        <f t="shared" si="11"/>
        <v>2.2596265600000001</v>
      </c>
      <c r="EQ33" s="45">
        <v>2.2667929999999998</v>
      </c>
      <c r="ER33" s="45">
        <v>5.9150409999999994E-2</v>
      </c>
      <c r="ES33" s="45">
        <v>9.5013449999999999E-2</v>
      </c>
      <c r="ET33" s="45">
        <v>0.10385085000000001</v>
      </c>
      <c r="EU33" s="45">
        <v>7.8910000000000004E-3</v>
      </c>
      <c r="EV33" s="45">
        <v>3.959708E-2</v>
      </c>
      <c r="EW33" s="45">
        <v>0.130102</v>
      </c>
      <c r="EX33" s="45">
        <v>0.13226082</v>
      </c>
      <c r="EY33" s="45">
        <v>6.0014999999999999E-3</v>
      </c>
      <c r="EZ33" s="45">
        <v>2.2620390000000004E-2</v>
      </c>
      <c r="FA33" s="45">
        <v>3.8922999999999999E-2</v>
      </c>
      <c r="FB33" s="45">
        <v>5.2025699999999994E-2</v>
      </c>
      <c r="FC33" s="45">
        <v>1.8977995199999997</v>
      </c>
      <c r="FD33" s="45">
        <f t="shared" si="12"/>
        <v>2.5852357199999996</v>
      </c>
      <c r="FE33" s="45">
        <v>2.5871369999999998</v>
      </c>
      <c r="FF33" s="45">
        <v>3.8238770000000005E-2</v>
      </c>
      <c r="FG33" s="45">
        <v>0.12244166000000001</v>
      </c>
      <c r="FH33" s="45">
        <v>3.7009100000000003E-2</v>
      </c>
      <c r="FI33" s="45">
        <v>0.11768386</v>
      </c>
      <c r="FJ33" s="45">
        <v>2.4674210000000002E-2</v>
      </c>
      <c r="FK33" s="45">
        <v>0.12818162</v>
      </c>
      <c r="FL33" s="45">
        <v>4.1474089999999998E-2</v>
      </c>
      <c r="FM33" s="45">
        <v>7.5899399999999973E-3</v>
      </c>
      <c r="FN33" s="45">
        <v>7.7337270000000014E-2</v>
      </c>
      <c r="FO33" s="45">
        <v>0.10820110000000001</v>
      </c>
      <c r="FP33" s="45">
        <v>5.5841979999999999E-2</v>
      </c>
      <c r="FQ33" s="45">
        <v>6.9363229999999998E-2</v>
      </c>
      <c r="FR33" s="45">
        <f t="shared" si="13"/>
        <v>0.82803683000000006</v>
      </c>
      <c r="FS33" s="45">
        <v>0.825909</v>
      </c>
      <c r="FT33" s="45">
        <v>7.8959210000000002E-2</v>
      </c>
      <c r="FU33" s="45">
        <v>3.3356110000000001E-2</v>
      </c>
      <c r="FV33" s="45">
        <v>5.3990000000000003E-2</v>
      </c>
      <c r="FW33" s="45">
        <v>7.2115300000000007E-2</v>
      </c>
      <c r="FX33" s="45">
        <v>8.0570569999999994E-2</v>
      </c>
      <c r="FY33" s="45">
        <v>5.1964719999999999E-2</v>
      </c>
      <c r="FZ33" s="45">
        <v>3.7671280000000001E-2</v>
      </c>
      <c r="GA33" s="45">
        <v>2.0874E-2</v>
      </c>
      <c r="GB33" s="45">
        <v>0.17717950000000002</v>
      </c>
      <c r="GC33" s="45">
        <v>7.7251489999999992E-2</v>
      </c>
      <c r="GD33" s="45">
        <v>0.13433389999999998</v>
      </c>
      <c r="GE33" s="45">
        <v>6.3208890000000004E-2</v>
      </c>
      <c r="GF33" s="45">
        <f t="shared" si="14"/>
        <v>0.88147496999999997</v>
      </c>
      <c r="GG33" s="45">
        <v>0.88236599999999998</v>
      </c>
      <c r="GH33" s="45">
        <v>2.4043359999999996E-2</v>
      </c>
      <c r="GI33" s="45">
        <v>5.6163440000000002E-2</v>
      </c>
      <c r="GJ33" s="45">
        <v>0.20195464000000002</v>
      </c>
      <c r="GK33" s="45">
        <v>0.1089273</v>
      </c>
      <c r="GL33" s="45">
        <v>2.435619E-2</v>
      </c>
      <c r="GM33" s="45">
        <v>9.5101659999999991E-2</v>
      </c>
      <c r="GN33" s="45">
        <v>3.8805050000000008E-2</v>
      </c>
      <c r="GO33" s="45">
        <v>0.212538</v>
      </c>
      <c r="GP33" s="45">
        <v>3.8171999999999998E-2</v>
      </c>
      <c r="GQ33" s="45">
        <v>0.18055562</v>
      </c>
      <c r="GR33" s="45">
        <v>6.3440939999999987E-2</v>
      </c>
      <c r="GS33" s="45">
        <v>3.7355629999999987E-2</v>
      </c>
      <c r="GT33" s="45">
        <f t="shared" si="20"/>
        <v>1.08141383</v>
      </c>
      <c r="GU33" s="45">
        <v>1.070009</v>
      </c>
      <c r="GV33" s="45">
        <v>2.6596239999999997E-2</v>
      </c>
      <c r="GW33" s="45">
        <v>0.13914341</v>
      </c>
      <c r="GX33" s="45">
        <v>0.24823700000000004</v>
      </c>
      <c r="GY33" s="45">
        <v>9.5738439999999994E-2</v>
      </c>
      <c r="GZ33" s="45">
        <v>5.0307400000000002E-2</v>
      </c>
      <c r="HA33" s="45">
        <v>0.11685416000000001</v>
      </c>
      <c r="HB33" s="45">
        <v>4.228533000000001E-2</v>
      </c>
      <c r="HC33" s="45">
        <v>1.2617999999999999E-2</v>
      </c>
      <c r="HD33" s="45">
        <v>3.6795149999999999E-2</v>
      </c>
      <c r="HE33" s="45">
        <v>0.34035080000000001</v>
      </c>
      <c r="HF33" s="45">
        <v>3.2225900000000002E-2</v>
      </c>
      <c r="HG33" s="45">
        <v>8.745327E-2</v>
      </c>
      <c r="HH33" s="45">
        <f t="shared" si="15"/>
        <v>1.2286051</v>
      </c>
      <c r="HI33" s="45">
        <v>5.4078120000000007E-2</v>
      </c>
      <c r="HJ33" s="45">
        <v>4.4044299999999995E-2</v>
      </c>
      <c r="HK33" s="45">
        <v>6.8102949999999995E-2</v>
      </c>
      <c r="HL33" s="45">
        <v>1.9818389999999998E-2</v>
      </c>
      <c r="HM33" s="45"/>
      <c r="HN33" s="45"/>
      <c r="HO33" s="45"/>
      <c r="HP33" s="45"/>
      <c r="HQ33" s="45"/>
      <c r="HR33" s="45"/>
      <c r="HS33" s="45"/>
      <c r="HT33" s="45"/>
      <c r="HU33" s="283">
        <f t="shared" si="16"/>
        <v>0.50971500000000003</v>
      </c>
      <c r="HV33" s="283">
        <f t="shared" si="17"/>
        <v>0.18604399999999999</v>
      </c>
      <c r="HW33" s="280">
        <f t="shared" si="21"/>
        <v>-0.32367100000000004</v>
      </c>
      <c r="HX33" s="280">
        <f t="shared" si="25"/>
        <v>-63.500387471430116</v>
      </c>
    </row>
    <row r="34" spans="1:232" s="12" customFormat="1" ht="20.5">
      <c r="A34" s="42" t="s">
        <v>99</v>
      </c>
      <c r="B34" s="12" t="s">
        <v>100</v>
      </c>
      <c r="C34" s="42" t="s">
        <v>101</v>
      </c>
      <c r="D34" s="42">
        <v>0</v>
      </c>
      <c r="E34" s="42">
        <v>0</v>
      </c>
      <c r="F34" s="42">
        <f t="shared" ref="F34:AV34" si="26">F35+F36+F37</f>
        <v>0</v>
      </c>
      <c r="G34" s="42">
        <f t="shared" si="26"/>
        <v>1.3347988912983093</v>
      </c>
      <c r="H34" s="42">
        <f t="shared" si="26"/>
        <v>0</v>
      </c>
      <c r="I34" s="42">
        <f t="shared" si="26"/>
        <v>2.1092651720823866E-2</v>
      </c>
      <c r="J34" s="42">
        <f t="shared" si="26"/>
        <v>-8.4447441961070305E-3</v>
      </c>
      <c r="K34" s="42">
        <f t="shared" si="26"/>
        <v>9.7395575437807538E-2</v>
      </c>
      <c r="L34" s="42">
        <f t="shared" si="26"/>
        <v>0.28952453315576404</v>
      </c>
      <c r="M34" s="42">
        <f t="shared" si="26"/>
        <v>-0.25451904087057725</v>
      </c>
      <c r="N34" s="42">
        <f t="shared" si="26"/>
        <v>5.213829175702394E-2</v>
      </c>
      <c r="O34" s="42">
        <f t="shared" si="26"/>
        <v>-3.1109669267665972E-2</v>
      </c>
      <c r="P34" s="42">
        <f t="shared" si="26"/>
        <v>7.7018628237732284E-2</v>
      </c>
      <c r="Q34" s="42">
        <f t="shared" si="26"/>
        <v>0.20958474909078015</v>
      </c>
      <c r="R34" s="42">
        <f t="shared" si="26"/>
        <v>-7.5079253959833281E-2</v>
      </c>
      <c r="S34" s="42">
        <f t="shared" si="26"/>
        <v>0.2613787058696021</v>
      </c>
      <c r="T34" s="42">
        <v>0.6389804269753504</v>
      </c>
      <c r="U34" s="42">
        <f t="shared" si="26"/>
        <v>0.61291199253276862</v>
      </c>
      <c r="V34" s="42">
        <f t="shared" si="26"/>
        <v>1.8011081325661187</v>
      </c>
      <c r="W34" s="42">
        <f t="shared" si="26"/>
        <v>-1.6954227352149378</v>
      </c>
      <c r="X34" s="42">
        <f t="shared" si="26"/>
        <v>-4.3080147523350397E-2</v>
      </c>
      <c r="Y34" s="42">
        <f t="shared" si="26"/>
        <v>7.8704219099497277E-2</v>
      </c>
      <c r="Z34" s="42">
        <f t="shared" si="26"/>
        <v>1.2293612443867706E-3</v>
      </c>
      <c r="AA34" s="42">
        <f t="shared" si="26"/>
        <v>8.501659068531198E-3</v>
      </c>
      <c r="AB34" s="42">
        <f t="shared" si="26"/>
        <v>5.3918304392120711E-2</v>
      </c>
      <c r="AC34" s="42">
        <f t="shared" si="26"/>
        <v>3.5738271267664955E-2</v>
      </c>
      <c r="AD34" s="42">
        <f t="shared" si="26"/>
        <v>2.3454618926471674E-2</v>
      </c>
      <c r="AE34" s="42">
        <f t="shared" si="26"/>
        <v>5.173561903460993E-2</v>
      </c>
      <c r="AF34" s="42">
        <f t="shared" si="26"/>
        <v>3.7990677343896734E-4</v>
      </c>
      <c r="AG34" s="42">
        <f t="shared" si="26"/>
        <v>-0.16412968622830831</v>
      </c>
      <c r="AH34" s="42">
        <v>0.15213752340622133</v>
      </c>
      <c r="AI34" s="42">
        <f t="shared" si="26"/>
        <v>0.1656450447066323</v>
      </c>
      <c r="AJ34" s="42">
        <f t="shared" si="26"/>
        <v>0.11392650013374828</v>
      </c>
      <c r="AK34" s="42">
        <f t="shared" si="26"/>
        <v>9.0537333310569082E-2</v>
      </c>
      <c r="AL34" s="42">
        <f t="shared" si="26"/>
        <v>9.1671362143642743E-2</v>
      </c>
      <c r="AM34" s="42">
        <f t="shared" si="26"/>
        <v>4.7152548932560601E-2</v>
      </c>
      <c r="AN34" s="42">
        <f t="shared" si="26"/>
        <v>3.6338239395339339E-2</v>
      </c>
      <c r="AO34" s="42">
        <f t="shared" si="26"/>
        <v>9.4094512837149466E-2</v>
      </c>
      <c r="AP34" s="42">
        <f t="shared" si="26"/>
        <v>0.32990990375695073</v>
      </c>
      <c r="AQ34" s="42">
        <f t="shared" si="26"/>
        <v>5.4774873222121677E-2</v>
      </c>
      <c r="AR34" s="42">
        <f t="shared" si="26"/>
        <v>6.3218194546416926E-3</v>
      </c>
      <c r="AS34" s="42">
        <f t="shared" si="26"/>
        <v>0.10149344625244021</v>
      </c>
      <c r="AT34" s="42">
        <f t="shared" si="26"/>
        <v>3.7502632312829451E-2</v>
      </c>
      <c r="AU34" s="42">
        <f t="shared" si="26"/>
        <v>5.3165605204295932E-2</v>
      </c>
      <c r="AV34" s="42">
        <f t="shared" si="26"/>
        <v>1.0568887769562889</v>
      </c>
      <c r="AW34" s="42">
        <v>1.0450225098320443</v>
      </c>
      <c r="AX34" s="42">
        <f>AX35+AX36+AX37</f>
        <v>1.537197E-2</v>
      </c>
      <c r="AY34" s="42">
        <f>AY35+AY36+AY37</f>
        <v>0.28658699999999998</v>
      </c>
      <c r="AZ34" s="42">
        <f t="shared" ref="AZ34:BG34" si="27">AZ35+AZ36+AZ37</f>
        <v>0.18847969000000001</v>
      </c>
      <c r="BA34" s="42">
        <f t="shared" si="27"/>
        <v>0.22867725</v>
      </c>
      <c r="BB34" s="42">
        <f t="shared" si="27"/>
        <v>0.22715925000000001</v>
      </c>
      <c r="BC34" s="42">
        <f t="shared" si="27"/>
        <v>0.31917888999999994</v>
      </c>
      <c r="BD34" s="42">
        <f t="shared" si="27"/>
        <v>0.47000233000000002</v>
      </c>
      <c r="BE34" s="42">
        <f t="shared" si="27"/>
        <v>7.6923290000000005E-2</v>
      </c>
      <c r="BF34" s="42">
        <f t="shared" si="27"/>
        <v>0.11825138999999998</v>
      </c>
      <c r="BG34" s="42">
        <f t="shared" si="27"/>
        <v>3.3589540000000001E-2</v>
      </c>
      <c r="BH34" s="42">
        <f>BH35+BH36+BH37</f>
        <v>0.10822463</v>
      </c>
      <c r="BI34" s="42">
        <f>BI35+BI36+BI37</f>
        <v>0.25674667000000373</v>
      </c>
      <c r="BJ34" s="45">
        <f t="shared" ref="BJ34:BJ72" si="28">SUM(AX34:BI34)</f>
        <v>2.3291919000000036</v>
      </c>
      <c r="BK34" s="42">
        <f>BK35+BK36+BK37</f>
        <v>2.3363199999999997</v>
      </c>
      <c r="BL34" s="42">
        <f>BL35+BL36+BL37</f>
        <v>0.13306852</v>
      </c>
      <c r="BM34" s="42">
        <v>0.13739502999999734</v>
      </c>
      <c r="BN34" s="42">
        <v>0.16907126000000372</v>
      </c>
      <c r="BO34" s="42">
        <v>0.26383298999999999</v>
      </c>
      <c r="BP34" s="42">
        <v>0.17635696999999906</v>
      </c>
      <c r="BQ34" s="42">
        <v>8.256160000001872E-3</v>
      </c>
      <c r="BR34" s="42">
        <v>0.29560234000000002</v>
      </c>
      <c r="BS34" s="42">
        <v>5.3504500000001863E-2</v>
      </c>
      <c r="BT34" s="42">
        <v>0.1060172199999974</v>
      </c>
      <c r="BU34" s="42">
        <v>7.7205350000001838E-2</v>
      </c>
      <c r="BV34" s="42">
        <v>9.9181870000000005E-2</v>
      </c>
      <c r="BW34" s="42">
        <v>0.18033722000000185</v>
      </c>
      <c r="BX34" s="45">
        <f t="shared" si="4"/>
        <v>1.6998294300000047</v>
      </c>
      <c r="BY34" s="45">
        <f>BY35+BY36+BY37</f>
        <v>1.732567</v>
      </c>
      <c r="BZ34" s="45">
        <v>8.8739800000013965E-3</v>
      </c>
      <c r="CA34" s="45">
        <v>5.9886390000000005E-2</v>
      </c>
      <c r="CB34" s="45">
        <v>7.1427010000000013E-2</v>
      </c>
      <c r="CC34" s="45">
        <v>9.8809529999999993E-2</v>
      </c>
      <c r="CD34" s="45">
        <v>0.10704377999999908</v>
      </c>
      <c r="CE34" s="45">
        <v>3.3745160000000003E-2</v>
      </c>
      <c r="CF34" s="45">
        <v>0.25089682000000002</v>
      </c>
      <c r="CG34" s="45">
        <v>0.10187771000000045</v>
      </c>
      <c r="CH34" s="45">
        <v>6.5594790000001416E-2</v>
      </c>
      <c r="CI34" s="45">
        <v>4.1018610000000004E-2</v>
      </c>
      <c r="CJ34" s="45">
        <v>6.642403999999906E-2</v>
      </c>
      <c r="CK34" s="45">
        <v>0.57180216000000073</v>
      </c>
      <c r="CL34" s="45">
        <f t="shared" si="5"/>
        <v>1.4773999800000022</v>
      </c>
      <c r="CM34" s="45">
        <f>CM35+CM36+CM37</f>
        <v>1.458118</v>
      </c>
      <c r="CN34" s="45">
        <v>8.7049650000000464E-2</v>
      </c>
      <c r="CO34" s="45">
        <v>5.119477999999935E-2</v>
      </c>
      <c r="CP34" s="45">
        <v>4.0288320000000002E-2</v>
      </c>
      <c r="CQ34" s="45">
        <v>0.27505822000000091</v>
      </c>
      <c r="CR34" s="45">
        <v>6.1995809999998132E-2</v>
      </c>
      <c r="CS34" s="45">
        <v>0.20494115999999904</v>
      </c>
      <c r="CT34" s="45">
        <v>0.12487415999999998</v>
      </c>
      <c r="CU34" s="45">
        <v>0.56181613999999991</v>
      </c>
      <c r="CV34" s="45">
        <v>6.3811199999998139E-2</v>
      </c>
      <c r="CW34" s="45">
        <v>9.697923E-2</v>
      </c>
      <c r="CX34" s="45">
        <v>0.20975473</v>
      </c>
      <c r="CY34" s="45">
        <v>0.16100067000000007</v>
      </c>
      <c r="CZ34" s="45">
        <f t="shared" si="6"/>
        <v>1.938764069999996</v>
      </c>
      <c r="DA34" s="45">
        <f>DA35+DA36+DA37</f>
        <v>1.9473309999999999</v>
      </c>
      <c r="DB34" s="45">
        <v>0.11352239</v>
      </c>
      <c r="DC34" s="45">
        <v>0.13104818000000043</v>
      </c>
      <c r="DD34" s="45">
        <v>0.22553445999999996</v>
      </c>
      <c r="DE34" s="45">
        <v>0.13629279999999999</v>
      </c>
      <c r="DF34" s="45">
        <v>0.24587950000000189</v>
      </c>
      <c r="DG34" s="45">
        <v>0.18547066000000001</v>
      </c>
      <c r="DH34" s="45">
        <v>0.14471936000000185</v>
      </c>
      <c r="DI34" s="45">
        <v>0.13406968</v>
      </c>
      <c r="DJ34" s="45">
        <v>0.26903330999999914</v>
      </c>
      <c r="DK34" s="45">
        <v>0.12468175999999997</v>
      </c>
      <c r="DL34" s="45">
        <v>0.19578631000000002</v>
      </c>
      <c r="DM34" s="45">
        <v>0.11675481000000004</v>
      </c>
      <c r="DN34" s="45">
        <f t="shared" si="7"/>
        <v>2.0227932200000036</v>
      </c>
      <c r="DO34" s="45">
        <f>DO35+DO36+DO37</f>
        <v>2.0621710000000002</v>
      </c>
      <c r="DP34" s="45">
        <v>0.21083222999999809</v>
      </c>
      <c r="DQ34" s="45">
        <v>0.15580216999999813</v>
      </c>
      <c r="DR34" s="45">
        <v>9.5941569999999005E-2</v>
      </c>
      <c r="DS34" s="45">
        <v>0.10990439000000005</v>
      </c>
      <c r="DT34" s="45">
        <v>0.16934007999999906</v>
      </c>
      <c r="DU34" s="45">
        <v>0.89689917000000097</v>
      </c>
      <c r="DV34" s="45">
        <v>0.43881342000000001</v>
      </c>
      <c r="DW34" s="45">
        <v>0.14776103000000002</v>
      </c>
      <c r="DX34" s="45">
        <v>-2.2045520000000943E-2</v>
      </c>
      <c r="DY34" s="45">
        <v>0.16754715000000001</v>
      </c>
      <c r="DZ34" s="45">
        <v>0.16281798000000189</v>
      </c>
      <c r="EA34" s="45">
        <v>0.16202563</v>
      </c>
      <c r="EB34" s="45">
        <f t="shared" si="10"/>
        <v>2.6956392999999959</v>
      </c>
      <c r="EC34" s="45">
        <f>EC35+EC36+EC37</f>
        <v>3.1196549999999998</v>
      </c>
      <c r="ED34" s="45">
        <v>0.48465330999999812</v>
      </c>
      <c r="EE34" s="45">
        <v>0.21081362999999997</v>
      </c>
      <c r="EF34" s="45">
        <v>0.15363193999999808</v>
      </c>
      <c r="EG34" s="45">
        <v>0.19725300000000007</v>
      </c>
      <c r="EH34" s="45">
        <v>9.4561739999999991E-2</v>
      </c>
      <c r="EI34" s="45">
        <v>0.2516414100000009</v>
      </c>
      <c r="EJ34" s="45">
        <v>5.6618780000001853E-2</v>
      </c>
      <c r="EK34" s="45">
        <v>7.1307740000001604E-2</v>
      </c>
      <c r="EL34" s="45">
        <v>7.5699380000000011E-2</v>
      </c>
      <c r="EM34" s="45">
        <v>0.29015418000000193</v>
      </c>
      <c r="EN34" s="45">
        <v>0.11684323000000006</v>
      </c>
      <c r="EO34" s="45">
        <v>0.2975487400000037</v>
      </c>
      <c r="EP34" s="45">
        <f t="shared" si="11"/>
        <v>2.3007270800000064</v>
      </c>
      <c r="EQ34" s="45">
        <f>EQ35+EQ36+EQ37</f>
        <v>1.982936</v>
      </c>
      <c r="ER34" s="45">
        <v>0.14210082000000002</v>
      </c>
      <c r="ES34" s="42">
        <v>8.2742259999998152E-2</v>
      </c>
      <c r="ET34" s="45">
        <v>0.65949681000000093</v>
      </c>
      <c r="EU34" s="45">
        <v>0.10895806000000002</v>
      </c>
      <c r="EV34" s="45">
        <v>0.3985420399999981</v>
      </c>
      <c r="EW34" s="45">
        <v>0.19315199999999677</v>
      </c>
      <c r="EX34" s="45">
        <v>0.10166500000001939</v>
      </c>
      <c r="EY34" s="45">
        <v>8.5025019999999965E-2</v>
      </c>
      <c r="EZ34" s="45">
        <v>8.0432200000000009E-2</v>
      </c>
      <c r="FA34" s="45">
        <v>0.228681</v>
      </c>
      <c r="FB34" s="45">
        <v>0.24739030000000373</v>
      </c>
      <c r="FC34" s="45">
        <v>0.13025934</v>
      </c>
      <c r="FD34" s="45">
        <f t="shared" si="12"/>
        <v>2.4584448500000171</v>
      </c>
      <c r="FE34" s="45">
        <f>FE35+FE36+FE37</f>
        <v>2.4411808000000268</v>
      </c>
      <c r="FF34" s="45">
        <v>0.11664531</v>
      </c>
      <c r="FG34" s="45">
        <v>7.4108529999999992E-2</v>
      </c>
      <c r="FH34" s="45">
        <v>0.20241528</v>
      </c>
      <c r="FI34" s="45">
        <v>-4.6449999999999964E-3</v>
      </c>
      <c r="FJ34" s="45">
        <v>0.50329230999999996</v>
      </c>
      <c r="FK34" s="45">
        <v>0.22146737000000005</v>
      </c>
      <c r="FL34" s="45">
        <v>0.33847199</v>
      </c>
      <c r="FM34" s="45">
        <v>0.12560229000000001</v>
      </c>
      <c r="FN34" s="45">
        <v>0.23385003999999998</v>
      </c>
      <c r="FO34" s="45">
        <v>0.74637100000000001</v>
      </c>
      <c r="FP34" s="45">
        <v>-0.49920518000000008</v>
      </c>
      <c r="FQ34" s="45">
        <v>0.34649196000000004</v>
      </c>
      <c r="FR34" s="45">
        <f t="shared" si="13"/>
        <v>2.4048658999999999</v>
      </c>
      <c r="FS34" s="45">
        <f>FS35+FS36+FS37</f>
        <v>2.4260480000000002</v>
      </c>
      <c r="FT34" s="45">
        <v>0.37799470000000002</v>
      </c>
      <c r="FU34" s="45">
        <v>3.4613420000000006E-2</v>
      </c>
      <c r="FV34" s="45">
        <v>9.0474430000000008E-2</v>
      </c>
      <c r="FW34" s="45">
        <v>0.10205632000000001</v>
      </c>
      <c r="FX34" s="45">
        <v>0.32754762999999998</v>
      </c>
      <c r="FY34" s="45">
        <v>0.25794698999999999</v>
      </c>
      <c r="FZ34" s="45">
        <v>9.9195530000000004E-2</v>
      </c>
      <c r="GA34" s="45">
        <v>4.1792939999999994E-2</v>
      </c>
      <c r="GB34" s="45">
        <v>8.0931619999999996E-2</v>
      </c>
      <c r="GC34" s="45">
        <v>0.1896949</v>
      </c>
      <c r="GD34" s="45">
        <v>0.24302609000000003</v>
      </c>
      <c r="GE34" s="45">
        <v>0.15698430999999999</v>
      </c>
      <c r="GF34" s="45">
        <f t="shared" si="14"/>
        <v>2.0022588800000003</v>
      </c>
      <c r="GG34" s="45">
        <f>GG35+GG36+GG37</f>
        <v>1.951287</v>
      </c>
      <c r="GH34" s="45">
        <v>0.1869614</v>
      </c>
      <c r="GI34" s="45">
        <v>8.3483729999999992E-2</v>
      </c>
      <c r="GJ34" s="45">
        <v>7.4637659999999995E-2</v>
      </c>
      <c r="GK34" s="45">
        <v>3.6470779999999994E-2</v>
      </c>
      <c r="GL34" s="45">
        <v>0.1966156</v>
      </c>
      <c r="GM34" s="45">
        <v>0.20638110999999998</v>
      </c>
      <c r="GN34" s="45">
        <v>7.2498210000000007E-2</v>
      </c>
      <c r="GO34" s="45">
        <v>4.9457560000000005E-2</v>
      </c>
      <c r="GP34" s="45">
        <v>0.13107124000000001</v>
      </c>
      <c r="GQ34" s="45">
        <v>0.22259735999999999</v>
      </c>
      <c r="GR34" s="45">
        <v>9.3371999999999997E-2</v>
      </c>
      <c r="GS34" s="45">
        <v>0.206453</v>
      </c>
      <c r="GT34" s="45">
        <f t="shared" si="20"/>
        <v>1.55999965</v>
      </c>
      <c r="GU34" s="45">
        <f>GU35+GU36+GU37</f>
        <v>1.5927480000000001</v>
      </c>
      <c r="GV34" s="45">
        <v>0.35112900000000002</v>
      </c>
      <c r="GW34" s="45">
        <v>-0.20977723999999998</v>
      </c>
      <c r="GX34" s="45">
        <v>9.2474999999999752E-2</v>
      </c>
      <c r="GY34" s="45">
        <v>0.26897100000000002</v>
      </c>
      <c r="GZ34" s="45">
        <v>0.30111387000000001</v>
      </c>
      <c r="HA34" s="45">
        <v>2.6405110000000009E-2</v>
      </c>
      <c r="HB34" s="45">
        <v>0.13336200000000001</v>
      </c>
      <c r="HC34" s="45">
        <v>8.2268570000000013E-2</v>
      </c>
      <c r="HD34" s="45">
        <v>0.15298875000000001</v>
      </c>
      <c r="HE34" s="45">
        <v>0.12549392000000054</v>
      </c>
      <c r="HF34" s="45">
        <v>7.254005999999999E-2</v>
      </c>
      <c r="HG34" s="45">
        <v>7.4415019999999998E-2</v>
      </c>
      <c r="HH34" s="45">
        <f t="shared" si="15"/>
        <v>1.4713850600000002</v>
      </c>
      <c r="HI34" s="45">
        <v>3.0303E-2</v>
      </c>
      <c r="HJ34" s="45">
        <v>0.13138900000000001</v>
      </c>
      <c r="HK34" s="45">
        <v>0.14967018999999998</v>
      </c>
      <c r="HL34" s="45">
        <v>0.14929593000000002</v>
      </c>
      <c r="HM34" s="45"/>
      <c r="HN34" s="45"/>
      <c r="HO34" s="45"/>
      <c r="HP34" s="45"/>
      <c r="HQ34" s="45"/>
      <c r="HR34" s="45"/>
      <c r="HS34" s="45"/>
      <c r="HT34" s="45"/>
      <c r="HU34" s="283">
        <f t="shared" si="16"/>
        <v>0.50279799999999997</v>
      </c>
      <c r="HV34" s="283">
        <f t="shared" si="17"/>
        <v>0.46065800000000001</v>
      </c>
      <c r="HW34" s="280">
        <f t="shared" si="21"/>
        <v>-4.2139999999999955E-2</v>
      </c>
      <c r="HX34" s="280">
        <f t="shared" si="25"/>
        <v>-8.3810993679370114</v>
      </c>
    </row>
    <row r="35" spans="1:232" s="12" customFormat="1" ht="24" hidden="1" customHeight="1">
      <c r="A35" s="46" t="s">
        <v>102</v>
      </c>
      <c r="B35" s="12" t="s">
        <v>103</v>
      </c>
      <c r="C35" s="46" t="s">
        <v>104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2.6984570948822777E-15</v>
      </c>
      <c r="J35" s="42">
        <v>-1.1452861578096291E-15</v>
      </c>
      <c r="K35" s="42">
        <v>-1.0110112289629828E-14</v>
      </c>
      <c r="L35" s="42">
        <v>5.055056144814914E-15</v>
      </c>
      <c r="M35" s="42">
        <v>-7.3061358343028063E-15</v>
      </c>
      <c r="N35" s="42">
        <v>5.213829175702394E-2</v>
      </c>
      <c r="O35" s="42">
        <v>-3.7186754770878815E-2</v>
      </c>
      <c r="P35" s="42">
        <v>-1.4951536986142371E-2</v>
      </c>
      <c r="Q35" s="42">
        <v>1.2415979419577368E-2</v>
      </c>
      <c r="R35" s="42">
        <v>-1.2415979419563171E-2</v>
      </c>
      <c r="S35" s="42">
        <v>2.6068434442575492E-2</v>
      </c>
      <c r="T35" s="42">
        <v>2.6068434442581633E-2</v>
      </c>
      <c r="U35" s="42">
        <v>0</v>
      </c>
      <c r="V35" s="42">
        <v>0.11300688747724585</v>
      </c>
      <c r="W35" s="42">
        <v>-9.456729999999549E-3</v>
      </c>
      <c r="X35" s="42">
        <v>-0.1035507766034353</v>
      </c>
      <c r="Y35" s="42"/>
      <c r="Z35" s="42"/>
      <c r="AA35" s="42"/>
      <c r="AB35" s="42"/>
      <c r="AC35" s="42"/>
      <c r="AD35" s="42"/>
      <c r="AE35" s="42"/>
      <c r="AF35" s="42"/>
      <c r="AG35" s="42"/>
      <c r="AH35" s="42">
        <v>-1.9920207347683568E-7</v>
      </c>
      <c r="AI35" s="42">
        <v>0</v>
      </c>
      <c r="AJ35" s="42">
        <v>5.7634845561491996E-2</v>
      </c>
      <c r="AK35" s="42">
        <v>-5.7634845561491996E-2</v>
      </c>
      <c r="AL35" s="42">
        <v>1.4048013386378972E-2</v>
      </c>
      <c r="AM35" s="42">
        <v>-1.4048013386378972E-2</v>
      </c>
      <c r="AN35" s="42">
        <v>-4.8377641267502725E-7</v>
      </c>
      <c r="AO35" s="42">
        <v>0</v>
      </c>
      <c r="AP35" s="42">
        <v>0</v>
      </c>
      <c r="AQ35" s="42">
        <v>0</v>
      </c>
      <c r="AR35" s="42">
        <v>0</v>
      </c>
      <c r="AS35" s="42">
        <v>0</v>
      </c>
      <c r="AT35" s="42">
        <v>-2.0220224579259656E-14</v>
      </c>
      <c r="AU35" s="42">
        <v>0</v>
      </c>
      <c r="AV35" s="42">
        <v>-4.8377643289525187E-7</v>
      </c>
      <c r="AW35" s="42">
        <v>0</v>
      </c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>
        <v>1.0000000000003725E-2</v>
      </c>
      <c r="BJ35" s="45">
        <f t="shared" si="28"/>
        <v>1.0000000000003725E-2</v>
      </c>
      <c r="BK35" s="42">
        <v>1.5200000000000001E-4</v>
      </c>
      <c r="BL35" s="42"/>
      <c r="BM35" s="42">
        <v>-2.6775524020195007E-15</v>
      </c>
      <c r="BN35" s="42">
        <v>3.7252902984619139E-15</v>
      </c>
      <c r="BO35" s="42">
        <v>0</v>
      </c>
      <c r="BP35" s="42">
        <v>-9.3132257461547847E-16</v>
      </c>
      <c r="BQ35" s="42">
        <v>1.8626451492309569E-15</v>
      </c>
      <c r="BR35" s="42">
        <v>0</v>
      </c>
      <c r="BS35" s="42">
        <v>1.8626451492309569E-15</v>
      </c>
      <c r="BT35" s="42">
        <v>-2.5611370801925659E-15</v>
      </c>
      <c r="BU35" s="42">
        <v>1.8626451492309569E-15</v>
      </c>
      <c r="BV35" s="42">
        <v>0</v>
      </c>
      <c r="BW35" s="42">
        <v>1.8626451492309569E-15</v>
      </c>
      <c r="BX35" s="45">
        <f t="shared" si="4"/>
        <v>5.0058588385581972E-15</v>
      </c>
      <c r="BY35" s="45">
        <v>4.1130000000000003E-3</v>
      </c>
      <c r="BZ35" s="45">
        <v>1.3969838619232178E-15</v>
      </c>
      <c r="CA35" s="45">
        <v>0</v>
      </c>
      <c r="CB35" s="45">
        <v>0</v>
      </c>
      <c r="CC35" s="45">
        <v>0</v>
      </c>
      <c r="CD35" s="45">
        <v>-9.3132257461547847E-16</v>
      </c>
      <c r="CE35" s="45">
        <v>0</v>
      </c>
      <c r="CF35" s="45">
        <v>0</v>
      </c>
      <c r="CG35" s="45">
        <v>4.6566128730773924E-16</v>
      </c>
      <c r="CH35" s="45">
        <v>1.3969838619232178E-15</v>
      </c>
      <c r="CI35" s="45">
        <v>0</v>
      </c>
      <c r="CJ35" s="45">
        <v>-9.3132257461547847E-16</v>
      </c>
      <c r="CK35" s="45">
        <v>6.984919309616089E-16</v>
      </c>
      <c r="CL35" s="45">
        <f t="shared" si="5"/>
        <v>2.0954757928848271E-15</v>
      </c>
      <c r="CM35" s="45"/>
      <c r="CN35" s="45">
        <v>4.6566128730773924E-16</v>
      </c>
      <c r="CO35" s="45">
        <v>-6.984919309616089E-16</v>
      </c>
      <c r="CP35" s="45">
        <v>0</v>
      </c>
      <c r="CQ35" s="45">
        <v>9.3132257461547847E-16</v>
      </c>
      <c r="CR35" s="45">
        <v>-1.8626451492309569E-15</v>
      </c>
      <c r="CS35" s="45">
        <v>-9.3132257461547847E-16</v>
      </c>
      <c r="CT35" s="45">
        <v>0</v>
      </c>
      <c r="CU35" s="45">
        <v>0</v>
      </c>
      <c r="CV35" s="45">
        <v>-1.8626451492309569E-15</v>
      </c>
      <c r="CW35" s="45">
        <v>0</v>
      </c>
      <c r="CX35" s="45">
        <v>0</v>
      </c>
      <c r="CY35" s="45">
        <v>0</v>
      </c>
      <c r="CZ35" s="45">
        <f t="shared" si="6"/>
        <v>-3.9581209421157837E-15</v>
      </c>
      <c r="DA35" s="45"/>
      <c r="DB35" s="45">
        <v>0</v>
      </c>
      <c r="DC35" s="45">
        <v>4.6566128730773924E-16</v>
      </c>
      <c r="DD35" s="45">
        <v>0</v>
      </c>
      <c r="DE35" s="45">
        <v>0</v>
      </c>
      <c r="DF35" s="45">
        <v>1.8626451492309569E-15</v>
      </c>
      <c r="DG35" s="45">
        <v>0</v>
      </c>
      <c r="DH35" s="45">
        <v>1.8626451492309569E-15</v>
      </c>
      <c r="DI35" s="45">
        <v>0</v>
      </c>
      <c r="DJ35" s="45">
        <v>-9.3132257461547847E-16</v>
      </c>
      <c r="DK35" s="45">
        <v>0</v>
      </c>
      <c r="DL35" s="45">
        <v>0</v>
      </c>
      <c r="DM35" s="45">
        <v>0</v>
      </c>
      <c r="DN35" s="45">
        <f t="shared" si="7"/>
        <v>3.2596290111541744E-15</v>
      </c>
      <c r="DO35" s="45"/>
      <c r="DP35" s="45">
        <v>-1.8626451492309569E-15</v>
      </c>
      <c r="DQ35" s="45">
        <v>-1.8626451492309569E-15</v>
      </c>
      <c r="DR35" s="45">
        <v>-9.3132257461547847E-16</v>
      </c>
      <c r="DS35" s="45">
        <v>0</v>
      </c>
      <c r="DT35" s="45">
        <v>-9.3132257461547847E-16</v>
      </c>
      <c r="DU35" s="45">
        <v>9.3132257461547847E-16</v>
      </c>
      <c r="DV35" s="45">
        <v>0</v>
      </c>
      <c r="DW35" s="45">
        <v>0</v>
      </c>
      <c r="DX35" s="45">
        <v>-9.3132257461547847E-16</v>
      </c>
      <c r="DY35" s="45">
        <v>0</v>
      </c>
      <c r="DZ35" s="45">
        <v>1.8626451492309569E-15</v>
      </c>
      <c r="EA35" s="45">
        <v>7.6610000000000003E-3</v>
      </c>
      <c r="EB35" s="45">
        <f t="shared" si="10"/>
        <v>7.660999999996275E-3</v>
      </c>
      <c r="EC35" s="45"/>
      <c r="ED35" s="45">
        <v>-1.8626451492309569E-15</v>
      </c>
      <c r="EE35" s="45">
        <v>0</v>
      </c>
      <c r="EF35" s="45">
        <v>-1.8626451492309569E-15</v>
      </c>
      <c r="EG35" s="45">
        <v>0</v>
      </c>
      <c r="EH35" s="45">
        <v>0</v>
      </c>
      <c r="EI35" s="45"/>
      <c r="EJ35" s="45"/>
      <c r="EK35" s="45">
        <v>3.3100000000000002E-4</v>
      </c>
      <c r="EL35" s="45">
        <v>0</v>
      </c>
      <c r="EM35" s="45">
        <v>1.8626451492309569E-15</v>
      </c>
      <c r="EN35" s="45">
        <v>0</v>
      </c>
      <c r="EO35" s="45">
        <v>3.7252902984619139E-15</v>
      </c>
      <c r="EP35" s="45">
        <f t="shared" si="11"/>
        <v>3.3100000000186268E-4</v>
      </c>
      <c r="EQ35" s="45">
        <v>0</v>
      </c>
      <c r="ER35" s="45">
        <v>0</v>
      </c>
      <c r="ES35" s="42"/>
      <c r="ET35" s="179"/>
      <c r="EU35" s="45">
        <v>0</v>
      </c>
      <c r="EV35" s="45">
        <v>-1.8626451492309569E-15</v>
      </c>
      <c r="EW35" s="45">
        <v>2.2705999999679625E-4</v>
      </c>
      <c r="EX35" s="45">
        <v>-2.2765999998059123E-4</v>
      </c>
      <c r="EY35" s="45">
        <v>0</v>
      </c>
      <c r="EZ35" s="45">
        <v>-9.3132257461547847E-16</v>
      </c>
      <c r="FA35" s="45"/>
      <c r="FB35" s="45"/>
      <c r="FC35" s="45"/>
      <c r="FD35" s="45">
        <f t="shared" si="12"/>
        <v>-5.9999998658894161E-7</v>
      </c>
      <c r="FE35" s="45">
        <v>-1.1999999731778832E-6</v>
      </c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>
        <f t="shared" si="13"/>
        <v>0</v>
      </c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>
        <v>0.15698430999999999</v>
      </c>
      <c r="GF35" s="45">
        <f t="shared" si="14"/>
        <v>0.15698430999999999</v>
      </c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>
        <v>2.9599999999999998E-4</v>
      </c>
      <c r="GS35" s="45">
        <v>-2.9614000000000029E-4</v>
      </c>
      <c r="GT35" s="45">
        <f t="shared" si="20"/>
        <v>-1.4000000000030698E-7</v>
      </c>
      <c r="GU35" s="45">
        <v>9.2540000000000001E-3</v>
      </c>
      <c r="GV35" s="45"/>
      <c r="GW35" s="45"/>
      <c r="GX35" s="45"/>
      <c r="GY35" s="45"/>
      <c r="GZ35" s="45"/>
      <c r="HA35" s="45"/>
      <c r="HB35" s="45"/>
      <c r="HC35" s="45"/>
      <c r="HD35" s="45">
        <v>2.2394400000000062E-3</v>
      </c>
      <c r="HE35" s="45">
        <v>-2.2394399999994784E-3</v>
      </c>
      <c r="HF35" s="45"/>
      <c r="HG35" s="45"/>
      <c r="HH35" s="45">
        <f t="shared" si="15"/>
        <v>5.2778961756594356E-16</v>
      </c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283">
        <f t="shared" si="16"/>
        <v>0</v>
      </c>
      <c r="HV35" s="283">
        <f t="shared" si="17"/>
        <v>0</v>
      </c>
      <c r="HW35" s="280">
        <f t="shared" si="21"/>
        <v>0</v>
      </c>
      <c r="HX35" s="280" t="e">
        <f t="shared" si="25"/>
        <v>#DIV/0!</v>
      </c>
    </row>
    <row r="36" spans="1:232" s="12" customFormat="1" ht="19" hidden="1" customHeight="1">
      <c r="A36" s="46" t="s">
        <v>108</v>
      </c>
      <c r="B36" s="12" t="s">
        <v>109</v>
      </c>
      <c r="C36" s="51" t="s">
        <v>110</v>
      </c>
      <c r="D36" s="42">
        <v>0</v>
      </c>
      <c r="E36" s="42">
        <v>0</v>
      </c>
      <c r="F36" s="42">
        <v>0</v>
      </c>
      <c r="G36" s="42">
        <v>2.4104848870720362E-14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1.4509113600000003</v>
      </c>
      <c r="W36" s="42">
        <v>-1.4509296800000002</v>
      </c>
      <c r="X36" s="42">
        <v>1.8319999999785068E-5</v>
      </c>
      <c r="Y36" s="42"/>
      <c r="Z36" s="42"/>
      <c r="AA36" s="42"/>
      <c r="AB36" s="42"/>
      <c r="AC36" s="42"/>
      <c r="AD36" s="42"/>
      <c r="AE36" s="42"/>
      <c r="AF36" s="42"/>
      <c r="AG36" s="42"/>
      <c r="AH36" s="42">
        <v>0</v>
      </c>
      <c r="AI36" s="42">
        <v>0</v>
      </c>
      <c r="AJ36" s="42">
        <v>0</v>
      </c>
      <c r="AK36" s="42">
        <v>0</v>
      </c>
      <c r="AL36" s="42">
        <v>0</v>
      </c>
      <c r="AM36" s="42">
        <v>0</v>
      </c>
      <c r="AN36" s="42">
        <v>0</v>
      </c>
      <c r="AO36" s="42">
        <v>0</v>
      </c>
      <c r="AP36" s="42">
        <v>0</v>
      </c>
      <c r="AQ36" s="42">
        <v>0</v>
      </c>
      <c r="AR36" s="42">
        <v>0</v>
      </c>
      <c r="AS36" s="42">
        <v>0</v>
      </c>
      <c r="AT36" s="42">
        <v>0</v>
      </c>
      <c r="AU36" s="42">
        <v>0</v>
      </c>
      <c r="AV36" s="42">
        <v>0</v>
      </c>
      <c r="AW36" s="42">
        <v>0</v>
      </c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5"/>
      <c r="BK36" s="42"/>
      <c r="BL36" s="42"/>
      <c r="BM36" s="42">
        <v>1.5575096767861396E-17</v>
      </c>
      <c r="BN36" s="42">
        <v>-1.9213075574953108E-17</v>
      </c>
      <c r="BO36" s="42">
        <v>-1.4551915228366851E-17</v>
      </c>
      <c r="BP36" s="42">
        <v>-2.8649083105847239E-17</v>
      </c>
      <c r="BQ36" s="42">
        <v>6.3948846218409015E-18</v>
      </c>
      <c r="BR36" s="42">
        <v>0</v>
      </c>
      <c r="BS36" s="42">
        <v>0</v>
      </c>
      <c r="BT36" s="42">
        <v>-2.9103830456733702E-17</v>
      </c>
      <c r="BU36" s="42">
        <v>-1.0913936421275139E-17</v>
      </c>
      <c r="BV36" s="42">
        <v>3.6379788070917128E-18</v>
      </c>
      <c r="BW36" s="42">
        <v>5.6843418860808018E-18</v>
      </c>
      <c r="BX36" s="45">
        <f t="shared" si="4"/>
        <v>-7.1139538704301231E-17</v>
      </c>
      <c r="BY36" s="45">
        <v>3.9039999999999999E-3</v>
      </c>
      <c r="BZ36" s="45">
        <v>0</v>
      </c>
      <c r="CA36" s="45">
        <v>7.2759576141834256E-18</v>
      </c>
      <c r="CB36" s="45">
        <v>7.2759576141834256E-18</v>
      </c>
      <c r="CC36" s="45">
        <v>3.6379788070917128E-18</v>
      </c>
      <c r="CD36" s="45">
        <v>0</v>
      </c>
      <c r="CE36" s="45">
        <v>-3.6379788070917128E-18</v>
      </c>
      <c r="CF36" s="45">
        <v>-8.1286088970955465E-18</v>
      </c>
      <c r="CG36" s="45">
        <v>-1.1368683772161604E-18</v>
      </c>
      <c r="CH36" s="45">
        <v>1.4551915228366851E-17</v>
      </c>
      <c r="CI36" s="45">
        <v>0</v>
      </c>
      <c r="CJ36" s="45">
        <v>3.6379788070917128E-18</v>
      </c>
      <c r="CK36" s="45">
        <v>9.3109520094003524E-17</v>
      </c>
      <c r="CL36" s="45">
        <f t="shared" si="5"/>
        <v>1.1658585208351723E-16</v>
      </c>
      <c r="CM36" s="45"/>
      <c r="CN36" s="45">
        <v>0</v>
      </c>
      <c r="CO36" s="45">
        <v>3.2741809263825417E-17</v>
      </c>
      <c r="CP36" s="45">
        <v>0</v>
      </c>
      <c r="CQ36" s="45">
        <v>-7.2759576141834256E-18</v>
      </c>
      <c r="CR36" s="45">
        <v>-1.8189894035458564E-18</v>
      </c>
      <c r="CS36" s="45">
        <v>-7.2759576141834256E-18</v>
      </c>
      <c r="CT36" s="45">
        <v>-2.7284841053187848E-18</v>
      </c>
      <c r="CU36" s="45">
        <v>1.8189894035458564E-18</v>
      </c>
      <c r="CV36" s="45">
        <v>0</v>
      </c>
      <c r="CW36" s="45">
        <v>0</v>
      </c>
      <c r="CX36" s="45">
        <v>1.4551915228366851E-17</v>
      </c>
      <c r="CY36" s="45">
        <v>1.9269918993813917E-17</v>
      </c>
      <c r="CZ36" s="45">
        <f t="shared" si="6"/>
        <v>4.9283244152320551E-17</v>
      </c>
      <c r="DA36" s="45"/>
      <c r="DB36" s="45">
        <v>-9.094947017729282E-19</v>
      </c>
      <c r="DC36" s="45">
        <v>-2.9103830456733702E-17</v>
      </c>
      <c r="DD36" s="45">
        <v>-3.2741809263825417E-17</v>
      </c>
      <c r="DE36" s="45">
        <v>0</v>
      </c>
      <c r="DF36" s="45">
        <v>1.7337242752546444E-18</v>
      </c>
      <c r="DG36" s="45">
        <v>1.1681322575896047E-17</v>
      </c>
      <c r="DH36" s="45">
        <v>-3.6379788070917128E-18</v>
      </c>
      <c r="DI36" s="45">
        <v>0</v>
      </c>
      <c r="DJ36" s="45">
        <v>0</v>
      </c>
      <c r="DK36" s="45">
        <v>-1.0913936421275139E-17</v>
      </c>
      <c r="DL36" s="45">
        <v>1.5234036254696548E-17</v>
      </c>
      <c r="DM36" s="45">
        <v>1.4551915228366851E-17</v>
      </c>
      <c r="DN36" s="45">
        <f t="shared" si="7"/>
        <v>-3.4106051316484812E-17</v>
      </c>
      <c r="DO36" s="45"/>
      <c r="DP36" s="45">
        <v>-3.6379788070917128E-18</v>
      </c>
      <c r="DQ36" s="45">
        <v>-5.8207660913467405E-17</v>
      </c>
      <c r="DR36" s="45">
        <v>-7.1850081440061327E-17</v>
      </c>
      <c r="DS36" s="45">
        <v>4.3655745685100557E-17</v>
      </c>
      <c r="DT36" s="45">
        <v>-1.4551915228366851E-17</v>
      </c>
      <c r="DU36" s="45">
        <v>-2.9103830456733702E-17</v>
      </c>
      <c r="DV36" s="45">
        <v>-1.4551915228366851E-17</v>
      </c>
      <c r="DW36" s="45">
        <v>-7.2759576141834256E-18</v>
      </c>
      <c r="DX36" s="45">
        <v>-1.8189894035458566E-17</v>
      </c>
      <c r="DY36" s="45">
        <v>0</v>
      </c>
      <c r="DZ36" s="45">
        <v>5.8207660913467405E-17</v>
      </c>
      <c r="EA36" s="45">
        <v>-3.4429999999999999E-3</v>
      </c>
      <c r="EB36" s="45">
        <f t="shared" si="10"/>
        <v>-3.4430000000001152E-3</v>
      </c>
      <c r="EC36" s="45"/>
      <c r="ED36" s="45">
        <v>-2.9103830456733702E-17</v>
      </c>
      <c r="EE36" s="45">
        <v>-5.4569682106375696E-18</v>
      </c>
      <c r="EF36" s="45">
        <v>-2.9103830456733702E-17</v>
      </c>
      <c r="EG36" s="45">
        <v>5.8207660913467405E-17</v>
      </c>
      <c r="EH36" s="45">
        <v>0</v>
      </c>
      <c r="EI36" s="45">
        <v>9.3132257461547847E-16</v>
      </c>
      <c r="EJ36" s="45">
        <v>1.8626451492309569E-15</v>
      </c>
      <c r="EK36" s="45"/>
      <c r="EL36" s="45">
        <v>0</v>
      </c>
      <c r="EM36" s="45">
        <v>2.9103830456733702E-17</v>
      </c>
      <c r="EN36" s="45">
        <v>5.8207660913467405E-17</v>
      </c>
      <c r="EO36" s="45">
        <v>-2.9103830456733702E-17</v>
      </c>
      <c r="EP36" s="45">
        <f t="shared" si="11"/>
        <v>2.8467184165492654E-15</v>
      </c>
      <c r="EQ36" s="45"/>
      <c r="ER36" s="45">
        <v>0</v>
      </c>
      <c r="ES36" s="42"/>
      <c r="ET36" s="45">
        <v>9.3132257461547847E-16</v>
      </c>
      <c r="EU36" s="45">
        <v>5.8207660913467405E-17</v>
      </c>
      <c r="EV36" s="42">
        <v>-4.3655745685100557E-17</v>
      </c>
      <c r="EW36" s="42">
        <v>-2.9103830456733702E-17</v>
      </c>
      <c r="EX36" s="42">
        <v>-3.6379788070917128E-18</v>
      </c>
      <c r="EY36" s="42">
        <v>-3.0809133022557941E-17</v>
      </c>
      <c r="EZ36" s="42">
        <v>1.7166712495964022E-17</v>
      </c>
      <c r="FA36" s="42">
        <v>5.8207660913467405E-17</v>
      </c>
      <c r="FB36" s="42">
        <v>3.7252902984619139E-15</v>
      </c>
      <c r="FC36" s="42"/>
      <c r="FD36" s="45">
        <f t="shared" si="12"/>
        <v>4.6829882194288074E-15</v>
      </c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>
        <f t="shared" si="13"/>
        <v>0</v>
      </c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>
        <f t="shared" si="14"/>
        <v>0</v>
      </c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>
        <f t="shared" si="20"/>
        <v>0</v>
      </c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>
        <f t="shared" si="15"/>
        <v>0</v>
      </c>
      <c r="HI36" s="45">
        <v>3.0600000000000001E-4</v>
      </c>
      <c r="HJ36" s="45">
        <v>-3.0600000000000001E-4</v>
      </c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283">
        <f t="shared" si="16"/>
        <v>0</v>
      </c>
      <c r="HV36" s="283">
        <f t="shared" si="17"/>
        <v>0</v>
      </c>
      <c r="HW36" s="280">
        <f t="shared" si="21"/>
        <v>0</v>
      </c>
      <c r="HX36" s="280"/>
    </row>
    <row r="37" spans="1:232" s="12" customFormat="1" ht="20.5">
      <c r="A37" s="46" t="s">
        <v>105</v>
      </c>
      <c r="B37" s="12" t="s">
        <v>106</v>
      </c>
      <c r="C37" s="46" t="s">
        <v>107</v>
      </c>
      <c r="D37" s="42">
        <v>0</v>
      </c>
      <c r="E37" s="42">
        <v>0</v>
      </c>
      <c r="F37" s="42">
        <v>0</v>
      </c>
      <c r="G37" s="42">
        <v>1.3347988912982851</v>
      </c>
      <c r="H37" s="42">
        <v>0</v>
      </c>
      <c r="I37" s="42">
        <v>2.1092651720821167E-2</v>
      </c>
      <c r="J37" s="42">
        <v>-8.4447441961058856E-3</v>
      </c>
      <c r="K37" s="42">
        <v>9.7395575437817655E-2</v>
      </c>
      <c r="L37" s="42">
        <v>0.28952453315575899</v>
      </c>
      <c r="M37" s="42">
        <v>-0.25451904087056992</v>
      </c>
      <c r="N37" s="42">
        <v>0</v>
      </c>
      <c r="O37" s="42">
        <v>6.0770855032128441E-3</v>
      </c>
      <c r="P37" s="42">
        <v>9.1970165223874648E-2</v>
      </c>
      <c r="Q37" s="42">
        <v>0.19716876967120278</v>
      </c>
      <c r="R37" s="42">
        <v>-6.2663274540270111E-2</v>
      </c>
      <c r="S37" s="42">
        <v>0.2353102714270266</v>
      </c>
      <c r="T37" s="42">
        <v>0.61291199253276885</v>
      </c>
      <c r="U37" s="42">
        <v>0.61291199253276862</v>
      </c>
      <c r="V37" s="42">
        <v>0.23718988508887259</v>
      </c>
      <c r="W37" s="42">
        <v>-0.23503632521493811</v>
      </c>
      <c r="X37" s="42">
        <v>6.0452309080085122E-2</v>
      </c>
      <c r="Y37" s="42">
        <v>7.8704219099497277E-2</v>
      </c>
      <c r="Z37" s="42">
        <v>1.2293612443867706E-3</v>
      </c>
      <c r="AA37" s="42">
        <v>8.501659068531198E-3</v>
      </c>
      <c r="AB37" s="42">
        <v>5.3918304392120711E-2</v>
      </c>
      <c r="AC37" s="42">
        <v>3.5738271267664955E-2</v>
      </c>
      <c r="AD37" s="42">
        <v>2.3454618926471674E-2</v>
      </c>
      <c r="AE37" s="42">
        <v>5.173561903460993E-2</v>
      </c>
      <c r="AF37" s="42">
        <v>3.7990677343896734E-4</v>
      </c>
      <c r="AG37" s="42">
        <v>-0.16412968622830831</v>
      </c>
      <c r="AH37" s="42">
        <v>0.15213772260829483</v>
      </c>
      <c r="AI37" s="42">
        <v>0.1656450447066323</v>
      </c>
      <c r="AJ37" s="42">
        <v>5.6291654572256281E-2</v>
      </c>
      <c r="AK37" s="42">
        <v>0.14817217887206108</v>
      </c>
      <c r="AL37" s="42">
        <v>7.7623348757263774E-2</v>
      </c>
      <c r="AM37" s="42">
        <v>6.1200562318939569E-2</v>
      </c>
      <c r="AN37" s="42">
        <v>3.6338723171752012E-2</v>
      </c>
      <c r="AO37" s="42">
        <v>9.4094512837149466E-2</v>
      </c>
      <c r="AP37" s="42">
        <v>0.32990990375695073</v>
      </c>
      <c r="AQ37" s="42">
        <v>5.4774873222121677E-2</v>
      </c>
      <c r="AR37" s="42">
        <v>6.3218194546416926E-3</v>
      </c>
      <c r="AS37" s="42">
        <v>0.10149344625244021</v>
      </c>
      <c r="AT37" s="42">
        <v>3.7502632312849671E-2</v>
      </c>
      <c r="AU37" s="42">
        <v>5.3165605204295932E-2</v>
      </c>
      <c r="AV37" s="42">
        <v>1.0568892607327218</v>
      </c>
      <c r="AW37" s="42">
        <v>1.0450225098320443</v>
      </c>
      <c r="AX37" s="42">
        <v>1.537197E-2</v>
      </c>
      <c r="AY37" s="42">
        <v>0.28658699999999998</v>
      </c>
      <c r="AZ37" s="42">
        <v>0.18847969000000001</v>
      </c>
      <c r="BA37" s="42">
        <v>0.22867725</v>
      </c>
      <c r="BB37" s="42">
        <v>0.22715925000000001</v>
      </c>
      <c r="BC37" s="42">
        <v>0.31917888999999994</v>
      </c>
      <c r="BD37" s="42">
        <v>0.47000233000000002</v>
      </c>
      <c r="BE37" s="42">
        <v>7.6923290000000005E-2</v>
      </c>
      <c r="BF37" s="42">
        <v>0.11825138999999998</v>
      </c>
      <c r="BG37" s="42">
        <v>3.3589540000000001E-2</v>
      </c>
      <c r="BH37" s="42">
        <v>0.10822463</v>
      </c>
      <c r="BI37" s="42">
        <v>0.24674667</v>
      </c>
      <c r="BJ37" s="45">
        <f t="shared" si="28"/>
        <v>2.3191918999999999</v>
      </c>
      <c r="BK37" s="42">
        <v>2.3361679999999998</v>
      </c>
      <c r="BL37" s="42">
        <v>0.13306852</v>
      </c>
      <c r="BM37" s="42">
        <v>0.13739503</v>
      </c>
      <c r="BN37" s="42">
        <v>0.16907126</v>
      </c>
      <c r="BO37" s="42">
        <v>0.26383298999999999</v>
      </c>
      <c r="BP37" s="42">
        <v>0.17635697000000003</v>
      </c>
      <c r="BQ37" s="42">
        <v>8.2561600000000037E-3</v>
      </c>
      <c r="BR37" s="42">
        <v>0.29560234000000002</v>
      </c>
      <c r="BS37" s="42">
        <v>5.3504500000000003E-2</v>
      </c>
      <c r="BT37" s="42">
        <v>0.10601722</v>
      </c>
      <c r="BU37" s="42">
        <v>7.7205349999999992E-2</v>
      </c>
      <c r="BV37" s="42">
        <v>9.9181870000000005E-2</v>
      </c>
      <c r="BW37" s="42">
        <v>0.18033721999999999</v>
      </c>
      <c r="BX37" s="45">
        <f t="shared" si="4"/>
        <v>1.6998294300000001</v>
      </c>
      <c r="BY37" s="45">
        <v>1.72455</v>
      </c>
      <c r="BZ37" s="45">
        <v>8.8739800000000001E-3</v>
      </c>
      <c r="CA37" s="45">
        <v>5.9886389999999998E-2</v>
      </c>
      <c r="CB37" s="45">
        <v>7.1427009999999999E-2</v>
      </c>
      <c r="CC37" s="45">
        <v>9.8809529999999993E-2</v>
      </c>
      <c r="CD37" s="45">
        <v>0.10704378000000001</v>
      </c>
      <c r="CE37" s="45">
        <v>3.374516000000001E-2</v>
      </c>
      <c r="CF37" s="45">
        <v>0.25089682000000002</v>
      </c>
      <c r="CG37" s="45">
        <v>0.10187771</v>
      </c>
      <c r="CH37" s="45">
        <v>6.559479E-2</v>
      </c>
      <c r="CI37" s="45">
        <v>4.1018610000000004E-2</v>
      </c>
      <c r="CJ37" s="45">
        <v>6.642403999999999E-2</v>
      </c>
      <c r="CK37" s="45">
        <v>0.57180215999999995</v>
      </c>
      <c r="CL37" s="45">
        <f t="shared" si="5"/>
        <v>1.4773999799999999</v>
      </c>
      <c r="CM37" s="45">
        <v>1.458118</v>
      </c>
      <c r="CN37" s="45">
        <v>8.7049649999999992E-2</v>
      </c>
      <c r="CO37" s="45">
        <v>5.1194780000000016E-2</v>
      </c>
      <c r="CP37" s="45">
        <v>4.0288320000000002E-2</v>
      </c>
      <c r="CQ37" s="45">
        <v>0.27505821999999996</v>
      </c>
      <c r="CR37" s="45">
        <v>6.1995809999999998E-2</v>
      </c>
      <c r="CS37" s="45">
        <v>0.20494115999999998</v>
      </c>
      <c r="CT37" s="45">
        <v>0.12487415999999998</v>
      </c>
      <c r="CU37" s="45">
        <v>0.56181613999999991</v>
      </c>
      <c r="CV37" s="45">
        <v>6.3811199999999998E-2</v>
      </c>
      <c r="CW37" s="45">
        <v>9.697923E-2</v>
      </c>
      <c r="CX37" s="45">
        <v>0.20975472999999997</v>
      </c>
      <c r="CY37" s="45">
        <v>0.16100067000000004</v>
      </c>
      <c r="CZ37" s="45">
        <f t="shared" si="6"/>
        <v>1.9387640699999997</v>
      </c>
      <c r="DA37" s="45">
        <v>1.9473309999999999</v>
      </c>
      <c r="DB37" s="45">
        <v>0.11352239</v>
      </c>
      <c r="DC37" s="45">
        <v>0.13104817999999999</v>
      </c>
      <c r="DD37" s="45">
        <v>0.22553445999999999</v>
      </c>
      <c r="DE37" s="45">
        <v>0.13629279999999999</v>
      </c>
      <c r="DF37" s="45">
        <v>0.24587950000000003</v>
      </c>
      <c r="DG37" s="45">
        <v>0.18547066000000001</v>
      </c>
      <c r="DH37" s="45">
        <v>0.14471935999999999</v>
      </c>
      <c r="DI37" s="45">
        <v>0.13406968</v>
      </c>
      <c r="DJ37" s="45">
        <v>0.26903331000000008</v>
      </c>
      <c r="DK37" s="45">
        <v>0.12468175999999999</v>
      </c>
      <c r="DL37" s="45">
        <v>0.19578630999999999</v>
      </c>
      <c r="DM37" s="45">
        <v>0.11675481000000003</v>
      </c>
      <c r="DN37" s="45">
        <f t="shared" si="7"/>
        <v>2.0227932200000005</v>
      </c>
      <c r="DO37" s="45">
        <v>2.0621710000000002</v>
      </c>
      <c r="DP37" s="45">
        <v>0.21083222999999995</v>
      </c>
      <c r="DQ37" s="45">
        <v>0.15580217000000005</v>
      </c>
      <c r="DR37" s="45">
        <v>9.594156999999999E-2</v>
      </c>
      <c r="DS37" s="45">
        <v>0.10990439</v>
      </c>
      <c r="DT37" s="45">
        <v>0.16934008</v>
      </c>
      <c r="DU37" s="45">
        <v>0.89689917000000008</v>
      </c>
      <c r="DV37" s="45">
        <v>0.43881342000000001</v>
      </c>
      <c r="DW37" s="45">
        <v>0.14776103000000002</v>
      </c>
      <c r="DX37" s="45">
        <v>-2.2045519999999996E-2</v>
      </c>
      <c r="DY37" s="45">
        <v>0.16754715000000001</v>
      </c>
      <c r="DZ37" s="45">
        <v>0.16281797999999997</v>
      </c>
      <c r="EA37" s="45">
        <v>0.15780763</v>
      </c>
      <c r="EB37" s="45">
        <f t="shared" si="10"/>
        <v>2.6914213</v>
      </c>
      <c r="EC37" s="45">
        <v>3.1196549999999998</v>
      </c>
      <c r="ED37" s="45">
        <v>0.48465331000000006</v>
      </c>
      <c r="EE37" s="45">
        <v>0.21081362999999997</v>
      </c>
      <c r="EF37" s="45">
        <v>0.15363193999999997</v>
      </c>
      <c r="EG37" s="45">
        <v>0.19725300000000001</v>
      </c>
      <c r="EH37" s="45">
        <v>9.4561739999999991E-2</v>
      </c>
      <c r="EI37" s="45">
        <v>0.25164140999999995</v>
      </c>
      <c r="EJ37" s="45">
        <v>5.6618779999999994E-2</v>
      </c>
      <c r="EK37" s="45">
        <v>7.097674000000001E-2</v>
      </c>
      <c r="EL37" s="45">
        <v>7.5699380000000011E-2</v>
      </c>
      <c r="EM37" s="45">
        <v>0.29015418000000004</v>
      </c>
      <c r="EN37" s="45">
        <v>0.11684323000000001</v>
      </c>
      <c r="EO37" s="45">
        <v>0.29754873999999998</v>
      </c>
      <c r="EP37" s="45">
        <f t="shared" si="11"/>
        <v>2.3003960800000001</v>
      </c>
      <c r="EQ37" s="45">
        <v>1.982936</v>
      </c>
      <c r="ER37" s="45">
        <v>0.14210082000000002</v>
      </c>
      <c r="ES37" s="42">
        <v>8.2742260000000012E-2</v>
      </c>
      <c r="ET37" s="45">
        <v>0.65949680999999993</v>
      </c>
      <c r="EU37" s="45">
        <v>0.10895805999999997</v>
      </c>
      <c r="EV37" s="42">
        <v>0.39854203999999999</v>
      </c>
      <c r="EW37" s="42">
        <v>0.19292493999999999</v>
      </c>
      <c r="EX37" s="42">
        <v>0.10189265999999998</v>
      </c>
      <c r="EY37" s="42">
        <v>8.5025020000000007E-2</v>
      </c>
      <c r="EZ37" s="42">
        <v>8.0432199999999995E-2</v>
      </c>
      <c r="FA37" s="42">
        <v>0.228681</v>
      </c>
      <c r="FB37" s="42">
        <v>0.24739029999999998</v>
      </c>
      <c r="FC37" s="42">
        <v>0.13025934</v>
      </c>
      <c r="FD37" s="45">
        <f t="shared" si="12"/>
        <v>2.4584454499999997</v>
      </c>
      <c r="FE37" s="45">
        <v>2.441182</v>
      </c>
      <c r="FF37" s="45">
        <v>0.11664531</v>
      </c>
      <c r="FG37" s="45">
        <v>7.4108529999999992E-2</v>
      </c>
      <c r="FH37" s="45">
        <v>0.20241528</v>
      </c>
      <c r="FI37" s="45">
        <v>-4.6449999999999964E-3</v>
      </c>
      <c r="FJ37" s="45">
        <v>0.50329230999999996</v>
      </c>
      <c r="FK37" s="45">
        <v>0.22146737000000005</v>
      </c>
      <c r="FL37" s="45">
        <v>0.33847199</v>
      </c>
      <c r="FM37" s="45">
        <v>0.12560229000000001</v>
      </c>
      <c r="FN37" s="45">
        <v>0.23385003999999998</v>
      </c>
      <c r="FO37" s="45">
        <v>0.74637100000000001</v>
      </c>
      <c r="FP37" s="45">
        <v>-0.49920518000000008</v>
      </c>
      <c r="FQ37" s="45">
        <v>0.34649196000000004</v>
      </c>
      <c r="FR37" s="45">
        <f t="shared" si="13"/>
        <v>2.4048658999999999</v>
      </c>
      <c r="FS37" s="45">
        <v>2.4260480000000002</v>
      </c>
      <c r="FT37" s="45">
        <v>0.37799470000000002</v>
      </c>
      <c r="FU37" s="45">
        <v>3.4613420000000006E-2</v>
      </c>
      <c r="FV37" s="45">
        <v>9.0474430000000008E-2</v>
      </c>
      <c r="FW37" s="45">
        <v>0.10205632000000001</v>
      </c>
      <c r="FX37" s="45">
        <v>0.32754762999999998</v>
      </c>
      <c r="FY37" s="45">
        <v>0.25794698999999999</v>
      </c>
      <c r="FZ37" s="45">
        <v>9.9195530000000004E-2</v>
      </c>
      <c r="GA37" s="45">
        <v>4.1792939999999994E-2</v>
      </c>
      <c r="GB37" s="45">
        <v>8.0931619999999996E-2</v>
      </c>
      <c r="GC37" s="45">
        <v>0.1896949</v>
      </c>
      <c r="GD37" s="45">
        <v>0.24302609000000003</v>
      </c>
      <c r="GE37" s="45">
        <v>0.15698430999999999</v>
      </c>
      <c r="GF37" s="45">
        <f t="shared" si="14"/>
        <v>2.0022588800000003</v>
      </c>
      <c r="GG37" s="45">
        <v>1.951287</v>
      </c>
      <c r="GH37" s="45">
        <v>0.1869614</v>
      </c>
      <c r="GI37" s="45">
        <v>8.3483729999999992E-2</v>
      </c>
      <c r="GJ37" s="45">
        <v>7.4637659999999995E-2</v>
      </c>
      <c r="GK37" s="45">
        <v>3.6470779999999994E-2</v>
      </c>
      <c r="GL37" s="45">
        <v>0.1966156</v>
      </c>
      <c r="GM37" s="45">
        <v>0.20638110999999998</v>
      </c>
      <c r="GN37" s="45">
        <v>7.2498210000000007E-2</v>
      </c>
      <c r="GO37" s="45">
        <v>4.9457560000000005E-2</v>
      </c>
      <c r="GP37" s="45">
        <v>0.13107124000000001</v>
      </c>
      <c r="GQ37" s="45">
        <v>0.22259735999999999</v>
      </c>
      <c r="GR37" s="45">
        <v>9.3076000000000006E-2</v>
      </c>
      <c r="GS37" s="45">
        <v>0.20674914</v>
      </c>
      <c r="GT37" s="45">
        <f t="shared" si="20"/>
        <v>1.55999979</v>
      </c>
      <c r="GU37" s="45">
        <v>1.583494</v>
      </c>
      <c r="GV37" s="45">
        <v>0.35112900000000002</v>
      </c>
      <c r="GW37" s="45">
        <v>-0.20977723999999998</v>
      </c>
      <c r="GX37" s="45">
        <v>9.2474999999999752E-2</v>
      </c>
      <c r="GY37" s="45">
        <v>0.26897100000000002</v>
      </c>
      <c r="GZ37" s="45">
        <v>0.30111387000000001</v>
      </c>
      <c r="HA37" s="45">
        <v>2.6405110000000009E-2</v>
      </c>
      <c r="HB37" s="45">
        <v>0.13336200000000001</v>
      </c>
      <c r="HC37" s="45">
        <v>8.2268570000000013E-2</v>
      </c>
      <c r="HD37" s="45">
        <v>0.15074931</v>
      </c>
      <c r="HE37" s="45">
        <v>0.12773336000000002</v>
      </c>
      <c r="HF37" s="45">
        <v>7.254005999999999E-2</v>
      </c>
      <c r="HG37" s="45">
        <v>7.4415019999999998E-2</v>
      </c>
      <c r="HH37" s="45">
        <f t="shared" si="15"/>
        <v>1.4713850599999996</v>
      </c>
      <c r="HI37" s="45">
        <v>2.9997450000000002E-2</v>
      </c>
      <c r="HJ37" s="45">
        <v>0.13169500000000001</v>
      </c>
      <c r="HK37" s="45">
        <v>0.14967018999999998</v>
      </c>
      <c r="HL37" s="45">
        <v>0.14929593000000002</v>
      </c>
      <c r="HM37" s="45"/>
      <c r="HN37" s="45"/>
      <c r="HO37" s="45"/>
      <c r="HP37" s="45"/>
      <c r="HQ37" s="45"/>
      <c r="HR37" s="45"/>
      <c r="HS37" s="45"/>
      <c r="HT37" s="45"/>
      <c r="HU37" s="283">
        <f t="shared" si="16"/>
        <v>0.50279799999999997</v>
      </c>
      <c r="HV37" s="283">
        <f t="shared" si="17"/>
        <v>0.46065899999999999</v>
      </c>
      <c r="HW37" s="280">
        <f t="shared" si="21"/>
        <v>-4.2138999999999982E-2</v>
      </c>
      <c r="HX37" s="280">
        <f>HV37/HU37*100-100</f>
        <v>-8.3809004809088208</v>
      </c>
    </row>
    <row r="38" spans="1:232" s="12" customFormat="1" ht="20.5">
      <c r="A38" s="42" t="s">
        <v>186</v>
      </c>
      <c r="B38" s="12" t="s">
        <v>112</v>
      </c>
      <c r="C38" s="42" t="s">
        <v>113</v>
      </c>
      <c r="D38" s="42">
        <v>653.06532689056974</v>
      </c>
      <c r="E38" s="42">
        <v>607.95618408546341</v>
      </c>
      <c r="F38" s="42">
        <v>750.01399536712961</v>
      </c>
      <c r="G38" s="42">
        <v>852.51272616547431</v>
      </c>
      <c r="H38" s="42">
        <v>38.547175314881535</v>
      </c>
      <c r="I38" s="42">
        <v>77.400983773569862</v>
      </c>
      <c r="J38" s="42">
        <v>38.261878133875157</v>
      </c>
      <c r="K38" s="42">
        <v>33.906069117421076</v>
      </c>
      <c r="L38" s="42">
        <v>87.516286190744495</v>
      </c>
      <c r="M38" s="42">
        <v>39.309547185274987</v>
      </c>
      <c r="N38" s="42">
        <v>10.74503133163727</v>
      </c>
      <c r="O38" s="42">
        <v>343.8591883370043</v>
      </c>
      <c r="P38" s="42">
        <v>69.635471625090361</v>
      </c>
      <c r="Q38" s="42">
        <v>67.864159851110699</v>
      </c>
      <c r="R38" s="42">
        <v>66.954650229651506</v>
      </c>
      <c r="S38" s="42">
        <v>68.434021434140959</v>
      </c>
      <c r="T38" s="42">
        <v>942.43446252440208</v>
      </c>
      <c r="U38" s="42">
        <v>942.57825225809756</v>
      </c>
      <c r="V38" s="42">
        <v>50.632005509359651</v>
      </c>
      <c r="W38" s="42">
        <v>50.83804303902653</v>
      </c>
      <c r="X38" s="42">
        <v>60.820210186623868</v>
      </c>
      <c r="Y38" s="42">
        <v>62.666238382251663</v>
      </c>
      <c r="Z38" s="42">
        <v>76.5162178928976</v>
      </c>
      <c r="AA38" s="42">
        <v>83.210371597202069</v>
      </c>
      <c r="AB38" s="42">
        <v>138.61258473201633</v>
      </c>
      <c r="AC38" s="42">
        <v>271.96373811190603</v>
      </c>
      <c r="AD38" s="42">
        <v>102.27402661339435</v>
      </c>
      <c r="AE38" s="42">
        <v>68.992463048019076</v>
      </c>
      <c r="AF38" s="42">
        <v>77.407156191484404</v>
      </c>
      <c r="AG38" s="42">
        <v>158.16738663980286</v>
      </c>
      <c r="AH38" s="42">
        <v>1202.1004419439844</v>
      </c>
      <c r="AI38" s="42">
        <v>1202.0373162361057</v>
      </c>
      <c r="AJ38" s="42">
        <v>44.107863643348644</v>
      </c>
      <c r="AK38" s="42">
        <v>61.683813694856603</v>
      </c>
      <c r="AL38" s="42">
        <v>181.91579017763132</v>
      </c>
      <c r="AM38" s="42">
        <v>114.20690833213722</v>
      </c>
      <c r="AN38" s="42">
        <v>102.34741975933636</v>
      </c>
      <c r="AO38" s="42">
        <v>104.63688880541373</v>
      </c>
      <c r="AP38" s="42">
        <v>76.15106060864764</v>
      </c>
      <c r="AQ38" s="42">
        <v>106.46440970740063</v>
      </c>
      <c r="AR38" s="42">
        <v>103.3461605227062</v>
      </c>
      <c r="AS38" s="42">
        <v>128.95671623952057</v>
      </c>
      <c r="AT38" s="42">
        <v>25.078151234199009</v>
      </c>
      <c r="AU38" s="42">
        <v>60.9126285564681</v>
      </c>
      <c r="AV38" s="42">
        <v>1109.8078112816663</v>
      </c>
      <c r="AW38" s="42">
        <v>1110.053716256595</v>
      </c>
      <c r="AX38" s="42">
        <v>52.917273999999999</v>
      </c>
      <c r="AY38" s="42">
        <v>160.61796100000001</v>
      </c>
      <c r="AZ38" s="42">
        <v>65.530355</v>
      </c>
      <c r="BA38" s="42">
        <v>59.817323000000002</v>
      </c>
      <c r="BB38" s="42">
        <v>12.638688</v>
      </c>
      <c r="BC38" s="42">
        <v>312.65232099999997</v>
      </c>
      <c r="BD38" s="42">
        <v>66.677531000000002</v>
      </c>
      <c r="BE38" s="42">
        <v>52.385255000000001</v>
      </c>
      <c r="BF38" s="42">
        <v>68.424177999999998</v>
      </c>
      <c r="BG38" s="42">
        <v>92.927674999999994</v>
      </c>
      <c r="BH38" s="42">
        <v>17.694659000000001</v>
      </c>
      <c r="BI38" s="42">
        <v>105.786417</v>
      </c>
      <c r="BJ38" s="45">
        <f t="shared" si="28"/>
        <v>1068.0696370000001</v>
      </c>
      <c r="BK38" s="42">
        <v>1068.447514</v>
      </c>
      <c r="BL38" s="42">
        <v>79.860968</v>
      </c>
      <c r="BM38" s="42">
        <v>107.250316</v>
      </c>
      <c r="BN38" s="42">
        <v>177.62367499999999</v>
      </c>
      <c r="BO38" s="42">
        <v>176.93124499999999</v>
      </c>
      <c r="BP38" s="42">
        <v>67.415554999999998</v>
      </c>
      <c r="BQ38" s="42">
        <v>115.510744</v>
      </c>
      <c r="BR38" s="42">
        <v>7.9775859999999996</v>
      </c>
      <c r="BS38" s="42">
        <v>132.90181100000001</v>
      </c>
      <c r="BT38" s="42">
        <v>6.251112</v>
      </c>
      <c r="BU38" s="42">
        <v>84.667738999999997</v>
      </c>
      <c r="BV38" s="42">
        <v>5.8923350000000001</v>
      </c>
      <c r="BW38" s="42">
        <v>40.979090999999997</v>
      </c>
      <c r="BX38" s="45">
        <f t="shared" si="4"/>
        <v>1003.2621770000001</v>
      </c>
      <c r="BY38" s="45">
        <v>1003.255595</v>
      </c>
      <c r="BZ38" s="45">
        <v>78.358469999999997</v>
      </c>
      <c r="CA38" s="45">
        <v>206.68006500000001</v>
      </c>
      <c r="CB38" s="45">
        <v>38.364728999999997</v>
      </c>
      <c r="CC38" s="45">
        <v>52.081435999999997</v>
      </c>
      <c r="CD38" s="45">
        <v>55.607379999999999</v>
      </c>
      <c r="CE38" s="45">
        <v>70.933503000000002</v>
      </c>
      <c r="CF38" s="45">
        <v>8.0212559999999993</v>
      </c>
      <c r="CG38" s="45">
        <v>40.663046999999999</v>
      </c>
      <c r="CH38" s="45">
        <v>7.6478539999999997</v>
      </c>
      <c r="CI38" s="45">
        <v>49.181947999999998</v>
      </c>
      <c r="CJ38" s="45">
        <v>38.048062999999999</v>
      </c>
      <c r="CK38" s="45">
        <v>103.16818600000001</v>
      </c>
      <c r="CL38" s="45">
        <f t="shared" si="5"/>
        <v>748.75593700000002</v>
      </c>
      <c r="CM38" s="45">
        <v>748.78856099999996</v>
      </c>
      <c r="CN38" s="45">
        <v>79.272463000000002</v>
      </c>
      <c r="CO38" s="45">
        <v>161.603182</v>
      </c>
      <c r="CP38" s="45">
        <v>43.125551000000002</v>
      </c>
      <c r="CQ38" s="45">
        <v>90.873894000000007</v>
      </c>
      <c r="CR38" s="45">
        <v>8.9286309999999993</v>
      </c>
      <c r="CS38" s="45">
        <v>86.647908999999999</v>
      </c>
      <c r="CT38" s="45">
        <v>44.174867999999996</v>
      </c>
      <c r="CU38" s="45">
        <v>30.676448000000001</v>
      </c>
      <c r="CV38" s="45">
        <v>13.509919</v>
      </c>
      <c r="CW38" s="45">
        <v>65.961050999999998</v>
      </c>
      <c r="CX38" s="45">
        <v>8.4702940000000009</v>
      </c>
      <c r="CY38" s="45">
        <v>94.124300000000005</v>
      </c>
      <c r="CZ38" s="45">
        <f t="shared" si="6"/>
        <v>727.36851000000001</v>
      </c>
      <c r="DA38" s="45">
        <v>727.85409900000002</v>
      </c>
      <c r="DB38" s="45">
        <v>113.062966</v>
      </c>
      <c r="DC38" s="45">
        <v>219.75907599999999</v>
      </c>
      <c r="DD38" s="45">
        <v>37.911909999999999</v>
      </c>
      <c r="DE38" s="45">
        <v>105.63033244</v>
      </c>
      <c r="DF38" s="45">
        <v>67.909559999999999</v>
      </c>
      <c r="DG38" s="45">
        <v>35.283451999999997</v>
      </c>
      <c r="DH38" s="45">
        <v>253.47947199999999</v>
      </c>
      <c r="DI38" s="45">
        <v>80.838280999999995</v>
      </c>
      <c r="DJ38" s="45">
        <v>11.690583</v>
      </c>
      <c r="DK38" s="45">
        <v>106.33215300000001</v>
      </c>
      <c r="DL38" s="45">
        <v>21.306137</v>
      </c>
      <c r="DM38" s="45">
        <v>75.693298999999996</v>
      </c>
      <c r="DN38" s="45">
        <f t="shared" si="7"/>
        <v>1128.8972214399998</v>
      </c>
      <c r="DO38" s="45">
        <v>1128.897416</v>
      </c>
      <c r="DP38" s="45">
        <v>184.369542</v>
      </c>
      <c r="DQ38" s="45">
        <v>258.163972</v>
      </c>
      <c r="DR38" s="45">
        <v>23.67997664</v>
      </c>
      <c r="DS38" s="45">
        <v>182.67200600000001</v>
      </c>
      <c r="DT38" s="45">
        <v>64.931957440000104</v>
      </c>
      <c r="DU38" s="45">
        <v>281.30579</v>
      </c>
      <c r="DV38" s="45">
        <v>31.005367</v>
      </c>
      <c r="DW38" s="45">
        <v>-5.6222000000000001E-2</v>
      </c>
      <c r="DX38" s="45">
        <v>-53.112071999999998</v>
      </c>
      <c r="DY38" s="45">
        <v>150.44325900000001</v>
      </c>
      <c r="DZ38" s="45">
        <v>8.7683579999999992</v>
      </c>
      <c r="EA38" s="45">
        <v>181.812487</v>
      </c>
      <c r="EB38" s="45">
        <f t="shared" si="10"/>
        <v>1313.9844210800002</v>
      </c>
      <c r="EC38" s="45">
        <v>1313.8722029999999</v>
      </c>
      <c r="ED38" s="45">
        <v>99.279031000000003</v>
      </c>
      <c r="EE38" s="45">
        <v>209.15145000000001</v>
      </c>
      <c r="EF38" s="45">
        <v>95.468676000000002</v>
      </c>
      <c r="EG38" s="45">
        <v>225.24663899999999</v>
      </c>
      <c r="EH38" s="45">
        <v>92.683276000000006</v>
      </c>
      <c r="EI38" s="45">
        <v>11.813598000000001</v>
      </c>
      <c r="EJ38" s="45">
        <v>276.40947699999998</v>
      </c>
      <c r="EK38" s="45">
        <v>32.194313999999999</v>
      </c>
      <c r="EL38" s="45">
        <v>3.7145600000000001</v>
      </c>
      <c r="EM38" s="45">
        <v>9.9552379999999996</v>
      </c>
      <c r="EN38" s="45">
        <v>19.829104999999998</v>
      </c>
      <c r="EO38" s="45">
        <v>203.80506700000001</v>
      </c>
      <c r="EP38" s="45">
        <f t="shared" si="11"/>
        <v>1279.5504309999999</v>
      </c>
      <c r="EQ38" s="45">
        <v>1305.9389819999999</v>
      </c>
      <c r="ER38" s="45">
        <v>177.28220200000001</v>
      </c>
      <c r="ES38" s="45">
        <v>242.013732</v>
      </c>
      <c r="ET38" s="45">
        <v>22.067734999999999</v>
      </c>
      <c r="EU38" s="45">
        <v>178.102926</v>
      </c>
      <c r="EV38" s="42">
        <v>37.005417000000001</v>
      </c>
      <c r="EW38" s="42">
        <v>49.885568999999997</v>
      </c>
      <c r="EX38" s="42">
        <v>157.47464099999999</v>
      </c>
      <c r="EY38" s="42">
        <v>42.570278999999999</v>
      </c>
      <c r="EZ38" s="42">
        <v>244.463945</v>
      </c>
      <c r="FA38" s="42">
        <v>15.367845000000001</v>
      </c>
      <c r="FB38" s="42">
        <v>151.716971</v>
      </c>
      <c r="FC38" s="42">
        <v>66.332536000000005</v>
      </c>
      <c r="FD38" s="45">
        <f t="shared" si="12"/>
        <v>1384.2837979999999</v>
      </c>
      <c r="FE38" s="45">
        <v>1364.9947010000001</v>
      </c>
      <c r="FF38" s="45">
        <v>188.23834099999999</v>
      </c>
      <c r="FG38" s="45">
        <v>216.84654399999999</v>
      </c>
      <c r="FH38" s="45">
        <v>24.799410000000002</v>
      </c>
      <c r="FI38" s="45">
        <v>169.70604</v>
      </c>
      <c r="FJ38" s="45">
        <v>40.758128999999997</v>
      </c>
      <c r="FK38" s="45">
        <v>72.608752999999993</v>
      </c>
      <c r="FL38" s="45">
        <v>25.458174</v>
      </c>
      <c r="FM38" s="45">
        <v>147.49911599999999</v>
      </c>
      <c r="FN38" s="45">
        <v>12.776029000000001</v>
      </c>
      <c r="FO38" s="45">
        <v>217.678178</v>
      </c>
      <c r="FP38" s="45">
        <v>136.57390100000001</v>
      </c>
      <c r="FQ38" s="45">
        <v>182.02493500000003</v>
      </c>
      <c r="FR38" s="45">
        <f t="shared" si="13"/>
        <v>1434.9675499999998</v>
      </c>
      <c r="FS38" s="45">
        <v>1460.847884</v>
      </c>
      <c r="FT38" s="45">
        <v>134.03081399999999</v>
      </c>
      <c r="FU38" s="45">
        <v>258.0647262</v>
      </c>
      <c r="FV38" s="45">
        <v>7.9390263600000006</v>
      </c>
      <c r="FW38" s="45">
        <v>210.39559047999998</v>
      </c>
      <c r="FX38" s="45">
        <v>97.677830700000001</v>
      </c>
      <c r="FY38" s="45">
        <v>16.351774470000002</v>
      </c>
      <c r="FZ38" s="45">
        <v>216.21054298000001</v>
      </c>
      <c r="GA38" s="45">
        <v>72.560326209999999</v>
      </c>
      <c r="GB38" s="45">
        <v>46.941510559999998</v>
      </c>
      <c r="GC38" s="45">
        <v>15.457790970000001</v>
      </c>
      <c r="GD38" s="45">
        <v>213.01736348</v>
      </c>
      <c r="GE38" s="45">
        <v>88.471707999999992</v>
      </c>
      <c r="GF38" s="45">
        <f t="shared" si="14"/>
        <v>1377.1190044099999</v>
      </c>
      <c r="GG38" s="45">
        <v>1470.7003500000001</v>
      </c>
      <c r="GH38" s="45">
        <v>327.68320841000002</v>
      </c>
      <c r="GI38" s="45">
        <v>219.56560955999998</v>
      </c>
      <c r="GJ38" s="45">
        <v>142.24601671000002</v>
      </c>
      <c r="GK38" s="45">
        <v>186.81381662000001</v>
      </c>
      <c r="GL38" s="45">
        <v>381.39632168999998</v>
      </c>
      <c r="GM38" s="45">
        <v>132.80375893000001</v>
      </c>
      <c r="GN38" s="45">
        <v>194.05322558</v>
      </c>
      <c r="GO38" s="45">
        <v>99.408627150000001</v>
      </c>
      <c r="GP38" s="45">
        <v>17.918983000000001</v>
      </c>
      <c r="GQ38" s="45">
        <v>10.2408479</v>
      </c>
      <c r="GR38" s="45">
        <v>21.064550609999998</v>
      </c>
      <c r="GS38" s="45">
        <v>61.624212</v>
      </c>
      <c r="GT38" s="45">
        <f t="shared" si="20"/>
        <v>1794.8191781600001</v>
      </c>
      <c r="GU38" s="45">
        <v>1829.1002040000001</v>
      </c>
      <c r="GV38" s="45">
        <v>119.61961848</v>
      </c>
      <c r="GW38" s="45">
        <v>266.81996709999993</v>
      </c>
      <c r="GX38" s="45">
        <v>84.543879000000004</v>
      </c>
      <c r="GY38" s="45">
        <v>134.13983300000001</v>
      </c>
      <c r="GZ38" s="45">
        <v>418.87889154999999</v>
      </c>
      <c r="HA38" s="45">
        <v>52.717095530000009</v>
      </c>
      <c r="HB38" s="45">
        <v>7.4518720299999996</v>
      </c>
      <c r="HC38" s="45">
        <v>189.67488858000002</v>
      </c>
      <c r="HD38" s="45">
        <v>11.23816371</v>
      </c>
      <c r="HE38" s="45">
        <v>6.7205412899999999</v>
      </c>
      <c r="HF38" s="45">
        <v>26.851650960000001</v>
      </c>
      <c r="HG38" s="45">
        <v>400.112482</v>
      </c>
      <c r="HH38" s="45">
        <f t="shared" si="15"/>
        <v>1718.7688832299998</v>
      </c>
      <c r="HI38" s="45">
        <v>131.61368979000002</v>
      </c>
      <c r="HJ38" s="45">
        <v>740.60980300000006</v>
      </c>
      <c r="HK38" s="45">
        <v>90.042096299999997</v>
      </c>
      <c r="HL38" s="45">
        <v>40.286160129999999</v>
      </c>
      <c r="HM38" s="45"/>
      <c r="HN38" s="45"/>
      <c r="HO38" s="45"/>
      <c r="HP38" s="45"/>
      <c r="HQ38" s="45"/>
      <c r="HR38" s="45"/>
      <c r="HS38" s="45"/>
      <c r="HT38" s="45"/>
      <c r="HU38" s="283">
        <f t="shared" si="16"/>
        <v>605.12329799999998</v>
      </c>
      <c r="HV38" s="283">
        <f t="shared" si="17"/>
        <v>1002.551749</v>
      </c>
      <c r="HW38" s="280">
        <f t="shared" si="21"/>
        <v>397.428451</v>
      </c>
      <c r="HX38" s="280">
        <f>HV38/HU38*100-100</f>
        <v>65.677268139161953</v>
      </c>
    </row>
    <row r="39" spans="1:232" s="12" customFormat="1" ht="20.25" customHeight="1">
      <c r="A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5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>
        <f t="shared" si="6"/>
        <v>0</v>
      </c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>
        <f t="shared" si="7"/>
        <v>0</v>
      </c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54"/>
      <c r="EG39" s="54"/>
      <c r="EI39" s="45"/>
      <c r="EJ39" s="45"/>
      <c r="EK39" s="45"/>
      <c r="EL39" s="54"/>
      <c r="EM39" s="54"/>
      <c r="EN39" s="54"/>
      <c r="EO39" s="54"/>
      <c r="EP39" s="45"/>
      <c r="EQ39" s="45"/>
      <c r="ER39" s="179"/>
      <c r="ES39" s="53"/>
      <c r="ET39" s="54"/>
      <c r="EU39" s="54"/>
      <c r="EV39" s="53"/>
      <c r="EW39" s="53"/>
      <c r="EX39" s="53"/>
      <c r="EY39" s="53"/>
      <c r="EZ39" s="53"/>
      <c r="FA39" s="53"/>
      <c r="FB39" s="53"/>
      <c r="FC39" s="53"/>
      <c r="FD39" s="45"/>
      <c r="FE39" s="45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45"/>
      <c r="FS39" s="45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45"/>
      <c r="GG39" s="45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45"/>
      <c r="GU39" s="45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284"/>
      <c r="HV39" s="284"/>
      <c r="HW39" s="280"/>
      <c r="HX39" s="280"/>
    </row>
    <row r="40" spans="1:232" s="12" customFormat="1" ht="20">
      <c r="A40" s="53" t="s">
        <v>114</v>
      </c>
      <c r="C40" s="53" t="s">
        <v>115</v>
      </c>
      <c r="D40" s="53">
        <v>6088.6202611254303</v>
      </c>
      <c r="E40" s="53">
        <v>7266.2767087267575</v>
      </c>
      <c r="F40" s="53">
        <v>6772.7761267721862</v>
      </c>
      <c r="G40" s="53">
        <v>6630.6659495392732</v>
      </c>
      <c r="H40" s="53">
        <v>465.42705370202788</v>
      </c>
      <c r="I40" s="53">
        <v>530.90199378489615</v>
      </c>
      <c r="J40" s="53">
        <v>546.11681686501504</v>
      </c>
      <c r="K40" s="53">
        <v>510.80815281358673</v>
      </c>
      <c r="L40" s="53">
        <v>520.89771388609063</v>
      </c>
      <c r="M40" s="53">
        <v>530.91195048690679</v>
      </c>
      <c r="N40" s="53">
        <v>494.27084840154578</v>
      </c>
      <c r="O40" s="53">
        <v>484.71098294830421</v>
      </c>
      <c r="P40" s="53">
        <v>549.22147107870899</v>
      </c>
      <c r="Q40" s="53">
        <v>514.2864424647554</v>
      </c>
      <c r="R40" s="53">
        <v>606.07369555381024</v>
      </c>
      <c r="S40" s="53">
        <v>825.03980560725324</v>
      </c>
      <c r="T40" s="53">
        <v>6578.6669275929016</v>
      </c>
      <c r="U40" s="53">
        <v>6578.9157275712723</v>
      </c>
      <c r="V40" s="53">
        <v>472.16593469872112</v>
      </c>
      <c r="W40" s="53">
        <v>548.00709108087028</v>
      </c>
      <c r="X40" s="53">
        <v>580.67386655454436</v>
      </c>
      <c r="Y40" s="53">
        <v>519.96380598289136</v>
      </c>
      <c r="Z40" s="53">
        <v>475.76616675488469</v>
      </c>
      <c r="AA40" s="53">
        <v>528.1195055805033</v>
      </c>
      <c r="AB40" s="53">
        <v>507.13552163903455</v>
      </c>
      <c r="AC40" s="53">
        <v>519.4036497231092</v>
      </c>
      <c r="AD40" s="53">
        <v>520.30733513184339</v>
      </c>
      <c r="AE40" s="53">
        <v>621.17202772038866</v>
      </c>
      <c r="AF40" s="53">
        <v>623.39059254073686</v>
      </c>
      <c r="AG40" s="53">
        <v>803.66145326435264</v>
      </c>
      <c r="AH40" s="53">
        <v>6719.7669506718803</v>
      </c>
      <c r="AI40" s="53">
        <v>6720.7758962669541</v>
      </c>
      <c r="AJ40" s="53">
        <v>500.16737525682845</v>
      </c>
      <c r="AK40" s="53">
        <v>579.5993358888112</v>
      </c>
      <c r="AL40" s="53">
        <v>572.93608997672186</v>
      </c>
      <c r="AM40" s="53">
        <v>583.42430563855646</v>
      </c>
      <c r="AN40" s="53">
        <v>493.50860258336604</v>
      </c>
      <c r="AO40" s="53">
        <v>584.4984915993648</v>
      </c>
      <c r="AP40" s="53">
        <v>552.70060073647846</v>
      </c>
      <c r="AQ40" s="53">
        <v>533.36985634686187</v>
      </c>
      <c r="AR40" s="53">
        <v>541.43295854889845</v>
      </c>
      <c r="AS40" s="53">
        <v>553.73814463207373</v>
      </c>
      <c r="AT40" s="53">
        <v>625.55007085901616</v>
      </c>
      <c r="AU40" s="53">
        <v>833.29653075395129</v>
      </c>
      <c r="AV40" s="53">
        <v>6954.2223628209285</v>
      </c>
      <c r="AW40" s="53">
        <v>6949.197813330602</v>
      </c>
      <c r="AX40" s="53">
        <f>AX41+AX62</f>
        <v>508.41684999999995</v>
      </c>
      <c r="AY40" s="53">
        <f>AY41+AY62</f>
        <v>613.66324900000006</v>
      </c>
      <c r="AZ40" s="53">
        <f t="shared" ref="AZ40:BG40" si="29">AZ41+AZ62</f>
        <v>570.84465527999998</v>
      </c>
      <c r="BA40" s="53">
        <f t="shared" si="29"/>
        <v>640.93832216999988</v>
      </c>
      <c r="BB40" s="53">
        <f t="shared" si="29"/>
        <v>481.08209277000003</v>
      </c>
      <c r="BC40" s="53">
        <f t="shared" si="29"/>
        <v>596.46249130999979</v>
      </c>
      <c r="BD40" s="53">
        <f t="shared" si="29"/>
        <v>575.75127422999992</v>
      </c>
      <c r="BE40" s="53">
        <f t="shared" si="29"/>
        <v>525.6751124299999</v>
      </c>
      <c r="BF40" s="53">
        <f t="shared" si="29"/>
        <v>546.10316101000001</v>
      </c>
      <c r="BG40" s="53">
        <f t="shared" si="29"/>
        <v>636.43312600999991</v>
      </c>
      <c r="BH40" s="53">
        <f>BH41+BH62</f>
        <v>661.92959633999999</v>
      </c>
      <c r="BI40" s="53">
        <f>BI41+BI62</f>
        <v>1007.8962043700002</v>
      </c>
      <c r="BJ40" s="54">
        <f t="shared" si="28"/>
        <v>7365.1961349199992</v>
      </c>
      <c r="BK40" s="53">
        <f>BK41+BK62</f>
        <v>7361.7234169999992</v>
      </c>
      <c r="BL40" s="53">
        <f>BL41+BL62</f>
        <v>561.97852627999998</v>
      </c>
      <c r="BM40" s="53">
        <v>638.55378357000006</v>
      </c>
      <c r="BN40" s="53">
        <v>641.67866995999998</v>
      </c>
      <c r="BO40" s="53">
        <v>630.80132197</v>
      </c>
      <c r="BP40" s="53">
        <v>508.85264511000003</v>
      </c>
      <c r="BQ40" s="53">
        <v>678.92147745000011</v>
      </c>
      <c r="BR40" s="53">
        <v>612.42937298999971</v>
      </c>
      <c r="BS40" s="53">
        <v>560.4236167900001</v>
      </c>
      <c r="BT40" s="53">
        <v>583.13141900999995</v>
      </c>
      <c r="BU40" s="53">
        <v>577.23442616000011</v>
      </c>
      <c r="BV40" s="53">
        <v>634.90124858999991</v>
      </c>
      <c r="BW40" s="53">
        <v>1010.2555125500002</v>
      </c>
      <c r="BX40" s="54">
        <f t="shared" si="4"/>
        <v>7639.1620204300007</v>
      </c>
      <c r="BY40" s="54">
        <f>BY41+BY62</f>
        <v>7637.5832708400003</v>
      </c>
      <c r="BZ40" s="54">
        <v>547.48402391000013</v>
      </c>
      <c r="CA40" s="54">
        <v>654.1346518700002</v>
      </c>
      <c r="CB40" s="54">
        <v>659.78508063000004</v>
      </c>
      <c r="CC40" s="54">
        <v>666.85654694000004</v>
      </c>
      <c r="CD40" s="54">
        <v>553.15205214000002</v>
      </c>
      <c r="CE40" s="54">
        <v>599.45235645000014</v>
      </c>
      <c r="CF40" s="54">
        <v>570.74176313999988</v>
      </c>
      <c r="CG40" s="54">
        <v>566.82465961000014</v>
      </c>
      <c r="CH40" s="54">
        <v>531.22300675999998</v>
      </c>
      <c r="CI40" s="54">
        <v>682.30101955999999</v>
      </c>
      <c r="CJ40" s="54">
        <v>683.31718334000004</v>
      </c>
      <c r="CK40" s="54">
        <v>869.5420156900002</v>
      </c>
      <c r="CL40" s="54">
        <f t="shared" si="5"/>
        <v>7584.8143600400008</v>
      </c>
      <c r="CM40" s="54">
        <f>CM41+CM62</f>
        <v>7582.778182</v>
      </c>
      <c r="CN40" s="54">
        <v>589.67988976000004</v>
      </c>
      <c r="CO40" s="54">
        <v>641.83045382999978</v>
      </c>
      <c r="CP40" s="54">
        <v>618.27091697000014</v>
      </c>
      <c r="CQ40" s="54">
        <v>641.13806133000003</v>
      </c>
      <c r="CR40" s="54">
        <v>607.45134332999964</v>
      </c>
      <c r="CS40" s="54">
        <v>719.53669573000013</v>
      </c>
      <c r="CT40" s="54">
        <v>576.1363917299999</v>
      </c>
      <c r="CU40" s="54">
        <v>582.63243264999971</v>
      </c>
      <c r="CV40" s="54">
        <v>579.98363950000009</v>
      </c>
      <c r="CW40" s="54">
        <v>781.30056651999985</v>
      </c>
      <c r="CX40" s="54">
        <v>724.25637319000032</v>
      </c>
      <c r="CY40" s="54">
        <v>985.30716952000012</v>
      </c>
      <c r="CZ40" s="54">
        <f t="shared" si="6"/>
        <v>8047.5239340600001</v>
      </c>
      <c r="DA40" s="54">
        <f>DA41+DA62</f>
        <v>8048.2099979999994</v>
      </c>
      <c r="DB40" s="54">
        <v>614.15268688999959</v>
      </c>
      <c r="DC40" s="54">
        <v>650.46707216000073</v>
      </c>
      <c r="DD40" s="54">
        <v>672.07309060000011</v>
      </c>
      <c r="DE40" s="54">
        <v>785.68329790000053</v>
      </c>
      <c r="DF40" s="54">
        <v>636.36892167000019</v>
      </c>
      <c r="DG40" s="54">
        <v>752.37526186000218</v>
      </c>
      <c r="DH40" s="54">
        <v>712.44481086000053</v>
      </c>
      <c r="DI40" s="54">
        <v>683.22901556000011</v>
      </c>
      <c r="DJ40" s="54">
        <v>666.8997462100009</v>
      </c>
      <c r="DK40" s="54">
        <v>909.3586162399987</v>
      </c>
      <c r="DL40" s="54">
        <v>851.78895958000055</v>
      </c>
      <c r="DM40" s="54">
        <v>1190.4994948200003</v>
      </c>
      <c r="DN40" s="54">
        <f t="shared" si="7"/>
        <v>9125.3409743500051</v>
      </c>
      <c r="DO40" s="54">
        <f>DO41+DO62</f>
        <v>9123.8319789999987</v>
      </c>
      <c r="DP40" s="54">
        <v>728.69053891000192</v>
      </c>
      <c r="DQ40" s="54">
        <v>777.69419941000058</v>
      </c>
      <c r="DR40" s="54">
        <v>684.60490157999959</v>
      </c>
      <c r="DS40" s="54">
        <v>786.08788859000038</v>
      </c>
      <c r="DT40" s="54">
        <v>695.88701221999975</v>
      </c>
      <c r="DU40" s="54">
        <v>739.64759529000128</v>
      </c>
      <c r="DV40" s="54">
        <v>790.88698458000135</v>
      </c>
      <c r="DW40" s="54">
        <v>680.70525476000091</v>
      </c>
      <c r="DX40" s="54">
        <v>713.34706999999969</v>
      </c>
      <c r="DY40" s="54">
        <v>911.32686978999902</v>
      </c>
      <c r="DZ40" s="54">
        <v>820.33985975000007</v>
      </c>
      <c r="EA40" s="54">
        <v>1266.605368590004</v>
      </c>
      <c r="EB40" s="54">
        <f t="shared" si="10"/>
        <v>9595.8235434700091</v>
      </c>
      <c r="EC40" s="221">
        <f>EC41+EC62</f>
        <v>9593.800835</v>
      </c>
      <c r="ED40" s="54">
        <v>797.03182680999987</v>
      </c>
      <c r="EE40" s="54">
        <v>769.65052728999888</v>
      </c>
      <c r="EF40" s="54">
        <v>799.02825865999898</v>
      </c>
      <c r="EG40" s="54">
        <v>950.3252430800004</v>
      </c>
      <c r="EH40" s="54">
        <v>712.49958728999979</v>
      </c>
      <c r="EI40" s="54">
        <v>854.07705694000038</v>
      </c>
      <c r="EJ40" s="54">
        <v>833.55953813999986</v>
      </c>
      <c r="EK40" s="54">
        <v>797.66906466000091</v>
      </c>
      <c r="EL40" s="54">
        <v>832.79832553999961</v>
      </c>
      <c r="EM40" s="54">
        <v>966.84597575000123</v>
      </c>
      <c r="EN40" s="54">
        <v>842.78046594999989</v>
      </c>
      <c r="EO40" s="54">
        <v>1418.0370670899988</v>
      </c>
      <c r="EP40" s="54">
        <f t="shared" si="11"/>
        <v>10574.302937199998</v>
      </c>
      <c r="EQ40" s="54">
        <f>EQ41+EQ62</f>
        <v>10572.175691</v>
      </c>
      <c r="ER40" s="54">
        <v>773.856855</v>
      </c>
      <c r="ES40" s="53">
        <v>1002.8765588699997</v>
      </c>
      <c r="ET40" s="53">
        <v>1214.8045439799998</v>
      </c>
      <c r="EU40" s="54">
        <v>1131.5821942100017</v>
      </c>
      <c r="EV40" s="54">
        <v>910.69804380999983</v>
      </c>
      <c r="EW40" s="54">
        <v>1115.0346697499997</v>
      </c>
      <c r="EX40" s="54">
        <v>914.91332201999921</v>
      </c>
      <c r="EY40" s="54">
        <v>859.72991200000104</v>
      </c>
      <c r="EZ40" s="54">
        <v>914.48777679000057</v>
      </c>
      <c r="FA40" s="54">
        <v>1017.975053</v>
      </c>
      <c r="FB40" s="54">
        <v>987.73857099999998</v>
      </c>
      <c r="FC40" s="54">
        <v>1590.5600799500048</v>
      </c>
      <c r="FD40" s="54">
        <f t="shared" si="12"/>
        <v>12434.257580380006</v>
      </c>
      <c r="FE40" s="54">
        <f>FE41+FE62</f>
        <v>12430.829061000002</v>
      </c>
      <c r="FF40" s="54">
        <v>929.00811701999953</v>
      </c>
      <c r="FG40" s="54">
        <v>1037.7110838200003</v>
      </c>
      <c r="FH40" s="54">
        <v>1101.0679767499994</v>
      </c>
      <c r="FI40" s="54">
        <v>1051.1333699200002</v>
      </c>
      <c r="FJ40" s="54">
        <v>1038.4537285900014</v>
      </c>
      <c r="FK40" s="54">
        <v>997.94399974999988</v>
      </c>
      <c r="FL40" s="54">
        <v>925.74235907000013</v>
      </c>
      <c r="FM40" s="54">
        <v>929.20736416000148</v>
      </c>
      <c r="FN40" s="54">
        <v>1254.9297056499963</v>
      </c>
      <c r="FO40" s="54">
        <v>1382.3223206199987</v>
      </c>
      <c r="FP40" s="54">
        <v>1101.1704254099986</v>
      </c>
      <c r="FQ40" s="54">
        <v>1875.7327862699992</v>
      </c>
      <c r="FR40" s="54">
        <f t="shared" si="13"/>
        <v>13624.423237029994</v>
      </c>
      <c r="FS40" s="54">
        <f>FS41+FS62</f>
        <v>13621.530742999999</v>
      </c>
      <c r="FT40" s="54">
        <v>969.44735453000044</v>
      </c>
      <c r="FU40" s="54">
        <v>1227.4876404399968</v>
      </c>
      <c r="FV40" s="54">
        <v>1149.6131594899978</v>
      </c>
      <c r="FW40" s="54">
        <v>1133.5576884600011</v>
      </c>
      <c r="FX40" s="54">
        <v>1088.3264183599979</v>
      </c>
      <c r="FY40" s="54">
        <v>1204.9899908499985</v>
      </c>
      <c r="FZ40" s="54">
        <v>1031.6991299699985</v>
      </c>
      <c r="GA40" s="54">
        <v>1056.2156971300035</v>
      </c>
      <c r="GB40" s="54">
        <v>1046.3382026800011</v>
      </c>
      <c r="GC40" s="54">
        <v>1240.3997718100002</v>
      </c>
      <c r="GD40" s="54">
        <v>1223.1549211500023</v>
      </c>
      <c r="GE40" s="54">
        <v>2112.4450855100004</v>
      </c>
      <c r="GF40" s="54">
        <f t="shared" si="14"/>
        <v>14483.675060379997</v>
      </c>
      <c r="GG40" s="54">
        <f>GG41+GG62</f>
        <v>14480.806467999999</v>
      </c>
      <c r="GH40" s="54">
        <v>1175.9646899099985</v>
      </c>
      <c r="GI40" s="54">
        <v>1224.6654599999999</v>
      </c>
      <c r="GJ40" s="54">
        <v>1129.0467144100014</v>
      </c>
      <c r="GK40" s="54">
        <v>1389.6217504099993</v>
      </c>
      <c r="GL40" s="54">
        <v>1133.3986266699981</v>
      </c>
      <c r="GM40" s="54">
        <v>1253.610238</v>
      </c>
      <c r="GN40" s="54">
        <v>1237.646596</v>
      </c>
      <c r="GO40" s="54">
        <v>1089.222156</v>
      </c>
      <c r="GP40" s="54">
        <v>1114.3458700000001</v>
      </c>
      <c r="GQ40" s="54">
        <v>1371.779061</v>
      </c>
      <c r="GR40" s="54">
        <v>1247.3504907099998</v>
      </c>
      <c r="GS40" s="54">
        <v>1893.4927135400069</v>
      </c>
      <c r="GT40" s="54">
        <f t="shared" si="20"/>
        <v>15260.144366650004</v>
      </c>
      <c r="GU40" s="54">
        <f>GU41+GU62+GU70</f>
        <v>15257.522638</v>
      </c>
      <c r="GV40" s="54">
        <v>1315.0497034399987</v>
      </c>
      <c r="GW40" s="54">
        <v>1356.1493275399989</v>
      </c>
      <c r="GX40" s="54">
        <v>1404.8779351600012</v>
      </c>
      <c r="GY40" s="54">
        <v>1449.873753749999</v>
      </c>
      <c r="GZ40" s="54">
        <v>1188.3306031499974</v>
      </c>
      <c r="HA40" s="54">
        <v>1362.0781796400011</v>
      </c>
      <c r="HB40" s="54">
        <v>1313.9563529500015</v>
      </c>
      <c r="HC40" s="54">
        <v>1206.1028745500021</v>
      </c>
      <c r="HD40" s="54">
        <v>1354.9575512599974</v>
      </c>
      <c r="HE40" s="54">
        <v>1426.4713859999999</v>
      </c>
      <c r="HF40" s="54">
        <v>1303.7336320200002</v>
      </c>
      <c r="HG40" s="54">
        <v>2148.4578550000001</v>
      </c>
      <c r="HH40" s="54">
        <f t="shared" si="15"/>
        <v>16830.039154459995</v>
      </c>
      <c r="HI40" s="54">
        <v>1395.005437240002</v>
      </c>
      <c r="HJ40" s="54">
        <v>1399.8083760399995</v>
      </c>
      <c r="HK40" s="54">
        <v>1428.3831063200016</v>
      </c>
      <c r="HL40" s="54">
        <v>1375.5305784699992</v>
      </c>
      <c r="HM40" s="54"/>
      <c r="HN40" s="54"/>
      <c r="HO40" s="54"/>
      <c r="HP40" s="54"/>
      <c r="HQ40" s="54"/>
      <c r="HR40" s="54"/>
      <c r="HS40" s="54"/>
      <c r="HT40" s="54"/>
      <c r="HU40" s="284">
        <f t="shared" si="16"/>
        <v>5525.9507199999998</v>
      </c>
      <c r="HV40" s="284">
        <f t="shared" si="17"/>
        <v>5598.7274980000002</v>
      </c>
      <c r="HW40" s="279">
        <f t="shared" ref="HW40:HW72" si="30">HV40-HU40</f>
        <v>72.776778000000377</v>
      </c>
      <c r="HX40" s="279">
        <f t="shared" ref="HX40:HX51" si="31">HV40/HU40*100-100</f>
        <v>1.3170001269935341</v>
      </c>
    </row>
    <row r="41" spans="1:232" s="12" customFormat="1" ht="20.5">
      <c r="A41" s="42" t="s">
        <v>116</v>
      </c>
      <c r="B41" s="13" t="s">
        <v>28</v>
      </c>
      <c r="C41" s="42" t="s">
        <v>117</v>
      </c>
      <c r="D41" s="42">
        <v>5492.299389303419</v>
      </c>
      <c r="E41" s="42">
        <v>6765.2818723285591</v>
      </c>
      <c r="F41" s="42">
        <v>6422.4534308285092</v>
      </c>
      <c r="G41" s="42">
        <v>6307.7839753330945</v>
      </c>
      <c r="H41" s="42">
        <v>423.61772320590097</v>
      </c>
      <c r="I41" s="42">
        <v>518.93349280880602</v>
      </c>
      <c r="J41" s="42">
        <v>526.30736062970618</v>
      </c>
      <c r="K41" s="42">
        <v>488.22181044786311</v>
      </c>
      <c r="L41" s="42">
        <v>490.31753639706091</v>
      </c>
      <c r="M41" s="42">
        <v>498.85530499257271</v>
      </c>
      <c r="N41" s="42">
        <v>456.21871868970572</v>
      </c>
      <c r="O41" s="42">
        <v>439.2458760337164</v>
      </c>
      <c r="P41" s="42">
        <v>490.7666031496704</v>
      </c>
      <c r="Q41" s="42">
        <v>466.64497364841407</v>
      </c>
      <c r="R41" s="42">
        <v>561.5921062771414</v>
      </c>
      <c r="S41" s="42">
        <v>709.68667432171708</v>
      </c>
      <c r="T41" s="42">
        <v>6070.4081806022741</v>
      </c>
      <c r="U41" s="42">
        <v>6069.4548992322188</v>
      </c>
      <c r="V41" s="42">
        <v>447.90175781583486</v>
      </c>
      <c r="W41" s="42">
        <v>530.07852051212001</v>
      </c>
      <c r="X41" s="42">
        <v>554.05413927638426</v>
      </c>
      <c r="Y41" s="42">
        <v>498.18216040318498</v>
      </c>
      <c r="Z41" s="42">
        <v>450.06447548676448</v>
      </c>
      <c r="AA41" s="42">
        <v>492.32531829642409</v>
      </c>
      <c r="AB41" s="42">
        <v>466.47798554077673</v>
      </c>
      <c r="AC41" s="42">
        <v>473.63100949909227</v>
      </c>
      <c r="AD41" s="42">
        <v>459.35768151575689</v>
      </c>
      <c r="AE41" s="42">
        <v>565.96390686450286</v>
      </c>
      <c r="AF41" s="42">
        <v>573.4260334317961</v>
      </c>
      <c r="AG41" s="42">
        <v>718.09886967063369</v>
      </c>
      <c r="AH41" s="42">
        <v>6229.5618583132709</v>
      </c>
      <c r="AI41" s="42">
        <v>6229.9092222013533</v>
      </c>
      <c r="AJ41" s="42">
        <v>484.60882977330812</v>
      </c>
      <c r="AK41" s="42">
        <v>558.85299191524246</v>
      </c>
      <c r="AL41" s="42">
        <v>549.45043073175452</v>
      </c>
      <c r="AM41" s="42">
        <v>556.75682520304383</v>
      </c>
      <c r="AN41" s="42">
        <v>464.98423556211969</v>
      </c>
      <c r="AO41" s="42">
        <v>534.91514365313799</v>
      </c>
      <c r="AP41" s="42">
        <v>506.87357357100979</v>
      </c>
      <c r="AQ41" s="42">
        <v>480.63475014370994</v>
      </c>
      <c r="AR41" s="42">
        <v>491.63549154529574</v>
      </c>
      <c r="AS41" s="42">
        <v>502.38308831480748</v>
      </c>
      <c r="AT41" s="42">
        <v>572.48536576342769</v>
      </c>
      <c r="AU41" s="42">
        <v>748.49621658385558</v>
      </c>
      <c r="AV41" s="42">
        <v>6452.0769427607129</v>
      </c>
      <c r="AW41" s="42">
        <v>6447.0638001491179</v>
      </c>
      <c r="AX41" s="42">
        <f>AX42+AX47+AX48+AX53+AX57+AX60+AX61</f>
        <v>480.20124099999998</v>
      </c>
      <c r="AY41" s="42">
        <f>AY42+AY47+AY48+AY53+AY57+AY60+AY61</f>
        <v>593.88215000000002</v>
      </c>
      <c r="AZ41" s="42">
        <f t="shared" ref="AZ41:BG41" si="32">AZ42+AZ47+AZ48+AZ53+AZ57+AZ60+AZ61</f>
        <v>549.82638121000002</v>
      </c>
      <c r="BA41" s="42">
        <f t="shared" si="32"/>
        <v>611.67469810999989</v>
      </c>
      <c r="BB41" s="42">
        <f t="shared" si="32"/>
        <v>460.21346617</v>
      </c>
      <c r="BC41" s="42">
        <f t="shared" si="32"/>
        <v>564.19094399999983</v>
      </c>
      <c r="BD41" s="42">
        <f t="shared" si="32"/>
        <v>533.42151606999994</v>
      </c>
      <c r="BE41" s="42">
        <f t="shared" si="32"/>
        <v>470.37251173999994</v>
      </c>
      <c r="BF41" s="42">
        <f t="shared" si="32"/>
        <v>499.79502267999999</v>
      </c>
      <c r="BG41" s="42">
        <f t="shared" si="32"/>
        <v>575.82933923999985</v>
      </c>
      <c r="BH41" s="42">
        <f>BH42+BH47+BH48+BH53+BH57+BH60+BH61</f>
        <v>610.92533086999993</v>
      </c>
      <c r="BI41" s="42">
        <f>BI42+BI47+BI48+BI53+BI57+BI60+BI61</f>
        <v>900.57583865000015</v>
      </c>
      <c r="BJ41" s="45">
        <f t="shared" si="28"/>
        <v>6850.9084397400002</v>
      </c>
      <c r="BK41" s="42">
        <f>BK42+BK47+BK48+BK53+BK57+BK60+BK61</f>
        <v>6847.3135319999992</v>
      </c>
      <c r="BL41" s="42">
        <f>BL42+BL47+BL48+BL53+BL57+BL60+BL61</f>
        <v>535.96381283999995</v>
      </c>
      <c r="BM41" s="42">
        <v>612.03439011</v>
      </c>
      <c r="BN41" s="42">
        <v>617.95116196999993</v>
      </c>
      <c r="BO41" s="42">
        <v>607.20070643999998</v>
      </c>
      <c r="BP41" s="42">
        <v>473.52882175000002</v>
      </c>
      <c r="BQ41" s="42">
        <v>637.7091971000001</v>
      </c>
      <c r="BR41" s="42">
        <v>556.58376703999977</v>
      </c>
      <c r="BS41" s="42">
        <v>502.89376325000006</v>
      </c>
      <c r="BT41" s="42">
        <v>540.05256378000001</v>
      </c>
      <c r="BU41" s="42">
        <v>524.21920746000012</v>
      </c>
      <c r="BV41" s="42">
        <v>565.41932498999995</v>
      </c>
      <c r="BW41" s="42">
        <v>860.4561133000002</v>
      </c>
      <c r="BX41" s="45">
        <f t="shared" si="4"/>
        <v>7034.0128300300003</v>
      </c>
      <c r="BY41" s="45">
        <f>BY42+BY47+BY48+BY53+BY57+BY60+BY61</f>
        <v>7032.41192684</v>
      </c>
      <c r="BZ41" s="45">
        <v>527.69577795000009</v>
      </c>
      <c r="CA41" s="45">
        <v>640.17633625000019</v>
      </c>
      <c r="CB41" s="45">
        <v>644.93983402000003</v>
      </c>
      <c r="CC41" s="45">
        <v>651.35161555000002</v>
      </c>
      <c r="CD41" s="45">
        <v>532.63170668999999</v>
      </c>
      <c r="CE41" s="45">
        <v>577.39976648000015</v>
      </c>
      <c r="CF41" s="45">
        <v>540.64658507999991</v>
      </c>
      <c r="CG41" s="45">
        <v>516.66571648000013</v>
      </c>
      <c r="CH41" s="45">
        <v>492.95132356999994</v>
      </c>
      <c r="CI41" s="45">
        <v>634.45185841</v>
      </c>
      <c r="CJ41" s="45">
        <v>643.10386270000004</v>
      </c>
      <c r="CK41" s="45">
        <v>797.16653337000025</v>
      </c>
      <c r="CL41" s="45">
        <f t="shared" si="5"/>
        <v>7199.1809165499999</v>
      </c>
      <c r="CM41" s="45">
        <f>CM42+CM47+CM48+CM53+CM57+CM60+CM61</f>
        <v>7197.1221850000002</v>
      </c>
      <c r="CN41" s="45">
        <v>569.91708704000007</v>
      </c>
      <c r="CO41" s="45">
        <v>623.69011930999977</v>
      </c>
      <c r="CP41" s="45">
        <v>596.24344579000012</v>
      </c>
      <c r="CQ41" s="45">
        <v>616.52979430000005</v>
      </c>
      <c r="CR41" s="45">
        <v>570.43775209999967</v>
      </c>
      <c r="CS41" s="45">
        <v>680.2098256700001</v>
      </c>
      <c r="CT41" s="45">
        <v>530.77478737999991</v>
      </c>
      <c r="CU41" s="45">
        <v>520.50221113999976</v>
      </c>
      <c r="CV41" s="45">
        <v>520.57467546000009</v>
      </c>
      <c r="CW41" s="45">
        <v>727.42194739999991</v>
      </c>
      <c r="CX41" s="45">
        <v>670.18274743000029</v>
      </c>
      <c r="CY41" s="45">
        <v>866.72231209000006</v>
      </c>
      <c r="CZ41" s="45">
        <f t="shared" si="6"/>
        <v>7493.2067051100003</v>
      </c>
      <c r="DA41" s="45">
        <f>DA42+DA47+DA48+DA53+DA57+DA60+DA61</f>
        <v>7494.0565829999996</v>
      </c>
      <c r="DB41" s="45">
        <v>588.24350030000005</v>
      </c>
      <c r="DC41" s="45">
        <v>625.1601723800004</v>
      </c>
      <c r="DD41" s="45">
        <v>637.67703116000041</v>
      </c>
      <c r="DE41" s="45">
        <v>753.61132157000088</v>
      </c>
      <c r="DF41" s="45">
        <v>597.74019859999999</v>
      </c>
      <c r="DG41" s="45">
        <v>685.94370836000132</v>
      </c>
      <c r="DH41" s="45">
        <v>642.60465972000031</v>
      </c>
      <c r="DI41" s="45">
        <v>609.67742260000023</v>
      </c>
      <c r="DJ41" s="45">
        <v>596.08238284000095</v>
      </c>
      <c r="DK41" s="45">
        <v>839.41103098999952</v>
      </c>
      <c r="DL41" s="45">
        <v>765.07132882999952</v>
      </c>
      <c r="DM41" s="45">
        <v>1056.21238694</v>
      </c>
      <c r="DN41" s="45">
        <f t="shared" si="7"/>
        <v>8397.4351442900024</v>
      </c>
      <c r="DO41" s="45">
        <f>DO42+DO47+DO48+DO53+DO57+DO60+DO61</f>
        <v>8395.896467999999</v>
      </c>
      <c r="DP41" s="45">
        <v>657.56646137000155</v>
      </c>
      <c r="DQ41" s="45">
        <v>732.70568322000076</v>
      </c>
      <c r="DR41" s="45">
        <v>637.38900875999991</v>
      </c>
      <c r="DS41" s="45">
        <v>750.60631737999984</v>
      </c>
      <c r="DT41" s="45">
        <v>652.45027850999975</v>
      </c>
      <c r="DU41" s="45">
        <v>689.92842784000061</v>
      </c>
      <c r="DV41" s="45">
        <v>718.1501757200009</v>
      </c>
      <c r="DW41" s="45">
        <v>606.67454929000075</v>
      </c>
      <c r="DX41" s="45">
        <v>653.31015950999983</v>
      </c>
      <c r="DY41" s="45">
        <v>851.18588443999931</v>
      </c>
      <c r="DZ41" s="45">
        <v>743.05653184000016</v>
      </c>
      <c r="EA41" s="45">
        <v>1123.3835862900039</v>
      </c>
      <c r="EB41" s="45">
        <f t="shared" si="10"/>
        <v>8816.4070641700073</v>
      </c>
      <c r="EC41" s="45">
        <f>EC42+EC47+EC48+EC53+EC57+EC60+EC61</f>
        <v>8814.4300349999994</v>
      </c>
      <c r="ED41" s="45">
        <v>715.7864801500001</v>
      </c>
      <c r="EE41" s="45">
        <v>738.83314539999913</v>
      </c>
      <c r="EF41" s="45">
        <v>760.38370052999915</v>
      </c>
      <c r="EG41" s="45">
        <v>910.29839512000035</v>
      </c>
      <c r="EH41" s="45">
        <v>674.75051378000035</v>
      </c>
      <c r="EI41" s="45">
        <v>813.38581511000052</v>
      </c>
      <c r="EJ41" s="45">
        <v>755.79950835000011</v>
      </c>
      <c r="EK41" s="45">
        <v>738.3069418200007</v>
      </c>
      <c r="EL41" s="45">
        <v>755.99825073999966</v>
      </c>
      <c r="EM41" s="45">
        <v>879.33349516000123</v>
      </c>
      <c r="EN41" s="45">
        <v>776.53656591999982</v>
      </c>
      <c r="EO41" s="45">
        <v>1233.3638272199998</v>
      </c>
      <c r="EP41" s="45">
        <f t="shared" si="11"/>
        <v>9752.776639300002</v>
      </c>
      <c r="EQ41" s="45">
        <f>EQ42+EQ47+EQ48+EQ53+EQ57+EQ60+EQ61</f>
        <v>9750.7285570000004</v>
      </c>
      <c r="ER41" s="45">
        <v>730.7734800100003</v>
      </c>
      <c r="ES41" s="42">
        <v>963.11249986999974</v>
      </c>
      <c r="ET41" s="45">
        <v>1183.5741963299999</v>
      </c>
      <c r="EU41" s="42">
        <v>1094.7450341400011</v>
      </c>
      <c r="EV41" s="45">
        <v>868.2681138099997</v>
      </c>
      <c r="EW41" s="45">
        <v>1055.0392101000004</v>
      </c>
      <c r="EX41" s="45">
        <v>822.96062001999894</v>
      </c>
      <c r="EY41" s="45">
        <v>777.01365200000123</v>
      </c>
      <c r="EZ41" s="45">
        <v>836.2971532400004</v>
      </c>
      <c r="FA41" s="45">
        <v>946.72872400000006</v>
      </c>
      <c r="FB41" s="45">
        <v>900.65550599999995</v>
      </c>
      <c r="FC41" s="45">
        <v>1417.7626929500025</v>
      </c>
      <c r="FD41" s="45">
        <f t="shared" si="12"/>
        <v>11596.930882470004</v>
      </c>
      <c r="FE41" s="45">
        <f>FE42+FE47+FE48+FE53+FE57+FE60+FE61</f>
        <v>11593.628363000002</v>
      </c>
      <c r="FF41" s="45">
        <v>894.33550001999959</v>
      </c>
      <c r="FG41" s="45">
        <v>1008.1270258200004</v>
      </c>
      <c r="FH41" s="45">
        <v>1053.4767017499992</v>
      </c>
      <c r="FI41" s="45">
        <v>1001.66884592</v>
      </c>
      <c r="FJ41" s="45">
        <v>1010.8003015900015</v>
      </c>
      <c r="FK41" s="45">
        <v>937.72475275999989</v>
      </c>
      <c r="FL41" s="45">
        <v>831.97499935000008</v>
      </c>
      <c r="FM41" s="45">
        <v>849.47716226000102</v>
      </c>
      <c r="FN41" s="45">
        <v>1181.9050547799966</v>
      </c>
      <c r="FO41" s="45">
        <v>1288.1503256099979</v>
      </c>
      <c r="FP41" s="45">
        <v>1021.6894814100001</v>
      </c>
      <c r="FQ41" s="45">
        <v>1666.4260099699993</v>
      </c>
      <c r="FR41" s="45">
        <f t="shared" si="13"/>
        <v>12745.756161239995</v>
      </c>
      <c r="FS41" s="45">
        <f>FS42+FS47+FS48+FS53+FS57+FS60+FS61</f>
        <v>12742.948234</v>
      </c>
      <c r="FT41" s="45">
        <v>896.14809189000005</v>
      </c>
      <c r="FU41" s="45">
        <v>1190.7127308499973</v>
      </c>
      <c r="FV41" s="45">
        <v>1103.0608452899969</v>
      </c>
      <c r="FW41" s="45">
        <v>1065.2260964300008</v>
      </c>
      <c r="FX41" s="45">
        <v>1026.2641590899977</v>
      </c>
      <c r="FY41" s="45">
        <v>1102.8417307000004</v>
      </c>
      <c r="FZ41" s="45">
        <v>932.54061737999848</v>
      </c>
      <c r="GA41" s="45">
        <v>962.42695780000406</v>
      </c>
      <c r="GB41" s="45">
        <v>960.84951606000095</v>
      </c>
      <c r="GC41" s="45">
        <v>1149.04352462</v>
      </c>
      <c r="GD41" s="45">
        <v>1160.7450181900017</v>
      </c>
      <c r="GE41" s="45">
        <v>1868.0181457800009</v>
      </c>
      <c r="GF41" s="45">
        <f t="shared" si="14"/>
        <v>13417.877434079999</v>
      </c>
      <c r="GG41" s="45">
        <f>GG42+GG47+GG48+GG53+GG57+GG60+GG61</f>
        <v>13414.934426</v>
      </c>
      <c r="GH41" s="45">
        <v>1122.9407699999988</v>
      </c>
      <c r="GI41" s="45">
        <v>1046.113987</v>
      </c>
      <c r="GJ41" s="45">
        <v>1093.9593733400022</v>
      </c>
      <c r="GK41" s="45">
        <v>1300.0283258900004</v>
      </c>
      <c r="GL41" s="45">
        <v>1072.7210285499989</v>
      </c>
      <c r="GM41" s="45">
        <v>1187.6200240000001</v>
      </c>
      <c r="GN41" s="45">
        <v>1132.4647729999999</v>
      </c>
      <c r="GO41" s="45">
        <v>991.92499799999996</v>
      </c>
      <c r="GP41" s="45">
        <v>1018.29705</v>
      </c>
      <c r="GQ41" s="45">
        <v>1248.4270120000001</v>
      </c>
      <c r="GR41" s="45">
        <v>1161.5000155299986</v>
      </c>
      <c r="GS41" s="45">
        <v>1685.161408790007</v>
      </c>
      <c r="GT41" s="45">
        <f t="shared" si="20"/>
        <v>14061.158766100005</v>
      </c>
      <c r="GU41" s="45">
        <f>GU42+GU47+GU48+GU53+GU57+GU60+GU61</f>
        <v>14058.526900999999</v>
      </c>
      <c r="GV41" s="45">
        <v>1208.1773531199985</v>
      </c>
      <c r="GW41" s="45">
        <v>1279.7107713599989</v>
      </c>
      <c r="GX41" s="45">
        <v>1271.6136918000004</v>
      </c>
      <c r="GY41" s="45">
        <v>1339.1854243400005</v>
      </c>
      <c r="GZ41" s="45">
        <v>1111.247374459997</v>
      </c>
      <c r="HA41" s="45">
        <v>1205.0005445300017</v>
      </c>
      <c r="HB41" s="45">
        <v>1200.6985446200013</v>
      </c>
      <c r="HC41" s="45">
        <v>1101.3197831099992</v>
      </c>
      <c r="HD41" s="45">
        <v>1242.9904581899993</v>
      </c>
      <c r="HE41" s="45">
        <v>1282.163303</v>
      </c>
      <c r="HF41" s="45">
        <v>1196.4794698200001</v>
      </c>
      <c r="HG41" s="45">
        <v>1891.7526359999999</v>
      </c>
      <c r="HH41" s="45">
        <f t="shared" si="15"/>
        <v>15330.339354349995</v>
      </c>
      <c r="HI41" s="45">
        <v>1226.8421693900023</v>
      </c>
      <c r="HJ41" s="45">
        <v>1254.0380226099992</v>
      </c>
      <c r="HK41" s="45">
        <v>1263.7270197000003</v>
      </c>
      <c r="HL41" s="45">
        <v>1308.1747577300005</v>
      </c>
      <c r="HM41" s="45"/>
      <c r="HN41" s="45"/>
      <c r="HO41" s="45"/>
      <c r="HP41" s="45"/>
      <c r="HQ41" s="45"/>
      <c r="HR41" s="45"/>
      <c r="HS41" s="45"/>
      <c r="HT41" s="45"/>
      <c r="HU41" s="283">
        <f t="shared" si="16"/>
        <v>5098.6872409999996</v>
      </c>
      <c r="HV41" s="283">
        <f t="shared" si="17"/>
        <v>5052.7819689999997</v>
      </c>
      <c r="HW41" s="280">
        <f t="shared" si="30"/>
        <v>-45.905271999999968</v>
      </c>
      <c r="HX41" s="280">
        <f t="shared" si="31"/>
        <v>-0.90033512216365352</v>
      </c>
    </row>
    <row r="42" spans="1:232" s="12" customFormat="1" ht="20.5">
      <c r="A42" s="46" t="s">
        <v>118</v>
      </c>
      <c r="B42" s="13" t="s">
        <v>119</v>
      </c>
      <c r="C42" s="46" t="s">
        <v>120</v>
      </c>
      <c r="D42" s="42">
        <v>1777.6212742101638</v>
      </c>
      <c r="E42" s="42">
        <v>2009.9708880427543</v>
      </c>
      <c r="F42" s="42">
        <v>1524.507063135668</v>
      </c>
      <c r="G42" s="42">
        <v>1384.7318654987735</v>
      </c>
      <c r="H42" s="42">
        <v>85.986451841480701</v>
      </c>
      <c r="I42" s="42">
        <v>112.16015099515657</v>
      </c>
      <c r="J42" s="42">
        <v>115.58583145514255</v>
      </c>
      <c r="K42" s="42">
        <v>111.43690075753696</v>
      </c>
      <c r="L42" s="42">
        <v>110.61844377664328</v>
      </c>
      <c r="M42" s="42">
        <v>122.17964500771198</v>
      </c>
      <c r="N42" s="42">
        <v>123.4364488534499</v>
      </c>
      <c r="O42" s="42">
        <v>105.72645147153402</v>
      </c>
      <c r="P42" s="42">
        <v>114.40266560805006</v>
      </c>
      <c r="Q42" s="42">
        <v>118.50689808253794</v>
      </c>
      <c r="R42" s="42">
        <v>129.91004032418712</v>
      </c>
      <c r="S42" s="42">
        <v>195.60024238621295</v>
      </c>
      <c r="T42" s="42">
        <v>1445.5501705596441</v>
      </c>
      <c r="U42" s="42">
        <v>1444.8355515904864</v>
      </c>
      <c r="V42" s="42">
        <v>84.455703154791379</v>
      </c>
      <c r="W42" s="42">
        <v>114.88886207249816</v>
      </c>
      <c r="X42" s="42">
        <v>117.97318845652559</v>
      </c>
      <c r="Y42" s="42">
        <v>115.70137260174957</v>
      </c>
      <c r="Z42" s="42">
        <v>114.08150457311</v>
      </c>
      <c r="AA42" s="42">
        <v>122.60002219680023</v>
      </c>
      <c r="AB42" s="42">
        <v>121.18983692466178</v>
      </c>
      <c r="AC42" s="42">
        <v>109.05965105491717</v>
      </c>
      <c r="AD42" s="42">
        <v>106.13295598772915</v>
      </c>
      <c r="AE42" s="42">
        <v>120.11819790439438</v>
      </c>
      <c r="AF42" s="42">
        <v>133.3909781389975</v>
      </c>
      <c r="AG42" s="42">
        <v>169.70442399303363</v>
      </c>
      <c r="AH42" s="42">
        <v>1429.2966970592083</v>
      </c>
      <c r="AI42" s="42">
        <v>1428.9094413236123</v>
      </c>
      <c r="AJ42" s="42">
        <v>92.681739147756701</v>
      </c>
      <c r="AK42" s="42">
        <v>115.31411158729888</v>
      </c>
      <c r="AL42" s="42">
        <v>118.75864317789882</v>
      </c>
      <c r="AM42" s="42">
        <v>118.62694355752102</v>
      </c>
      <c r="AN42" s="42">
        <v>119.63895613855357</v>
      </c>
      <c r="AO42" s="42">
        <v>136.06117893466742</v>
      </c>
      <c r="AP42" s="42">
        <v>130.75886733712386</v>
      </c>
      <c r="AQ42" s="42">
        <v>120.11564629683383</v>
      </c>
      <c r="AR42" s="42">
        <v>119.70654264915964</v>
      </c>
      <c r="AS42" s="42">
        <v>120.16597230522308</v>
      </c>
      <c r="AT42" s="42">
        <v>131.43476132748248</v>
      </c>
      <c r="AU42" s="42">
        <v>179.28660053158492</v>
      </c>
      <c r="AV42" s="42">
        <v>1502.5499629911042</v>
      </c>
      <c r="AW42" s="42">
        <v>1501.535366901725</v>
      </c>
      <c r="AX42" s="42">
        <f>AX43+AX46</f>
        <v>98.952539000000002</v>
      </c>
      <c r="AY42" s="42">
        <f>AY43+AY46</f>
        <v>122.77216899999999</v>
      </c>
      <c r="AZ42" s="42">
        <f t="shared" ref="AZ42:BG42" si="33">AZ43+AZ46</f>
        <v>121.56254412000001</v>
      </c>
      <c r="BA42" s="42">
        <f t="shared" si="33"/>
        <v>128.50842539000001</v>
      </c>
      <c r="BB42" s="42">
        <f t="shared" si="33"/>
        <v>121.51053128</v>
      </c>
      <c r="BC42" s="42">
        <f t="shared" si="33"/>
        <v>145.48652363999997</v>
      </c>
      <c r="BD42" s="42">
        <f t="shared" si="33"/>
        <v>138.25330765999999</v>
      </c>
      <c r="BE42" s="42">
        <f t="shared" si="33"/>
        <v>117.74236163</v>
      </c>
      <c r="BF42" s="42">
        <f t="shared" si="33"/>
        <v>118.51839390999999</v>
      </c>
      <c r="BG42" s="42">
        <f t="shared" si="33"/>
        <v>133.03481971999989</v>
      </c>
      <c r="BH42" s="42">
        <f>BH43+BH46</f>
        <v>138.90503905999984</v>
      </c>
      <c r="BI42" s="42">
        <f>BI43+BI46</f>
        <v>202.56425351000016</v>
      </c>
      <c r="BJ42" s="45">
        <f t="shared" si="28"/>
        <v>1587.8109079199999</v>
      </c>
      <c r="BK42" s="42">
        <f>BK43+BK46</f>
        <v>1585.5013349999999</v>
      </c>
      <c r="BL42" s="42">
        <f>BL43+BL46</f>
        <v>105.92007135999989</v>
      </c>
      <c r="BM42" s="42">
        <v>132.90643142000002</v>
      </c>
      <c r="BN42" s="42">
        <v>137.11857994000002</v>
      </c>
      <c r="BO42" s="42">
        <v>133.30323263999995</v>
      </c>
      <c r="BP42" s="42">
        <v>129.32533684000001</v>
      </c>
      <c r="BQ42" s="42">
        <v>156.82485488000017</v>
      </c>
      <c r="BR42" s="42">
        <v>147.8709750099998</v>
      </c>
      <c r="BS42" s="42">
        <v>125.77038095000003</v>
      </c>
      <c r="BT42" s="42">
        <v>128.95342650999999</v>
      </c>
      <c r="BU42" s="42">
        <v>127.56850064000008</v>
      </c>
      <c r="BV42" s="42">
        <v>134.13803464999995</v>
      </c>
      <c r="BW42" s="42">
        <v>221.04714127000017</v>
      </c>
      <c r="BX42" s="45">
        <f t="shared" si="4"/>
        <v>1680.7469661100004</v>
      </c>
      <c r="BY42" s="45">
        <f>BY43+BY46</f>
        <v>1679.7403490000002</v>
      </c>
      <c r="BZ42" s="45">
        <v>101.27759378000003</v>
      </c>
      <c r="CA42" s="45">
        <v>130.2433910500001</v>
      </c>
      <c r="CB42" s="45">
        <v>142.81477510000013</v>
      </c>
      <c r="CC42" s="45">
        <v>135.84231663999992</v>
      </c>
      <c r="CD42" s="45">
        <v>133.67450693000001</v>
      </c>
      <c r="CE42" s="45">
        <v>149.26254629000007</v>
      </c>
      <c r="CF42" s="45">
        <v>154.68829650999987</v>
      </c>
      <c r="CG42" s="45">
        <v>128.98938955000006</v>
      </c>
      <c r="CH42" s="45">
        <v>129.70238905999997</v>
      </c>
      <c r="CI42" s="45">
        <v>149.55114454999995</v>
      </c>
      <c r="CJ42" s="45">
        <v>156.01162234000014</v>
      </c>
      <c r="CK42" s="45">
        <v>244.97039207000017</v>
      </c>
      <c r="CL42" s="45">
        <f t="shared" si="5"/>
        <v>1757.0283638700005</v>
      </c>
      <c r="CM42" s="45">
        <f>CM43+CM46</f>
        <v>1755.4844900000001</v>
      </c>
      <c r="CN42" s="45">
        <v>111.75151437</v>
      </c>
      <c r="CO42" s="45">
        <v>146.08279389999998</v>
      </c>
      <c r="CP42" s="45">
        <v>148.23025444000015</v>
      </c>
      <c r="CQ42" s="45">
        <v>162.78466853</v>
      </c>
      <c r="CR42" s="45">
        <v>148.88730673999976</v>
      </c>
      <c r="CS42" s="45">
        <v>162.72003701000011</v>
      </c>
      <c r="CT42" s="45">
        <v>163.13657753999996</v>
      </c>
      <c r="CU42" s="45">
        <v>145.09228881999991</v>
      </c>
      <c r="CV42" s="45">
        <v>147.74093714000003</v>
      </c>
      <c r="CW42" s="45">
        <v>154.63613201999991</v>
      </c>
      <c r="CX42" s="45">
        <v>173.45196302000022</v>
      </c>
      <c r="CY42" s="45">
        <v>277.31938291</v>
      </c>
      <c r="CZ42" s="45">
        <f t="shared" si="6"/>
        <v>1941.8338564400001</v>
      </c>
      <c r="DA42" s="45">
        <f>DA43+DA46</f>
        <v>1941.0450639999999</v>
      </c>
      <c r="DB42" s="45">
        <v>117.18676297999998</v>
      </c>
      <c r="DC42" s="45">
        <v>151.42918952000025</v>
      </c>
      <c r="DD42" s="45">
        <v>161.19958647999985</v>
      </c>
      <c r="DE42" s="45">
        <v>168.04161018000036</v>
      </c>
      <c r="DF42" s="45">
        <v>171.73330229000007</v>
      </c>
      <c r="DG42" s="45">
        <v>194.44068276000047</v>
      </c>
      <c r="DH42" s="45">
        <v>185.40553802000014</v>
      </c>
      <c r="DI42" s="45">
        <v>162.75586250000009</v>
      </c>
      <c r="DJ42" s="45">
        <v>171.54605032000049</v>
      </c>
      <c r="DK42" s="45">
        <v>175.79588131999932</v>
      </c>
      <c r="DL42" s="45">
        <v>236.79312994999933</v>
      </c>
      <c r="DM42" s="45">
        <v>316.0247779299998</v>
      </c>
      <c r="DN42" s="45">
        <f t="shared" si="7"/>
        <v>2212.3523742500001</v>
      </c>
      <c r="DO42" s="45">
        <f>DO43+DO46</f>
        <v>2211.4442119999999</v>
      </c>
      <c r="DP42" s="45">
        <v>145.83746533000084</v>
      </c>
      <c r="DQ42" s="45">
        <v>176.12755743999998</v>
      </c>
      <c r="DR42" s="45">
        <v>170.41882859999973</v>
      </c>
      <c r="DS42" s="45">
        <v>172.69362391999994</v>
      </c>
      <c r="DT42" s="45">
        <v>178.1124448499996</v>
      </c>
      <c r="DU42" s="45">
        <v>184.1609424600004</v>
      </c>
      <c r="DV42" s="45">
        <v>190.79456609000084</v>
      </c>
      <c r="DW42" s="45">
        <v>174.34808884000094</v>
      </c>
      <c r="DX42" s="45">
        <v>168.49503084999975</v>
      </c>
      <c r="DY42" s="45">
        <v>191.35319621999977</v>
      </c>
      <c r="DZ42" s="45">
        <v>213.07369484999998</v>
      </c>
      <c r="EA42" s="45">
        <v>317.77939678000286</v>
      </c>
      <c r="EB42" s="45">
        <f t="shared" si="10"/>
        <v>2283.1948362300045</v>
      </c>
      <c r="EC42" s="45">
        <f>EC43+EC46</f>
        <v>2281.8683740000001</v>
      </c>
      <c r="ED42" s="45">
        <v>132.56211404000018</v>
      </c>
      <c r="EE42" s="45">
        <v>169.43012699999957</v>
      </c>
      <c r="EF42" s="45">
        <v>181.51777244999934</v>
      </c>
      <c r="EG42" s="45">
        <v>184.0317537</v>
      </c>
      <c r="EH42" s="45">
        <v>173.88483879000043</v>
      </c>
      <c r="EI42" s="45">
        <v>198.4187002300001</v>
      </c>
      <c r="EJ42" s="45">
        <v>229.82810860000032</v>
      </c>
      <c r="EK42" s="45">
        <v>177.89178573000055</v>
      </c>
      <c r="EL42" s="45">
        <v>181.99676155999944</v>
      </c>
      <c r="EM42" s="45">
        <v>191.72739500000048</v>
      </c>
      <c r="EN42" s="45">
        <v>205.24638928999994</v>
      </c>
      <c r="EO42" s="45">
        <v>333.35075800999982</v>
      </c>
      <c r="EP42" s="45">
        <f>SUM(ED42:EO42)</f>
        <v>2359.8865044000004</v>
      </c>
      <c r="EQ42" s="45">
        <f>EQ43+EQ46</f>
        <v>2358.4687360000003</v>
      </c>
      <c r="ER42" s="45">
        <v>124.82750766000058</v>
      </c>
      <c r="ES42" s="42">
        <v>182.96792801999976</v>
      </c>
      <c r="ET42" s="45">
        <v>196.76478138999971</v>
      </c>
      <c r="EU42" s="42">
        <v>204.55394712000111</v>
      </c>
      <c r="EV42" s="45">
        <v>194.62606561999962</v>
      </c>
      <c r="EW42" s="45">
        <v>226.05846673000082</v>
      </c>
      <c r="EX42" s="45">
        <v>218.64082031000012</v>
      </c>
      <c r="EY42" s="45">
        <v>193.33331171000174</v>
      </c>
      <c r="EZ42" s="45">
        <v>210.92811128000085</v>
      </c>
      <c r="FA42" s="45">
        <v>195.03787800000001</v>
      </c>
      <c r="FB42" s="45">
        <v>234.23609491000042</v>
      </c>
      <c r="FC42" s="45">
        <v>380.89247724999996</v>
      </c>
      <c r="FD42" s="45">
        <f>SUM(ER42:FC42)</f>
        <v>2562.8673900000049</v>
      </c>
      <c r="FE42" s="45">
        <f>FE43+FE46</f>
        <v>2561.2711509999999</v>
      </c>
      <c r="FF42" s="45">
        <v>161.80581820999967</v>
      </c>
      <c r="FG42" s="45">
        <v>202.91254592000001</v>
      </c>
      <c r="FH42" s="45">
        <v>216.38928020000029</v>
      </c>
      <c r="FI42" s="45">
        <v>217.17730019999962</v>
      </c>
      <c r="FJ42" s="45">
        <v>232.80754603999952</v>
      </c>
      <c r="FK42" s="45">
        <v>233.31378802999927</v>
      </c>
      <c r="FL42" s="45">
        <v>235.74889757000062</v>
      </c>
      <c r="FM42" s="45">
        <v>210.01033218000026</v>
      </c>
      <c r="FN42" s="45">
        <v>416.76600069000006</v>
      </c>
      <c r="FO42" s="45">
        <v>453.44103767999866</v>
      </c>
      <c r="FP42" s="45">
        <v>242.32504628999979</v>
      </c>
      <c r="FQ42" s="45">
        <v>456.81127391999951</v>
      </c>
      <c r="FR42" s="45">
        <f>SUM(FF42:FQ42)</f>
        <v>3279.5088669299976</v>
      </c>
      <c r="FS42" s="45">
        <f>FS43+FS46</f>
        <v>3277.9949589999997</v>
      </c>
      <c r="FT42" s="45">
        <v>162.46088257000014</v>
      </c>
      <c r="FU42" s="45">
        <v>222.95351954999981</v>
      </c>
      <c r="FV42" s="45">
        <v>245.06756900000073</v>
      </c>
      <c r="FW42" s="45">
        <v>233.70932174000023</v>
      </c>
      <c r="FX42" s="45">
        <v>241.6644816900004</v>
      </c>
      <c r="FY42" s="45">
        <v>266.58594796999853</v>
      </c>
      <c r="FZ42" s="45">
        <v>259.6092822</v>
      </c>
      <c r="GA42" s="45">
        <v>254.2148766000002</v>
      </c>
      <c r="GB42" s="45">
        <v>268.33663659999974</v>
      </c>
      <c r="GC42" s="45">
        <v>272.79051969999995</v>
      </c>
      <c r="GD42" s="45">
        <v>280.71633093999975</v>
      </c>
      <c r="GE42" s="45">
        <v>710.34118672</v>
      </c>
      <c r="GF42" s="45">
        <f t="shared" si="14"/>
        <v>3418.4505552800001</v>
      </c>
      <c r="GG42" s="45">
        <f>GG43+GG46</f>
        <v>3416.501667</v>
      </c>
      <c r="GH42" s="45">
        <v>220.13216065999916</v>
      </c>
      <c r="GI42" s="45">
        <v>259.03245299999998</v>
      </c>
      <c r="GJ42" s="45">
        <v>249.09284822000035</v>
      </c>
      <c r="GK42" s="45">
        <v>257.33809628000034</v>
      </c>
      <c r="GL42" s="45">
        <v>267.50772293000006</v>
      </c>
      <c r="GM42" s="45">
        <v>290.682636</v>
      </c>
      <c r="GN42" s="45">
        <v>281.60669038999953</v>
      </c>
      <c r="GO42" s="45">
        <v>261.99793199999999</v>
      </c>
      <c r="GP42" s="45">
        <v>274.90284100000002</v>
      </c>
      <c r="GQ42" s="45">
        <v>287.17794300000003</v>
      </c>
      <c r="GR42" s="45">
        <v>325.72816655999941</v>
      </c>
      <c r="GS42" s="45">
        <v>546.31735874999981</v>
      </c>
      <c r="GT42" s="45">
        <f t="shared" si="20"/>
        <v>3521.5168487899991</v>
      </c>
      <c r="GU42" s="45">
        <f>GU43+GU46</f>
        <v>3520.0774659999997</v>
      </c>
      <c r="GV42" s="45">
        <v>192.38541849999979</v>
      </c>
      <c r="GW42" s="45">
        <v>390.3295295600002</v>
      </c>
      <c r="GX42" s="45">
        <v>284.92168599999997</v>
      </c>
      <c r="GY42" s="45">
        <v>294.15600200000034</v>
      </c>
      <c r="GZ42" s="45">
        <v>276.74422538000027</v>
      </c>
      <c r="HA42" s="45">
        <v>320.05134714999883</v>
      </c>
      <c r="HB42" s="45">
        <v>320.72588913999971</v>
      </c>
      <c r="HC42" s="45">
        <v>283.47410303000061</v>
      </c>
      <c r="HD42" s="45">
        <v>307.4547785499995</v>
      </c>
      <c r="HE42" s="45">
        <v>299.94560995999984</v>
      </c>
      <c r="HF42" s="45">
        <v>322.66761308999946</v>
      </c>
      <c r="HG42" s="45">
        <v>578.64006099999995</v>
      </c>
      <c r="HH42" s="45">
        <f t="shared" si="15"/>
        <v>3871.4962633599985</v>
      </c>
      <c r="HI42" s="45">
        <v>195.37265822999967</v>
      </c>
      <c r="HJ42" s="45">
        <v>280.18135266999991</v>
      </c>
      <c r="HK42" s="45">
        <v>306.13335150000046</v>
      </c>
      <c r="HL42" s="45">
        <v>311.62565234000016</v>
      </c>
      <c r="HM42" s="45"/>
      <c r="HN42" s="45"/>
      <c r="HO42" s="45"/>
      <c r="HP42" s="45"/>
      <c r="HQ42" s="45"/>
      <c r="HR42" s="45"/>
      <c r="HS42" s="45"/>
      <c r="HT42" s="45"/>
      <c r="HU42" s="283">
        <f t="shared" si="16"/>
        <v>1161.7926359999999</v>
      </c>
      <c r="HV42" s="283">
        <f t="shared" si="17"/>
        <v>1093.313015</v>
      </c>
      <c r="HW42" s="280">
        <f t="shared" si="30"/>
        <v>-68.479620999999952</v>
      </c>
      <c r="HX42" s="280">
        <f t="shared" si="31"/>
        <v>-5.8943066841749214</v>
      </c>
    </row>
    <row r="43" spans="1:232" s="12" customFormat="1" ht="20.5">
      <c r="A43" s="47" t="s">
        <v>121</v>
      </c>
      <c r="B43" s="13">
        <v>1000</v>
      </c>
      <c r="C43" s="47" t="s">
        <v>122</v>
      </c>
      <c r="D43" s="42">
        <v>1102.7111186049026</v>
      </c>
      <c r="E43" s="42">
        <v>1273.6168576160637</v>
      </c>
      <c r="F43" s="42">
        <v>969.18139196703498</v>
      </c>
      <c r="G43" s="42">
        <v>804.58183078070124</v>
      </c>
      <c r="H43" s="42">
        <v>45.935810695442825</v>
      </c>
      <c r="I43" s="42">
        <v>65.900328455728783</v>
      </c>
      <c r="J43" s="42">
        <v>69.190476903944784</v>
      </c>
      <c r="K43" s="42">
        <v>67.872707497396149</v>
      </c>
      <c r="L43" s="42">
        <v>69.68041320197382</v>
      </c>
      <c r="M43" s="42">
        <v>76.782867243214341</v>
      </c>
      <c r="N43" s="42">
        <v>80.172679722938412</v>
      </c>
      <c r="O43" s="42">
        <v>63.302572267659258</v>
      </c>
      <c r="P43" s="42">
        <v>65.456771731521172</v>
      </c>
      <c r="Q43" s="42">
        <v>68.856983910165567</v>
      </c>
      <c r="R43" s="42">
        <v>71.942143314494515</v>
      </c>
      <c r="S43" s="42">
        <v>95.814752064586997</v>
      </c>
      <c r="T43" s="42">
        <v>840.90850700906662</v>
      </c>
      <c r="U43" s="42">
        <v>840.92566348512537</v>
      </c>
      <c r="V43" s="42">
        <v>46.155306458130575</v>
      </c>
      <c r="W43" s="42">
        <v>68.6695027205309</v>
      </c>
      <c r="X43" s="42">
        <v>70.262137836438043</v>
      </c>
      <c r="Y43" s="42">
        <v>69.483812286213521</v>
      </c>
      <c r="Z43" s="42">
        <v>70.428864946699221</v>
      </c>
      <c r="AA43" s="42">
        <v>79.139755892112163</v>
      </c>
      <c r="AB43" s="42">
        <v>78.2416266128252</v>
      </c>
      <c r="AC43" s="42">
        <v>65.239587424089791</v>
      </c>
      <c r="AD43" s="42">
        <v>63.42114302138291</v>
      </c>
      <c r="AE43" s="42">
        <v>70.371329545648564</v>
      </c>
      <c r="AF43" s="42">
        <v>76.062983420697662</v>
      </c>
      <c r="AG43" s="42">
        <v>87.90713200266363</v>
      </c>
      <c r="AH43" s="42">
        <v>845.38318216743221</v>
      </c>
      <c r="AI43" s="42">
        <v>845.3767679182248</v>
      </c>
      <c r="AJ43" s="42">
        <v>48.664927917314074</v>
      </c>
      <c r="AK43" s="42">
        <v>71.500647235929222</v>
      </c>
      <c r="AL43" s="42">
        <v>71.152884730308884</v>
      </c>
      <c r="AM43" s="42">
        <v>72.012332414158138</v>
      </c>
      <c r="AN43" s="42">
        <v>73.989812266293299</v>
      </c>
      <c r="AO43" s="42">
        <v>81.383654617788181</v>
      </c>
      <c r="AP43" s="42">
        <v>84.775755402644265</v>
      </c>
      <c r="AQ43" s="42">
        <v>70.074384849830125</v>
      </c>
      <c r="AR43" s="42">
        <v>68.818026078394539</v>
      </c>
      <c r="AS43" s="42">
        <v>72.805499114973728</v>
      </c>
      <c r="AT43" s="42">
        <v>78.295393879374615</v>
      </c>
      <c r="AU43" s="42">
        <v>103.62055708277131</v>
      </c>
      <c r="AV43" s="42">
        <v>897.09387558978028</v>
      </c>
      <c r="AW43" s="42">
        <v>897.11859067392891</v>
      </c>
      <c r="AX43" s="42">
        <f>AX44+AX45</f>
        <v>53.760635999999998</v>
      </c>
      <c r="AY43" s="42">
        <f>AY44+AY45</f>
        <v>77.014939999999996</v>
      </c>
      <c r="AZ43" s="42">
        <f t="shared" ref="AZ43:BG43" si="34">AZ44+AZ45</f>
        <v>76.627868750000005</v>
      </c>
      <c r="BA43" s="42">
        <f t="shared" si="34"/>
        <v>81.149115809999998</v>
      </c>
      <c r="BB43" s="42">
        <f t="shared" si="34"/>
        <v>75.67870259</v>
      </c>
      <c r="BC43" s="42">
        <f t="shared" si="34"/>
        <v>88.408973019999991</v>
      </c>
      <c r="BD43" s="42">
        <f t="shared" si="34"/>
        <v>88.101063169999989</v>
      </c>
      <c r="BE43" s="42">
        <f t="shared" si="34"/>
        <v>73.189087569999998</v>
      </c>
      <c r="BF43" s="42">
        <f t="shared" si="34"/>
        <v>73.990825810000032</v>
      </c>
      <c r="BG43" s="42">
        <f t="shared" si="34"/>
        <v>80.139567749999941</v>
      </c>
      <c r="BH43" s="42">
        <f>BH44+BH45</f>
        <v>85.554042919999972</v>
      </c>
      <c r="BI43" s="42">
        <f>BI44+BI45</f>
        <v>108.28663694999999</v>
      </c>
      <c r="BJ43" s="45">
        <f t="shared" si="28"/>
        <v>961.90146033999986</v>
      </c>
      <c r="BK43" s="42">
        <f>BK44+BK45</f>
        <v>961.87569800000006</v>
      </c>
      <c r="BL43" s="42">
        <f>BL44+BL45</f>
        <v>56.93728777999997</v>
      </c>
      <c r="BM43" s="42">
        <v>80.479436409999977</v>
      </c>
      <c r="BN43" s="42">
        <v>84.02474605999997</v>
      </c>
      <c r="BO43" s="42">
        <v>84.541690060000036</v>
      </c>
      <c r="BP43" s="42">
        <v>81.349413769999941</v>
      </c>
      <c r="BQ43" s="42">
        <v>94.297176270000008</v>
      </c>
      <c r="BR43" s="42">
        <v>96.079007509999968</v>
      </c>
      <c r="BS43" s="42">
        <v>80.403799179999979</v>
      </c>
      <c r="BT43" s="42">
        <v>78.234969959999972</v>
      </c>
      <c r="BU43" s="42">
        <v>80.432555599999958</v>
      </c>
      <c r="BV43" s="42">
        <v>84.825098399999945</v>
      </c>
      <c r="BW43" s="42">
        <v>112.40856095000008</v>
      </c>
      <c r="BX43" s="45">
        <f t="shared" si="4"/>
        <v>1014.0137419499997</v>
      </c>
      <c r="BY43" s="45">
        <f>BY44+BY45</f>
        <v>1014.020938</v>
      </c>
      <c r="BZ43" s="45">
        <v>56.36916003000006</v>
      </c>
      <c r="CA43" s="45">
        <v>81.430883039999955</v>
      </c>
      <c r="CB43" s="45">
        <v>86.778659629999979</v>
      </c>
      <c r="CC43" s="45">
        <v>87.645974759999959</v>
      </c>
      <c r="CD43" s="45">
        <v>86.853933439999906</v>
      </c>
      <c r="CE43" s="45">
        <v>95.832616100000081</v>
      </c>
      <c r="CF43" s="45">
        <v>101.64155410999989</v>
      </c>
      <c r="CG43" s="45">
        <v>80.310716079999906</v>
      </c>
      <c r="CH43" s="45">
        <v>81.403862540000034</v>
      </c>
      <c r="CI43" s="45">
        <v>86.637875319999935</v>
      </c>
      <c r="CJ43" s="45">
        <v>91.745298350000155</v>
      </c>
      <c r="CK43" s="45">
        <v>142.76622648999992</v>
      </c>
      <c r="CL43" s="45">
        <f t="shared" si="5"/>
        <v>1079.4167598899999</v>
      </c>
      <c r="CM43" s="45">
        <f>CM44+CM45</f>
        <v>1079.4926330000001</v>
      </c>
      <c r="CN43" s="45">
        <v>56.258067410000002</v>
      </c>
      <c r="CO43" s="45">
        <v>89.771156209999958</v>
      </c>
      <c r="CP43" s="45">
        <v>96.597288990000166</v>
      </c>
      <c r="CQ43" s="45">
        <v>99.088353890000064</v>
      </c>
      <c r="CR43" s="45">
        <v>95.457860619999764</v>
      </c>
      <c r="CS43" s="45">
        <v>107.59686033000013</v>
      </c>
      <c r="CT43" s="45">
        <v>108.71304522999998</v>
      </c>
      <c r="CU43" s="45">
        <v>93.423764339999948</v>
      </c>
      <c r="CV43" s="45">
        <v>92.273585740000001</v>
      </c>
      <c r="CW43" s="45">
        <v>94.157887049999886</v>
      </c>
      <c r="CX43" s="45">
        <v>106.7382546300001</v>
      </c>
      <c r="CY43" s="45">
        <v>153.48994087</v>
      </c>
      <c r="CZ43" s="45">
        <f t="shared" si="6"/>
        <v>1193.5660653100001</v>
      </c>
      <c r="DA43" s="45">
        <f>DA44+DA45</f>
        <v>1193.5909959999999</v>
      </c>
      <c r="DB43" s="45">
        <v>53.547734970000164</v>
      </c>
      <c r="DC43" s="45">
        <v>98.258864690000124</v>
      </c>
      <c r="DD43" s="45">
        <v>103.36362177999989</v>
      </c>
      <c r="DE43" s="45">
        <v>103.87241368999999</v>
      </c>
      <c r="DF43" s="45">
        <v>104.09302631000001</v>
      </c>
      <c r="DG43" s="45">
        <v>118.64707575000007</v>
      </c>
      <c r="DH43" s="45">
        <v>116.57177339999986</v>
      </c>
      <c r="DI43" s="45">
        <v>103.22987252000011</v>
      </c>
      <c r="DJ43" s="45">
        <v>99.729551609999731</v>
      </c>
      <c r="DK43" s="45">
        <v>103.1615598300001</v>
      </c>
      <c r="DL43" s="45">
        <v>119.13842645999993</v>
      </c>
      <c r="DM43" s="45">
        <v>159.33715490000037</v>
      </c>
      <c r="DN43" s="45">
        <f t="shared" si="7"/>
        <v>1282.9510759100003</v>
      </c>
      <c r="DO43" s="45">
        <f>DO44+DO45</f>
        <v>1282.960642</v>
      </c>
      <c r="DP43" s="45">
        <v>84.806383290000269</v>
      </c>
      <c r="DQ43" s="45">
        <v>112.35202808000014</v>
      </c>
      <c r="DR43" s="45">
        <v>109.14288483999978</v>
      </c>
      <c r="DS43" s="45">
        <v>111.82503699999994</v>
      </c>
      <c r="DT43" s="45">
        <v>113.01066266999987</v>
      </c>
      <c r="DU43" s="45">
        <v>122.2475327799999</v>
      </c>
      <c r="DV43" s="45">
        <v>124.44239663000015</v>
      </c>
      <c r="DW43" s="45">
        <v>108.26402211000001</v>
      </c>
      <c r="DX43" s="45">
        <v>108.40139926999994</v>
      </c>
      <c r="DY43" s="45">
        <v>110.75670253999996</v>
      </c>
      <c r="DZ43" s="45">
        <v>124.89715117999998</v>
      </c>
      <c r="EA43" s="45">
        <v>172.47148602000021</v>
      </c>
      <c r="EB43" s="45">
        <f t="shared" si="10"/>
        <v>1402.6176864100003</v>
      </c>
      <c r="EC43" s="45">
        <f>EC44+EC45</f>
        <v>1402.61727</v>
      </c>
      <c r="ED43" s="45">
        <v>68.708563949999984</v>
      </c>
      <c r="EE43" s="45">
        <v>111.61903099999991</v>
      </c>
      <c r="EF43" s="45">
        <v>118.2828903699999</v>
      </c>
      <c r="EG43" s="45">
        <v>124.09924631999976</v>
      </c>
      <c r="EH43" s="45">
        <v>114.18416779000013</v>
      </c>
      <c r="EI43" s="45">
        <v>128.36624680000011</v>
      </c>
      <c r="EJ43" s="45">
        <v>132.65246865000003</v>
      </c>
      <c r="EK43" s="45">
        <v>116.00533173000011</v>
      </c>
      <c r="EL43" s="45">
        <v>116.78551849000017</v>
      </c>
      <c r="EM43" s="45">
        <v>114.61595599999993</v>
      </c>
      <c r="EN43" s="45">
        <v>128.25273405999971</v>
      </c>
      <c r="EO43" s="45">
        <v>182.46977500999986</v>
      </c>
      <c r="EP43" s="45">
        <f t="shared" si="11"/>
        <v>1456.0419301699997</v>
      </c>
      <c r="EQ43" s="45">
        <f>EQ44+EQ45</f>
        <v>1456.1488640000002</v>
      </c>
      <c r="ER43" s="45">
        <v>72.707174990000141</v>
      </c>
      <c r="ES43" s="45">
        <v>123.26983801999984</v>
      </c>
      <c r="ET43" s="45">
        <v>128.74492621999991</v>
      </c>
      <c r="EU43" s="42">
        <v>133.64483811999995</v>
      </c>
      <c r="EV43" s="45">
        <v>127.52024161999996</v>
      </c>
      <c r="EW43" s="45">
        <v>142.51836773000022</v>
      </c>
      <c r="EX43" s="45">
        <v>142.74302930999994</v>
      </c>
      <c r="EY43" s="45">
        <v>125.68185754000002</v>
      </c>
      <c r="EZ43" s="45">
        <v>127.12061636000021</v>
      </c>
      <c r="FA43" s="45">
        <v>123.390885</v>
      </c>
      <c r="FB43" s="45">
        <v>138.40435591000008</v>
      </c>
      <c r="FC43" s="45">
        <v>202.12239724999964</v>
      </c>
      <c r="FD43" s="45">
        <f t="shared" si="12"/>
        <v>1587.8685280699999</v>
      </c>
      <c r="FE43" s="45">
        <f>FE44+FE45</f>
        <v>1587.8715219999999</v>
      </c>
      <c r="FF43" s="45">
        <v>82.221467190000013</v>
      </c>
      <c r="FG43" s="45">
        <v>124.45159349999993</v>
      </c>
      <c r="FH43" s="45">
        <v>128.69144282000011</v>
      </c>
      <c r="FI43" s="45">
        <v>135.03442920000018</v>
      </c>
      <c r="FJ43" s="45">
        <v>140.27191474000014</v>
      </c>
      <c r="FK43" s="45">
        <v>146.97251440000008</v>
      </c>
      <c r="FL43" s="45">
        <v>148.09603357000003</v>
      </c>
      <c r="FM43" s="45">
        <v>131.31453118000005</v>
      </c>
      <c r="FN43" s="45">
        <v>135.45848168999981</v>
      </c>
      <c r="FO43" s="45">
        <v>135.49408468000001</v>
      </c>
      <c r="FP43" s="45">
        <v>148.08234749999994</v>
      </c>
      <c r="FQ43" s="45">
        <v>230.38956391999997</v>
      </c>
      <c r="FR43" s="45">
        <f t="shared" si="13"/>
        <v>1686.4784043900004</v>
      </c>
      <c r="FS43" s="45">
        <f>FS44+FS45</f>
        <v>1686.44085</v>
      </c>
      <c r="FT43" s="45">
        <v>78.656800869999955</v>
      </c>
      <c r="FU43" s="45">
        <v>140.18012125999985</v>
      </c>
      <c r="FV43" s="45">
        <v>145.85744599999984</v>
      </c>
      <c r="FW43" s="45">
        <v>147.91250061000028</v>
      </c>
      <c r="FX43" s="45">
        <v>156.22832569000008</v>
      </c>
      <c r="FY43" s="45">
        <v>173.07062722999936</v>
      </c>
      <c r="FZ43" s="45">
        <v>165.61298448000034</v>
      </c>
      <c r="GA43" s="45">
        <v>156.95566434000003</v>
      </c>
      <c r="GB43" s="45">
        <v>159.23330624000005</v>
      </c>
      <c r="GC43" s="45">
        <v>161.14346053999981</v>
      </c>
      <c r="GD43" s="45">
        <v>174.90434260999993</v>
      </c>
      <c r="GE43" s="45">
        <v>273.29328369000029</v>
      </c>
      <c r="GF43" s="45">
        <f t="shared" si="14"/>
        <v>1933.04886356</v>
      </c>
      <c r="GG43" s="45">
        <f>GG44+GG45</f>
        <v>1933.046793</v>
      </c>
      <c r="GH43" s="45">
        <v>115.79327142999986</v>
      </c>
      <c r="GI43" s="45">
        <v>172.06686817999994</v>
      </c>
      <c r="GJ43" s="45">
        <v>170.39599622000006</v>
      </c>
      <c r="GK43" s="45">
        <v>171.87211627999983</v>
      </c>
      <c r="GL43" s="45">
        <v>178.42723193000003</v>
      </c>
      <c r="GM43" s="45">
        <v>190.03673940999985</v>
      </c>
      <c r="GN43" s="45">
        <v>189.311881</v>
      </c>
      <c r="GO43" s="45">
        <v>174.13889504000005</v>
      </c>
      <c r="GP43" s="45">
        <v>169.98566</v>
      </c>
      <c r="GQ43" s="45">
        <v>177.229353</v>
      </c>
      <c r="GR43" s="45">
        <v>185.28200856000004</v>
      </c>
      <c r="GS43" s="45">
        <v>279.42277875000013</v>
      </c>
      <c r="GT43" s="45">
        <f t="shared" si="20"/>
        <v>2173.9627998000001</v>
      </c>
      <c r="GU43" s="45">
        <f>GU44+GU45</f>
        <v>2173.9336069999999</v>
      </c>
      <c r="GV43" s="45">
        <v>103.73148163999987</v>
      </c>
      <c r="GW43" s="45">
        <v>182.2503897200001</v>
      </c>
      <c r="GX43" s="45">
        <v>183.77636500000006</v>
      </c>
      <c r="GY43" s="45">
        <v>206.18670600000004</v>
      </c>
      <c r="GZ43" s="45">
        <v>181.70010533000021</v>
      </c>
      <c r="HA43" s="45">
        <v>205.28181324999986</v>
      </c>
      <c r="HB43" s="45">
        <v>211.14706743000002</v>
      </c>
      <c r="HC43" s="45">
        <v>194.41531195999985</v>
      </c>
      <c r="HD43" s="45">
        <v>186.20162034000006</v>
      </c>
      <c r="HE43" s="45">
        <v>193.6504423500003</v>
      </c>
      <c r="HF43" s="45">
        <v>197.26309636000002</v>
      </c>
      <c r="HG43" s="45">
        <v>308.62289399999997</v>
      </c>
      <c r="HH43" s="45">
        <f t="shared" si="15"/>
        <v>2354.2272933800004</v>
      </c>
      <c r="HI43" s="45">
        <v>106.61954835</v>
      </c>
      <c r="HJ43" s="45">
        <v>185.28042944000009</v>
      </c>
      <c r="HK43" s="45">
        <v>189.59470276000022</v>
      </c>
      <c r="HL43" s="45">
        <v>205.52775588000009</v>
      </c>
      <c r="HM43" s="45"/>
      <c r="HN43" s="45"/>
      <c r="HO43" s="45"/>
      <c r="HP43" s="45"/>
      <c r="HQ43" s="45"/>
      <c r="HR43" s="45"/>
      <c r="HS43" s="45"/>
      <c r="HT43" s="45"/>
      <c r="HU43" s="283">
        <f t="shared" si="16"/>
        <v>675.94494199999997</v>
      </c>
      <c r="HV43" s="283">
        <f t="shared" si="17"/>
        <v>687.02243599999997</v>
      </c>
      <c r="HW43" s="280">
        <f t="shared" si="30"/>
        <v>11.077494000000002</v>
      </c>
      <c r="HX43" s="280">
        <f t="shared" si="31"/>
        <v>1.6388160206101503</v>
      </c>
    </row>
    <row r="44" spans="1:232" s="12" customFormat="1" ht="20.5">
      <c r="A44" s="77" t="s">
        <v>123</v>
      </c>
      <c r="B44" s="13">
        <v>1100</v>
      </c>
      <c r="C44" s="77" t="s">
        <v>124</v>
      </c>
      <c r="D44" s="42">
        <v>808.33228467680885</v>
      </c>
      <c r="E44" s="42">
        <v>919.79386713792178</v>
      </c>
      <c r="F44" s="42">
        <v>720.03460993392184</v>
      </c>
      <c r="G44" s="42">
        <v>609.14086288638077</v>
      </c>
      <c r="H44" s="42">
        <v>35.742616063653593</v>
      </c>
      <c r="I44" s="42">
        <v>50.485924525187684</v>
      </c>
      <c r="J44" s="42">
        <v>52.797611439320221</v>
      </c>
      <c r="K44" s="42">
        <v>52.813594899858288</v>
      </c>
      <c r="L44" s="42">
        <v>54.084745149430006</v>
      </c>
      <c r="M44" s="42">
        <v>60.936117053972382</v>
      </c>
      <c r="N44" s="42">
        <v>62.433901912908873</v>
      </c>
      <c r="O44" s="42">
        <v>47.954581931804597</v>
      </c>
      <c r="P44" s="42">
        <v>50.106282832767036</v>
      </c>
      <c r="Q44" s="42">
        <v>52.894812778527161</v>
      </c>
      <c r="R44" s="42">
        <v>55.415171143021389</v>
      </c>
      <c r="S44" s="42">
        <v>71.505880956852849</v>
      </c>
      <c r="T44" s="42">
        <v>647.17124068730413</v>
      </c>
      <c r="U44" s="42">
        <v>647.18993204364233</v>
      </c>
      <c r="V44" s="42">
        <v>35.906799050659927</v>
      </c>
      <c r="W44" s="42">
        <v>52.622889454243285</v>
      </c>
      <c r="X44" s="42">
        <v>53.496463964348521</v>
      </c>
      <c r="Y44" s="42">
        <v>52.579563306412602</v>
      </c>
      <c r="Z44" s="42">
        <v>53.639559535802299</v>
      </c>
      <c r="AA44" s="42">
        <v>61.234608795624382</v>
      </c>
      <c r="AB44" s="42">
        <v>59.364727790393914</v>
      </c>
      <c r="AC44" s="42">
        <v>47.592893609028977</v>
      </c>
      <c r="AD44" s="42">
        <v>47.067491078593747</v>
      </c>
      <c r="AE44" s="42">
        <v>53.629438364038904</v>
      </c>
      <c r="AF44" s="42">
        <v>57.893601914616305</v>
      </c>
      <c r="AG44" s="42">
        <v>66.475002988030809</v>
      </c>
      <c r="AH44" s="42">
        <v>641.50303985179369</v>
      </c>
      <c r="AI44" s="42">
        <v>641.50826546234805</v>
      </c>
      <c r="AJ44" s="42">
        <v>37.171483087745656</v>
      </c>
      <c r="AK44" s="42">
        <v>54.046004120636766</v>
      </c>
      <c r="AL44" s="42">
        <v>54.379386002356277</v>
      </c>
      <c r="AM44" s="42">
        <v>54.910442683877726</v>
      </c>
      <c r="AN44" s="42">
        <v>56.778615431898501</v>
      </c>
      <c r="AO44" s="42">
        <v>62.756225064171531</v>
      </c>
      <c r="AP44" s="42">
        <v>63.653173573286431</v>
      </c>
      <c r="AQ44" s="42">
        <v>51.019427891702385</v>
      </c>
      <c r="AR44" s="42">
        <v>51.791503747844352</v>
      </c>
      <c r="AS44" s="42">
        <v>55.55711692022242</v>
      </c>
      <c r="AT44" s="42">
        <v>59.586466497060343</v>
      </c>
      <c r="AU44" s="42">
        <v>79.205787104228207</v>
      </c>
      <c r="AV44" s="42">
        <v>680.85563212503052</v>
      </c>
      <c r="AW44" s="42">
        <v>680.89854070267097</v>
      </c>
      <c r="AX44" s="42">
        <v>39.878171999999999</v>
      </c>
      <c r="AY44" s="42">
        <v>58.386595</v>
      </c>
      <c r="AZ44" s="42">
        <v>58.623592889999998</v>
      </c>
      <c r="BA44" s="42">
        <v>62.397183030000001</v>
      </c>
      <c r="BB44" s="42">
        <v>57.358105190000003</v>
      </c>
      <c r="BC44" s="42">
        <v>67.768849579999994</v>
      </c>
      <c r="BD44" s="42">
        <v>66.107625319999997</v>
      </c>
      <c r="BE44" s="42">
        <v>53.003533789999999</v>
      </c>
      <c r="BF44" s="42">
        <v>54.914218570000038</v>
      </c>
      <c r="BG44" s="42">
        <v>61.223602429999929</v>
      </c>
      <c r="BH44" s="42">
        <v>65.210049409999982</v>
      </c>
      <c r="BI44" s="42">
        <v>80.902511279999999</v>
      </c>
      <c r="BJ44" s="45">
        <f t="shared" si="28"/>
        <v>725.77403848999995</v>
      </c>
      <c r="BK44" s="42">
        <v>725.77826200000004</v>
      </c>
      <c r="BL44" s="42">
        <v>43.269804459999968</v>
      </c>
      <c r="BM44" s="42">
        <v>60.421336059999994</v>
      </c>
      <c r="BN44" s="42">
        <v>63.135843729999976</v>
      </c>
      <c r="BO44" s="42">
        <v>64.51631284000004</v>
      </c>
      <c r="BP44" s="42">
        <v>60.773397689999946</v>
      </c>
      <c r="BQ44" s="42">
        <v>71.722478310000014</v>
      </c>
      <c r="BR44" s="42">
        <v>70.259374119999976</v>
      </c>
      <c r="BS44" s="42">
        <v>57.389754309999994</v>
      </c>
      <c r="BT44" s="42">
        <v>57.833938899999971</v>
      </c>
      <c r="BU44" s="42">
        <v>60.225663989999951</v>
      </c>
      <c r="BV44" s="42">
        <v>64.528956210000004</v>
      </c>
      <c r="BW44" s="42">
        <v>85.243084850000074</v>
      </c>
      <c r="BX44" s="45">
        <f t="shared" si="4"/>
        <v>759.31994546999988</v>
      </c>
      <c r="BY44" s="45">
        <v>759.32507899999996</v>
      </c>
      <c r="BZ44" s="45">
        <v>42.078571390000079</v>
      </c>
      <c r="CA44" s="45">
        <v>61.030872209999963</v>
      </c>
      <c r="CB44" s="45">
        <v>65.098812230000007</v>
      </c>
      <c r="CC44" s="45">
        <v>65.988075219999956</v>
      </c>
      <c r="CD44" s="45">
        <v>65.213820299999895</v>
      </c>
      <c r="CE44" s="45">
        <v>71.990404530000077</v>
      </c>
      <c r="CF44" s="45">
        <v>75.921729849999849</v>
      </c>
      <c r="CG44" s="45">
        <v>56.622489929999915</v>
      </c>
      <c r="CH44" s="45">
        <v>59.056655010000071</v>
      </c>
      <c r="CI44" s="45">
        <v>65.345763439999914</v>
      </c>
      <c r="CJ44" s="45">
        <v>70.419362470000152</v>
      </c>
      <c r="CK44" s="45">
        <v>108.12104043999989</v>
      </c>
      <c r="CL44" s="45">
        <f t="shared" si="5"/>
        <v>806.8875970199997</v>
      </c>
      <c r="CM44" s="45">
        <v>806.91226600000005</v>
      </c>
      <c r="CN44" s="45">
        <v>41.064755669999997</v>
      </c>
      <c r="CO44" s="45">
        <v>67.169813729999973</v>
      </c>
      <c r="CP44" s="45">
        <v>72.486428840000173</v>
      </c>
      <c r="CQ44" s="45">
        <v>74.906848760000088</v>
      </c>
      <c r="CR44" s="45">
        <v>71.390074079999806</v>
      </c>
      <c r="CS44" s="45">
        <v>81.910718260000138</v>
      </c>
      <c r="CT44" s="45">
        <v>80.080516349999954</v>
      </c>
      <c r="CU44" s="45">
        <v>66.058683189999968</v>
      </c>
      <c r="CV44" s="45">
        <v>66.480782579999996</v>
      </c>
      <c r="CW44" s="45">
        <v>70.816891879999886</v>
      </c>
      <c r="CX44" s="45">
        <v>81.232088390000101</v>
      </c>
      <c r="CY44" s="45">
        <v>116.89306809999999</v>
      </c>
      <c r="CZ44" s="45">
        <f t="shared" si="6"/>
        <v>890.49066983000012</v>
      </c>
      <c r="DA44" s="45">
        <v>890.50913000000003</v>
      </c>
      <c r="DB44" s="45">
        <v>38.922466810000145</v>
      </c>
      <c r="DC44" s="45">
        <v>73.721122360000109</v>
      </c>
      <c r="DD44" s="45">
        <v>77.639720349999877</v>
      </c>
      <c r="DE44" s="45">
        <v>77.369907309999917</v>
      </c>
      <c r="DF44" s="45">
        <v>77.573781780000004</v>
      </c>
      <c r="DG44" s="45">
        <v>88.758453570000015</v>
      </c>
      <c r="DH44" s="45">
        <v>85.819164579999821</v>
      </c>
      <c r="DI44" s="45">
        <v>72.637873450000072</v>
      </c>
      <c r="DJ44" s="45">
        <v>72.158983149999898</v>
      </c>
      <c r="DK44" s="45">
        <v>77.667249000000027</v>
      </c>
      <c r="DL44" s="45">
        <v>90.55183330999995</v>
      </c>
      <c r="DM44" s="45">
        <v>118.35685102000019</v>
      </c>
      <c r="DN44" s="45">
        <f t="shared" si="7"/>
        <v>951.17740669</v>
      </c>
      <c r="DO44" s="45">
        <v>951.19241199999999</v>
      </c>
      <c r="DP44" s="45">
        <v>42.777732500000077</v>
      </c>
      <c r="DQ44" s="45">
        <v>77.439068150000168</v>
      </c>
      <c r="DR44" s="45">
        <v>81.660488049999898</v>
      </c>
      <c r="DS44" s="45">
        <v>83.117829059999934</v>
      </c>
      <c r="DT44" s="45">
        <v>84.524377229999843</v>
      </c>
      <c r="DU44" s="45">
        <v>90.961609039999942</v>
      </c>
      <c r="DV44" s="45">
        <v>91.863697660000057</v>
      </c>
      <c r="DW44" s="45">
        <v>76.247192839999997</v>
      </c>
      <c r="DX44" s="45">
        <v>79.035465239999922</v>
      </c>
      <c r="DY44" s="45">
        <v>82.400053649999904</v>
      </c>
      <c r="DZ44" s="45">
        <v>95.109403699999902</v>
      </c>
      <c r="EA44" s="45">
        <v>130.04910470999988</v>
      </c>
      <c r="EB44" s="45">
        <f t="shared" si="10"/>
        <v>1015.1860218299996</v>
      </c>
      <c r="EC44" s="45">
        <v>1015.19078</v>
      </c>
      <c r="ED44" s="45">
        <v>49.787961389999936</v>
      </c>
      <c r="EE44" s="45">
        <v>83.108025999999995</v>
      </c>
      <c r="EF44" s="45">
        <v>88.98543740999996</v>
      </c>
      <c r="EG44" s="45">
        <v>91.863635519999917</v>
      </c>
      <c r="EH44" s="45">
        <v>85.27704381999996</v>
      </c>
      <c r="EI44" s="45">
        <v>96.345995659999971</v>
      </c>
      <c r="EJ44" s="45">
        <v>97.666603509999831</v>
      </c>
      <c r="EK44" s="45">
        <v>82.005903860000032</v>
      </c>
      <c r="EL44" s="45">
        <v>84.589818580000099</v>
      </c>
      <c r="EM44" s="45">
        <v>85.295833899999877</v>
      </c>
      <c r="EN44" s="45">
        <v>97.572311339999828</v>
      </c>
      <c r="EO44" s="45">
        <v>136.79567999999998</v>
      </c>
      <c r="EP44" s="45">
        <f t="shared" si="11"/>
        <v>1079.2942509899995</v>
      </c>
      <c r="EQ44" s="45">
        <v>1079.4153100000001</v>
      </c>
      <c r="ER44" s="45">
        <v>54.536378260000077</v>
      </c>
      <c r="ES44" s="45">
        <v>93.409346729999896</v>
      </c>
      <c r="ET44" s="45">
        <v>98.010567889999905</v>
      </c>
      <c r="EU44" s="42">
        <v>100.83785029999987</v>
      </c>
      <c r="EV44" s="45">
        <v>95.590321379999978</v>
      </c>
      <c r="EW44" s="45">
        <v>107.00576536000011</v>
      </c>
      <c r="EX44" s="45">
        <v>105.90381496999994</v>
      </c>
      <c r="EY44" s="45">
        <v>88.772263049999964</v>
      </c>
      <c r="EZ44" s="45">
        <v>92.225084790000096</v>
      </c>
      <c r="FA44" s="45">
        <v>92.133583999999999</v>
      </c>
      <c r="FB44" s="45">
        <v>104.64217246000001</v>
      </c>
      <c r="FC44" s="45">
        <v>153.62788519999992</v>
      </c>
      <c r="FD44" s="45">
        <f t="shared" si="12"/>
        <v>1186.6950343899998</v>
      </c>
      <c r="FE44" s="45">
        <v>1186.695925</v>
      </c>
      <c r="FF44" s="45">
        <v>59.885662449999991</v>
      </c>
      <c r="FG44" s="45">
        <v>92.561366800000002</v>
      </c>
      <c r="FH44" s="45">
        <v>97.69235434000008</v>
      </c>
      <c r="FI44" s="45">
        <v>100.71636755000004</v>
      </c>
      <c r="FJ44" s="45">
        <v>105.4309867000001</v>
      </c>
      <c r="FK44" s="45">
        <v>110.54877504000002</v>
      </c>
      <c r="FL44" s="45">
        <v>108.58611567999991</v>
      </c>
      <c r="FM44" s="45">
        <v>92.529313260000009</v>
      </c>
      <c r="FN44" s="45">
        <v>96.659633769999942</v>
      </c>
      <c r="FO44" s="45">
        <v>100.66470058000003</v>
      </c>
      <c r="FP44" s="45">
        <v>110.79548953999988</v>
      </c>
      <c r="FQ44" s="45">
        <v>171.38340515000013</v>
      </c>
      <c r="FR44" s="45">
        <f>SUM(FF44:FQ44)</f>
        <v>1247.45417086</v>
      </c>
      <c r="FS44" s="45">
        <v>1247.439601</v>
      </c>
      <c r="FT44" s="45">
        <v>55.64658187000002</v>
      </c>
      <c r="FU44" s="45">
        <v>103.73045881999988</v>
      </c>
      <c r="FV44" s="45">
        <v>108.40178200000001</v>
      </c>
      <c r="FW44" s="45">
        <v>109.16074803999999</v>
      </c>
      <c r="FX44" s="45">
        <v>116.11206618999999</v>
      </c>
      <c r="FY44" s="45">
        <v>128.98489499000002</v>
      </c>
      <c r="FZ44" s="45">
        <v>120.83241036000018</v>
      </c>
      <c r="GA44" s="45">
        <v>111.06958259000004</v>
      </c>
      <c r="GB44" s="45">
        <v>115.54799667999988</v>
      </c>
      <c r="GC44" s="45">
        <v>118.86468891000008</v>
      </c>
      <c r="GD44" s="45">
        <v>130.91201530999996</v>
      </c>
      <c r="GE44" s="45">
        <v>204.43519345000027</v>
      </c>
      <c r="GF44" s="45">
        <f t="shared" si="14"/>
        <v>1423.6984192100003</v>
      </c>
      <c r="GG44" s="45">
        <v>1423.6981579999999</v>
      </c>
      <c r="GH44" s="45">
        <v>62.349301179999955</v>
      </c>
      <c r="GI44" s="45">
        <v>121.52836509000002</v>
      </c>
      <c r="GJ44" s="45">
        <v>126.03130170000017</v>
      </c>
      <c r="GK44" s="45">
        <v>126.60806038000004</v>
      </c>
      <c r="GL44" s="45">
        <v>131.94591393000007</v>
      </c>
      <c r="GM44" s="45">
        <v>140.64690449999981</v>
      </c>
      <c r="GN44" s="45">
        <v>137.09877800000001</v>
      </c>
      <c r="GO44" s="45">
        <v>120.72855180000009</v>
      </c>
      <c r="GP44" s="45">
        <v>122.251811</v>
      </c>
      <c r="GQ44" s="45">
        <v>130.18975</v>
      </c>
      <c r="GR44" s="45">
        <v>137.24124911000004</v>
      </c>
      <c r="GS44" s="45">
        <v>208.3590036100002</v>
      </c>
      <c r="GT44" s="45">
        <f t="shared" si="20"/>
        <v>1564.9789903000005</v>
      </c>
      <c r="GU44" s="45">
        <v>1564.9435370000001</v>
      </c>
      <c r="GV44" s="45">
        <v>74.258286509999877</v>
      </c>
      <c r="GW44" s="45">
        <v>134.18563336000017</v>
      </c>
      <c r="GX44" s="45">
        <v>135.33910099999994</v>
      </c>
      <c r="GY44" s="45">
        <v>154.17026899999993</v>
      </c>
      <c r="GZ44" s="45">
        <v>132.04033519000001</v>
      </c>
      <c r="HA44" s="45">
        <v>151.01774669000005</v>
      </c>
      <c r="HB44" s="45">
        <v>154.37046052000008</v>
      </c>
      <c r="HC44" s="45">
        <v>135.46574464000017</v>
      </c>
      <c r="HD44" s="45">
        <v>132.43033280000009</v>
      </c>
      <c r="HE44" s="45">
        <v>141.31215991000002</v>
      </c>
      <c r="HF44" s="45">
        <v>146.99091634000015</v>
      </c>
      <c r="HG44" s="45">
        <v>226.42640800000001</v>
      </c>
      <c r="HH44" s="45">
        <f t="shared" si="15"/>
        <v>1718.0073939600006</v>
      </c>
      <c r="HI44" s="45">
        <v>76.029661780000012</v>
      </c>
      <c r="HJ44" s="45">
        <v>136.66500898000001</v>
      </c>
      <c r="HK44" s="45">
        <v>140.17195056000008</v>
      </c>
      <c r="HL44" s="45">
        <v>150.80510427000007</v>
      </c>
      <c r="HM44" s="45"/>
      <c r="HN44" s="45"/>
      <c r="HO44" s="45"/>
      <c r="HP44" s="45"/>
      <c r="HQ44" s="45"/>
      <c r="HR44" s="45"/>
      <c r="HS44" s="45"/>
      <c r="HT44" s="45"/>
      <c r="HU44" s="283">
        <f t="shared" si="16"/>
        <v>497.95328999999998</v>
      </c>
      <c r="HV44" s="283">
        <f t="shared" si="17"/>
        <v>503.67172599999998</v>
      </c>
      <c r="HW44" s="280">
        <f t="shared" si="30"/>
        <v>5.718435999999997</v>
      </c>
      <c r="HX44" s="280">
        <f t="shared" si="31"/>
        <v>1.1483880345483755</v>
      </c>
    </row>
    <row r="45" spans="1:232" s="12" customFormat="1" ht="20.5">
      <c r="A45" s="77" t="s">
        <v>125</v>
      </c>
      <c r="B45" s="13">
        <v>1200</v>
      </c>
      <c r="C45" s="77" t="s">
        <v>126</v>
      </c>
      <c r="D45" s="42">
        <v>294.37883392809374</v>
      </c>
      <c r="E45" s="42">
        <v>353.82299047814189</v>
      </c>
      <c r="F45" s="42">
        <v>249.14678203311308</v>
      </c>
      <c r="G45" s="42">
        <v>195.44096789432047</v>
      </c>
      <c r="H45" s="42">
        <v>10.193194631789234</v>
      </c>
      <c r="I45" s="42">
        <v>15.414403930541091</v>
      </c>
      <c r="J45" s="42">
        <v>16.392865464624563</v>
      </c>
      <c r="K45" s="42">
        <v>15.059112597537863</v>
      </c>
      <c r="L45" s="42">
        <v>15.595668052543811</v>
      </c>
      <c r="M45" s="42">
        <v>15.846750189241956</v>
      </c>
      <c r="N45" s="42">
        <v>17.738777810029543</v>
      </c>
      <c r="O45" s="42">
        <v>15.347990335854663</v>
      </c>
      <c r="P45" s="42">
        <v>15.350488898754133</v>
      </c>
      <c r="Q45" s="42">
        <v>15.962171131638408</v>
      </c>
      <c r="R45" s="42">
        <v>16.526972171473126</v>
      </c>
      <c r="S45" s="42">
        <v>24.308871107734159</v>
      </c>
      <c r="T45" s="42">
        <v>193.73726632176252</v>
      </c>
      <c r="U45" s="42">
        <v>193.73573144148301</v>
      </c>
      <c r="V45" s="42">
        <v>10.248507407470646</v>
      </c>
      <c r="W45" s="42">
        <v>16.046613266287615</v>
      </c>
      <c r="X45" s="42">
        <v>16.765673872089515</v>
      </c>
      <c r="Y45" s="42">
        <v>16.904248979800911</v>
      </c>
      <c r="Z45" s="42">
        <v>16.789305410896922</v>
      </c>
      <c r="AA45" s="42">
        <v>17.905147096487781</v>
      </c>
      <c r="AB45" s="42">
        <v>18.87689882243129</v>
      </c>
      <c r="AC45" s="42">
        <v>17.646693815060814</v>
      </c>
      <c r="AD45" s="42">
        <v>16.35365194278917</v>
      </c>
      <c r="AE45" s="42">
        <v>16.741891181609667</v>
      </c>
      <c r="AF45" s="42">
        <v>18.169381506081354</v>
      </c>
      <c r="AG45" s="42">
        <v>21.432129014632814</v>
      </c>
      <c r="AH45" s="42">
        <v>203.88014231563847</v>
      </c>
      <c r="AI45" s="42">
        <v>203.86850245587672</v>
      </c>
      <c r="AJ45" s="42">
        <v>11.493444829568414</v>
      </c>
      <c r="AK45" s="42">
        <v>17.454643115292455</v>
      </c>
      <c r="AL45" s="42">
        <v>16.773498727952603</v>
      </c>
      <c r="AM45" s="42">
        <v>17.101889730280419</v>
      </c>
      <c r="AN45" s="42">
        <v>17.211196834394794</v>
      </c>
      <c r="AO45" s="42">
        <v>18.627429553616654</v>
      </c>
      <c r="AP45" s="42">
        <v>21.122581829357831</v>
      </c>
      <c r="AQ45" s="42">
        <v>19.054956958127729</v>
      </c>
      <c r="AR45" s="42">
        <v>17.026522330550193</v>
      </c>
      <c r="AS45" s="42">
        <v>17.248382194751308</v>
      </c>
      <c r="AT45" s="42">
        <v>18.708927382314272</v>
      </c>
      <c r="AU45" s="42">
        <v>24.414769978543095</v>
      </c>
      <c r="AV45" s="42">
        <v>216.23824346474976</v>
      </c>
      <c r="AW45" s="42">
        <v>216.22004997125799</v>
      </c>
      <c r="AX45" s="42">
        <v>13.882464000000001</v>
      </c>
      <c r="AY45" s="42">
        <v>18.628344999999999</v>
      </c>
      <c r="AZ45" s="42">
        <v>18.00427586</v>
      </c>
      <c r="BA45" s="42">
        <v>18.751932780000001</v>
      </c>
      <c r="BB45" s="42">
        <v>18.32059739999999</v>
      </c>
      <c r="BC45" s="42">
        <v>20.640123439999996</v>
      </c>
      <c r="BD45" s="42">
        <v>21.993437849999992</v>
      </c>
      <c r="BE45" s="42">
        <v>20.185553780000003</v>
      </c>
      <c r="BF45" s="42">
        <v>19.076607239999994</v>
      </c>
      <c r="BG45" s="42">
        <v>18.915965320000005</v>
      </c>
      <c r="BH45" s="42">
        <v>20.34399350999999</v>
      </c>
      <c r="BI45" s="42">
        <v>27.384125669999985</v>
      </c>
      <c r="BJ45" s="45">
        <f t="shared" si="28"/>
        <v>236.12742184999993</v>
      </c>
      <c r="BK45" s="42">
        <v>236.09743599999999</v>
      </c>
      <c r="BL45" s="42">
        <v>13.667483320000004</v>
      </c>
      <c r="BM45" s="42">
        <v>20.058100349999986</v>
      </c>
      <c r="BN45" s="42">
        <v>20.888902329999993</v>
      </c>
      <c r="BO45" s="42">
        <v>20.025377219999992</v>
      </c>
      <c r="BP45" s="42">
        <v>20.576016079999999</v>
      </c>
      <c r="BQ45" s="42">
        <v>22.574697959999995</v>
      </c>
      <c r="BR45" s="42">
        <v>25.819633389999989</v>
      </c>
      <c r="BS45" s="42">
        <v>23.014044869999989</v>
      </c>
      <c r="BT45" s="42">
        <v>20.401031060000005</v>
      </c>
      <c r="BU45" s="42">
        <v>20.206891610000007</v>
      </c>
      <c r="BV45" s="42">
        <v>20.296142189999948</v>
      </c>
      <c r="BW45" s="42">
        <v>27.165476100000006</v>
      </c>
      <c r="BX45" s="45">
        <f t="shared" si="4"/>
        <v>254.69379647999995</v>
      </c>
      <c r="BY45" s="45">
        <v>254.69585900000001</v>
      </c>
      <c r="BZ45" s="45">
        <v>14.290588639999985</v>
      </c>
      <c r="CA45" s="45">
        <v>20.400010829999989</v>
      </c>
      <c r="CB45" s="45">
        <v>21.679847399999975</v>
      </c>
      <c r="CC45" s="45">
        <v>21.657899539999999</v>
      </c>
      <c r="CD45" s="45">
        <v>21.640113140000018</v>
      </c>
      <c r="CE45" s="45">
        <v>23.842211569999996</v>
      </c>
      <c r="CF45" s="45">
        <v>25.719824260000038</v>
      </c>
      <c r="CG45" s="45">
        <v>23.688226149999998</v>
      </c>
      <c r="CH45" s="45">
        <v>22.347207529999963</v>
      </c>
      <c r="CI45" s="45">
        <v>21.292111880000018</v>
      </c>
      <c r="CJ45" s="45">
        <v>21.325935879999996</v>
      </c>
      <c r="CK45" s="45">
        <v>34.645186050000028</v>
      </c>
      <c r="CL45" s="45">
        <f t="shared" si="5"/>
        <v>272.52916286999999</v>
      </c>
      <c r="CM45" s="45">
        <v>272.58036700000002</v>
      </c>
      <c r="CN45" s="45">
        <v>15.193311740000008</v>
      </c>
      <c r="CO45" s="45">
        <v>22.601342479999989</v>
      </c>
      <c r="CP45" s="45">
        <v>24.110860149999997</v>
      </c>
      <c r="CQ45" s="45">
        <v>24.181505129999977</v>
      </c>
      <c r="CR45" s="45">
        <v>24.067786539999954</v>
      </c>
      <c r="CS45" s="45">
        <v>25.686142069999985</v>
      </c>
      <c r="CT45" s="45">
        <v>28.632528880000017</v>
      </c>
      <c r="CU45" s="45">
        <v>27.365081149999984</v>
      </c>
      <c r="CV45" s="45">
        <v>25.792803160000002</v>
      </c>
      <c r="CW45" s="45">
        <v>23.340995169999996</v>
      </c>
      <c r="CX45" s="45">
        <v>25.506166239999995</v>
      </c>
      <c r="CY45" s="45">
        <v>36.596872770000012</v>
      </c>
      <c r="CZ45" s="45">
        <f t="shared" si="6"/>
        <v>303.07539547999988</v>
      </c>
      <c r="DA45" s="45">
        <v>303.08186599999999</v>
      </c>
      <c r="DB45" s="45">
        <v>14.625268159999997</v>
      </c>
      <c r="DC45" s="45">
        <v>24.537742330000011</v>
      </c>
      <c r="DD45" s="45">
        <v>25.723901429999991</v>
      </c>
      <c r="DE45" s="45">
        <v>26.50250638</v>
      </c>
      <c r="DF45" s="45">
        <v>26.519244529999998</v>
      </c>
      <c r="DG45" s="45">
        <v>29.888622179999956</v>
      </c>
      <c r="DH45" s="45">
        <v>30.752608819999995</v>
      </c>
      <c r="DI45" s="45">
        <v>30.591999069999989</v>
      </c>
      <c r="DJ45" s="45">
        <v>27.57056846</v>
      </c>
      <c r="DK45" s="45">
        <v>25.494310829999975</v>
      </c>
      <c r="DL45" s="45">
        <v>28.586593149999988</v>
      </c>
      <c r="DM45" s="45">
        <v>40.980303879999958</v>
      </c>
      <c r="DN45" s="45">
        <f t="shared" si="7"/>
        <v>331.77366921999987</v>
      </c>
      <c r="DO45" s="45">
        <v>331.76823000000002</v>
      </c>
      <c r="DP45" s="45">
        <v>42.028650789999993</v>
      </c>
      <c r="DQ45" s="45">
        <v>34.912959930000035</v>
      </c>
      <c r="DR45" s="45">
        <v>27.48239678999996</v>
      </c>
      <c r="DS45" s="45">
        <v>28.70720794</v>
      </c>
      <c r="DT45" s="45">
        <v>28.486285440000028</v>
      </c>
      <c r="DU45" s="45">
        <v>31.285923739999976</v>
      </c>
      <c r="DV45" s="45">
        <v>32.578698969999984</v>
      </c>
      <c r="DW45" s="45">
        <v>32.016829270000017</v>
      </c>
      <c r="DX45" s="45">
        <v>29.365934029999988</v>
      </c>
      <c r="DY45" s="45">
        <v>28.356648890000006</v>
      </c>
      <c r="DZ45" s="45">
        <v>29.787747480000004</v>
      </c>
      <c r="EA45" s="45">
        <v>42.422381309999935</v>
      </c>
      <c r="EB45" s="45">
        <f t="shared" si="10"/>
        <v>387.43166457999996</v>
      </c>
      <c r="EC45" s="45">
        <v>387.42649</v>
      </c>
      <c r="ED45" s="45">
        <v>18.920602559999999</v>
      </c>
      <c r="EE45" s="45">
        <v>28.511005000000001</v>
      </c>
      <c r="EF45" s="45">
        <v>29.297452959999994</v>
      </c>
      <c r="EG45" s="45">
        <v>32.235610799999975</v>
      </c>
      <c r="EH45" s="45">
        <v>28.907123969999979</v>
      </c>
      <c r="EI45" s="45">
        <v>32.020251139999964</v>
      </c>
      <c r="EJ45" s="45">
        <v>34.985865139999966</v>
      </c>
      <c r="EK45" s="45">
        <v>33.999427869999998</v>
      </c>
      <c r="EL45" s="45">
        <v>32.195699909999995</v>
      </c>
      <c r="EM45" s="45">
        <v>29.320122100000017</v>
      </c>
      <c r="EN45" s="45">
        <v>30.680422719999999</v>
      </c>
      <c r="EO45" s="45">
        <v>45.674095010000045</v>
      </c>
      <c r="EP45" s="45">
        <f t="shared" si="11"/>
        <v>376.74767917999992</v>
      </c>
      <c r="EQ45" s="45">
        <v>376.73355400000003</v>
      </c>
      <c r="ER45" s="45">
        <v>18.170796729999985</v>
      </c>
      <c r="ES45" s="45">
        <v>29.860491289999988</v>
      </c>
      <c r="ET45" s="45">
        <v>30.73435833000001</v>
      </c>
      <c r="EU45" s="45">
        <v>32.806987819999989</v>
      </c>
      <c r="EV45" s="45">
        <v>31.929920240000019</v>
      </c>
      <c r="EW45" s="45">
        <v>35.51260237000001</v>
      </c>
      <c r="EX45" s="45">
        <v>36.839214340000055</v>
      </c>
      <c r="EY45" s="45">
        <v>36.909594489999989</v>
      </c>
      <c r="EZ45" s="45">
        <v>34.895531570000003</v>
      </c>
      <c r="FA45" s="45">
        <v>31.257300999999998</v>
      </c>
      <c r="FB45" s="45">
        <v>33.762183450000016</v>
      </c>
      <c r="FC45" s="45">
        <v>48.494512049999997</v>
      </c>
      <c r="FD45" s="45">
        <f t="shared" si="12"/>
        <v>401.17349367999998</v>
      </c>
      <c r="FE45" s="45">
        <v>401.17559699999998</v>
      </c>
      <c r="FF45" s="45">
        <v>22.335804740000007</v>
      </c>
      <c r="FG45" s="45">
        <v>31.890226699999999</v>
      </c>
      <c r="FH45" s="45">
        <v>30.999088479999998</v>
      </c>
      <c r="FI45" s="45">
        <v>34.318061650000004</v>
      </c>
      <c r="FJ45" s="45">
        <v>34.840928040000037</v>
      </c>
      <c r="FK45" s="45">
        <v>36.423739360000042</v>
      </c>
      <c r="FL45" s="45">
        <v>39.509917889999997</v>
      </c>
      <c r="FM45" s="45">
        <v>38.785217920000022</v>
      </c>
      <c r="FN45" s="45">
        <v>38.798847920000028</v>
      </c>
      <c r="FO45" s="45">
        <v>34.829384099999992</v>
      </c>
      <c r="FP45" s="45">
        <v>37.28685796000007</v>
      </c>
      <c r="FQ45" s="45">
        <v>59.006158769999978</v>
      </c>
      <c r="FR45" s="45">
        <f t="shared" si="13"/>
        <v>439.02423353000012</v>
      </c>
      <c r="FS45" s="45">
        <v>439.00124899999997</v>
      </c>
      <c r="FT45" s="45">
        <v>23.010219000000006</v>
      </c>
      <c r="FU45" s="45">
        <v>36.449662440000019</v>
      </c>
      <c r="FV45" s="45">
        <v>37.455663999999999</v>
      </c>
      <c r="FW45" s="45">
        <v>38.751752570000029</v>
      </c>
      <c r="FX45" s="45">
        <v>40.116259500000005</v>
      </c>
      <c r="FY45" s="45">
        <v>44.085732240000041</v>
      </c>
      <c r="FZ45" s="45">
        <v>44.780574120000033</v>
      </c>
      <c r="GA45" s="45">
        <v>45.886081750000066</v>
      </c>
      <c r="GB45" s="45">
        <v>43.68530956</v>
      </c>
      <c r="GC45" s="45">
        <v>42.278771629999959</v>
      </c>
      <c r="GD45" s="45">
        <v>43.992327300000021</v>
      </c>
      <c r="GE45" s="45">
        <v>68.858090239999939</v>
      </c>
      <c r="GF45" s="45">
        <f t="shared" si="14"/>
        <v>509.35044435000009</v>
      </c>
      <c r="GG45" s="45">
        <v>509.348635</v>
      </c>
      <c r="GH45" s="45">
        <v>53.443970249999978</v>
      </c>
      <c r="GI45" s="45">
        <v>50.538503089999949</v>
      </c>
      <c r="GJ45" s="45">
        <v>44.364694520000008</v>
      </c>
      <c r="GK45" s="45">
        <v>45.26405590000001</v>
      </c>
      <c r="GL45" s="45">
        <v>46.481318000000023</v>
      </c>
      <c r="GM45" s="45">
        <v>49.389834909999983</v>
      </c>
      <c r="GN45" s="45">
        <v>52.213102999999997</v>
      </c>
      <c r="GO45" s="45">
        <v>53.410343239999975</v>
      </c>
      <c r="GP45" s="45">
        <v>47.733848999999999</v>
      </c>
      <c r="GQ45" s="45">
        <v>47.039603</v>
      </c>
      <c r="GR45" s="45">
        <v>48.040759449999989</v>
      </c>
      <c r="GS45" s="45">
        <v>71.06377513999999</v>
      </c>
      <c r="GT45" s="45">
        <f t="shared" si="20"/>
        <v>608.98380949999989</v>
      </c>
      <c r="GU45" s="45">
        <v>608.99006999999995</v>
      </c>
      <c r="GV45" s="45">
        <v>29.473195130000022</v>
      </c>
      <c r="GW45" s="45">
        <v>48.064756359999983</v>
      </c>
      <c r="GX45" s="45">
        <v>48.437263999999999</v>
      </c>
      <c r="GY45" s="45">
        <v>52.016437000000003</v>
      </c>
      <c r="GZ45" s="45">
        <v>49.659770139999964</v>
      </c>
      <c r="HA45" s="45">
        <v>54.26406656000001</v>
      </c>
      <c r="HB45" s="45">
        <v>56.776606909999963</v>
      </c>
      <c r="HC45" s="45">
        <v>58.949567319999971</v>
      </c>
      <c r="HD45" s="45">
        <v>53.771287540000024</v>
      </c>
      <c r="HE45" s="45">
        <v>52.338282440000064</v>
      </c>
      <c r="HF45" s="45">
        <v>50.27218002</v>
      </c>
      <c r="HG45" s="45">
        <v>82.196485999999993</v>
      </c>
      <c r="HH45" s="45">
        <f t="shared" si="15"/>
        <v>636.21989941999982</v>
      </c>
      <c r="HI45" s="45">
        <v>30.58988656999999</v>
      </c>
      <c r="HJ45" s="45">
        <v>48.615420460000031</v>
      </c>
      <c r="HK45" s="45">
        <v>49.422752199999984</v>
      </c>
      <c r="HL45" s="45">
        <v>54.722651610000057</v>
      </c>
      <c r="HM45" s="45"/>
      <c r="HN45" s="45"/>
      <c r="HO45" s="45"/>
      <c r="HP45" s="45"/>
      <c r="HQ45" s="45"/>
      <c r="HR45" s="45"/>
      <c r="HS45" s="45"/>
      <c r="HT45" s="45"/>
      <c r="HU45" s="283">
        <f t="shared" si="16"/>
        <v>177.99165199999999</v>
      </c>
      <c r="HV45" s="283">
        <f t="shared" si="17"/>
        <v>183.35071099999999</v>
      </c>
      <c r="HW45" s="280">
        <f t="shared" si="30"/>
        <v>5.359059000000002</v>
      </c>
      <c r="HX45" s="280">
        <f t="shared" si="31"/>
        <v>3.0108485087828853</v>
      </c>
    </row>
    <row r="46" spans="1:232" s="12" customFormat="1" ht="20.5">
      <c r="A46" s="47" t="s">
        <v>127</v>
      </c>
      <c r="B46" s="13">
        <v>2000</v>
      </c>
      <c r="C46" s="47" t="s">
        <v>128</v>
      </c>
      <c r="D46" s="42">
        <v>674.91015560526125</v>
      </c>
      <c r="E46" s="42">
        <v>736.35403042669088</v>
      </c>
      <c r="F46" s="42">
        <v>555.32567116863311</v>
      </c>
      <c r="G46" s="42">
        <v>580.15003471807222</v>
      </c>
      <c r="H46" s="42">
        <v>40.050641146037876</v>
      </c>
      <c r="I46" s="42">
        <v>46.25982253942778</v>
      </c>
      <c r="J46" s="42">
        <v>46.395354551197784</v>
      </c>
      <c r="K46" s="42">
        <v>43.564193260140812</v>
      </c>
      <c r="L46" s="42">
        <v>40.938030574669469</v>
      </c>
      <c r="M46" s="42">
        <v>45.396777764497635</v>
      </c>
      <c r="N46" s="42">
        <v>43.263769130511498</v>
      </c>
      <c r="O46" s="42">
        <v>42.423879203874762</v>
      </c>
      <c r="P46" s="42">
        <v>48.945893876528885</v>
      </c>
      <c r="Q46" s="42">
        <v>49.649914172372384</v>
      </c>
      <c r="R46" s="42">
        <v>57.967897009692607</v>
      </c>
      <c r="S46" s="42">
        <v>99.785490321625957</v>
      </c>
      <c r="T46" s="42">
        <v>604.6416635505775</v>
      </c>
      <c r="U46" s="42">
        <v>603.90988810536089</v>
      </c>
      <c r="V46" s="42">
        <v>38.300396696660805</v>
      </c>
      <c r="W46" s="42">
        <v>46.219359351967263</v>
      </c>
      <c r="X46" s="42">
        <v>47.711050620087541</v>
      </c>
      <c r="Y46" s="42">
        <v>46.217560315536055</v>
      </c>
      <c r="Z46" s="42">
        <v>43.652639626410775</v>
      </c>
      <c r="AA46" s="42">
        <v>43.460266304688083</v>
      </c>
      <c r="AB46" s="42">
        <v>42.948210311836583</v>
      </c>
      <c r="AC46" s="42">
        <v>43.820063630827377</v>
      </c>
      <c r="AD46" s="42">
        <v>42.711812966346244</v>
      </c>
      <c r="AE46" s="42">
        <v>49.746868358745822</v>
      </c>
      <c r="AF46" s="42">
        <v>57.327994718299848</v>
      </c>
      <c r="AG46" s="42">
        <v>81.797291990370013</v>
      </c>
      <c r="AH46" s="42">
        <v>583.91351489177646</v>
      </c>
      <c r="AI46" s="42">
        <v>583.53267340538764</v>
      </c>
      <c r="AJ46" s="42">
        <v>44.016811230442627</v>
      </c>
      <c r="AK46" s="42">
        <v>43.81346435136966</v>
      </c>
      <c r="AL46" s="42">
        <v>47.605758447589942</v>
      </c>
      <c r="AM46" s="42">
        <v>46.614611143362879</v>
      </c>
      <c r="AN46" s="42">
        <v>45.649143872260268</v>
      </c>
      <c r="AO46" s="42">
        <v>54.677524316879243</v>
      </c>
      <c r="AP46" s="42">
        <v>45.983111934479602</v>
      </c>
      <c r="AQ46" s="42">
        <v>50.041261447003713</v>
      </c>
      <c r="AR46" s="42">
        <v>50.888516570765113</v>
      </c>
      <c r="AS46" s="42">
        <v>47.360473190249351</v>
      </c>
      <c r="AT46" s="42">
        <v>53.139367448107869</v>
      </c>
      <c r="AU46" s="42">
        <v>75.66604344881361</v>
      </c>
      <c r="AV46" s="42">
        <v>605.45608740132388</v>
      </c>
      <c r="AW46" s="42">
        <v>604.41677622779605</v>
      </c>
      <c r="AX46" s="42">
        <v>45.191903000000003</v>
      </c>
      <c r="AY46" s="42">
        <v>45.757229000000002</v>
      </c>
      <c r="AZ46" s="42">
        <v>44.934675370000001</v>
      </c>
      <c r="BA46" s="42">
        <v>47.359309580000001</v>
      </c>
      <c r="BB46" s="42">
        <v>45.831828689999995</v>
      </c>
      <c r="BC46" s="42">
        <v>57.077550619999997</v>
      </c>
      <c r="BD46" s="42">
        <v>50.152244490000001</v>
      </c>
      <c r="BE46" s="42">
        <v>44.55327406</v>
      </c>
      <c r="BF46" s="42">
        <v>44.527568099999954</v>
      </c>
      <c r="BG46" s="42">
        <v>52.89525196999994</v>
      </c>
      <c r="BH46" s="42">
        <v>53.350996139999872</v>
      </c>
      <c r="BI46" s="42">
        <v>94.277616560000169</v>
      </c>
      <c r="BJ46" s="45">
        <f t="shared" si="28"/>
        <v>625.90944757999989</v>
      </c>
      <c r="BK46" s="42">
        <v>623.62563699999998</v>
      </c>
      <c r="BL46" s="42">
        <v>48.982783579999925</v>
      </c>
      <c r="BM46" s="42">
        <v>52.426995010000041</v>
      </c>
      <c r="BN46" s="42">
        <v>53.093833880000062</v>
      </c>
      <c r="BO46" s="42">
        <v>48.761542579999904</v>
      </c>
      <c r="BP46" s="42">
        <v>47.975923070000071</v>
      </c>
      <c r="BQ46" s="42">
        <v>62.527678610000159</v>
      </c>
      <c r="BR46" s="42">
        <v>51.791967499999835</v>
      </c>
      <c r="BS46" s="42">
        <v>45.36658177000006</v>
      </c>
      <c r="BT46" s="42">
        <v>50.718456550000006</v>
      </c>
      <c r="BU46" s="42">
        <v>47.135945040000117</v>
      </c>
      <c r="BV46" s="42">
        <v>49.312936250000021</v>
      </c>
      <c r="BW46" s="42">
        <v>108.63858032000009</v>
      </c>
      <c r="BX46" s="45">
        <f t="shared" si="4"/>
        <v>666.7332241600003</v>
      </c>
      <c r="BY46" s="45">
        <v>665.71941100000004</v>
      </c>
      <c r="BZ46" s="45">
        <v>44.908433749999972</v>
      </c>
      <c r="CA46" s="45">
        <v>48.812508010000137</v>
      </c>
      <c r="CB46" s="45">
        <v>56.036115470000141</v>
      </c>
      <c r="CC46" s="45">
        <v>48.19634187999997</v>
      </c>
      <c r="CD46" s="45">
        <v>46.820573490000093</v>
      </c>
      <c r="CE46" s="45">
        <v>53.42993019</v>
      </c>
      <c r="CF46" s="45">
        <v>53.046742399999978</v>
      </c>
      <c r="CG46" s="45">
        <v>48.678673470000149</v>
      </c>
      <c r="CH46" s="45">
        <v>48.298526519999925</v>
      </c>
      <c r="CI46" s="45">
        <v>62.913269230000019</v>
      </c>
      <c r="CJ46" s="45">
        <v>64.266323990000004</v>
      </c>
      <c r="CK46" s="45">
        <v>102.20416558000024</v>
      </c>
      <c r="CL46" s="45">
        <f t="shared" si="5"/>
        <v>677.61160398000061</v>
      </c>
      <c r="CM46" s="45">
        <v>675.99185699999998</v>
      </c>
      <c r="CN46" s="45">
        <v>55.49344696</v>
      </c>
      <c r="CO46" s="45">
        <v>56.311637690000019</v>
      </c>
      <c r="CP46" s="45">
        <v>51.632965449999993</v>
      </c>
      <c r="CQ46" s="45">
        <v>63.696314639999947</v>
      </c>
      <c r="CR46" s="45">
        <v>53.42944611999998</v>
      </c>
      <c r="CS46" s="45">
        <v>55.12317668</v>
      </c>
      <c r="CT46" s="45">
        <v>54.42353230999997</v>
      </c>
      <c r="CU46" s="45">
        <v>51.668524479999974</v>
      </c>
      <c r="CV46" s="45">
        <v>55.467351400000034</v>
      </c>
      <c r="CW46" s="45">
        <v>60.478244970000013</v>
      </c>
      <c r="CX46" s="45">
        <v>66.713708390000136</v>
      </c>
      <c r="CY46" s="45">
        <v>123.82944204</v>
      </c>
      <c r="CZ46" s="45">
        <f t="shared" si="6"/>
        <v>748.26779112999998</v>
      </c>
      <c r="DA46" s="45">
        <v>747.45406800000001</v>
      </c>
      <c r="DB46" s="45">
        <v>63.63902801000004</v>
      </c>
      <c r="DC46" s="45">
        <v>53.17032482999997</v>
      </c>
      <c r="DD46" s="45">
        <v>57.835964700000076</v>
      </c>
      <c r="DE46" s="45">
        <v>64.169196490000076</v>
      </c>
      <c r="DF46" s="45">
        <v>67.640275979999927</v>
      </c>
      <c r="DG46" s="45">
        <v>75.793607010000002</v>
      </c>
      <c r="DH46" s="45">
        <v>68.833764620000252</v>
      </c>
      <c r="DI46" s="45">
        <v>59.525989980000027</v>
      </c>
      <c r="DJ46" s="45">
        <v>71.816498710000033</v>
      </c>
      <c r="DK46" s="45">
        <v>72.634321489999977</v>
      </c>
      <c r="DL46" s="45">
        <v>117.65470349000023</v>
      </c>
      <c r="DM46" s="45">
        <v>156.68762303000071</v>
      </c>
      <c r="DN46" s="45">
        <f t="shared" si="7"/>
        <v>929.40129834000129</v>
      </c>
      <c r="DO46" s="45">
        <v>928.48356999999999</v>
      </c>
      <c r="DP46" s="45">
        <v>61.031082039999944</v>
      </c>
      <c r="DQ46" s="45">
        <v>63.775529360000078</v>
      </c>
      <c r="DR46" s="45">
        <v>61.275943759999997</v>
      </c>
      <c r="DS46" s="45">
        <v>60.868586920000041</v>
      </c>
      <c r="DT46" s="45">
        <v>65.101782180000043</v>
      </c>
      <c r="DU46" s="45">
        <v>61.913409680000122</v>
      </c>
      <c r="DV46" s="45">
        <v>66.352169460000141</v>
      </c>
      <c r="DW46" s="45">
        <v>66.084066730000146</v>
      </c>
      <c r="DX46" s="45">
        <v>60.093631580000007</v>
      </c>
      <c r="DY46" s="45">
        <v>80.596493680000108</v>
      </c>
      <c r="DZ46" s="45">
        <v>88.176543670000029</v>
      </c>
      <c r="EA46" s="45">
        <v>145.30791076000077</v>
      </c>
      <c r="EB46" s="45">
        <f t="shared" si="10"/>
        <v>880.5771498200013</v>
      </c>
      <c r="EC46" s="45">
        <v>879.25110400000005</v>
      </c>
      <c r="ED46" s="45">
        <v>63.853550090000034</v>
      </c>
      <c r="EE46" s="45">
        <v>57.811095999999999</v>
      </c>
      <c r="EF46" s="45">
        <v>63.234882079999878</v>
      </c>
      <c r="EG46" s="45">
        <v>59.93250738000004</v>
      </c>
      <c r="EH46" s="45">
        <v>59.700671</v>
      </c>
      <c r="EI46" s="45">
        <v>70.052453429999957</v>
      </c>
      <c r="EJ46" s="45">
        <v>97.175639950000146</v>
      </c>
      <c r="EK46" s="45">
        <v>61.886454000000001</v>
      </c>
      <c r="EL46" s="45">
        <v>65.211243070000023</v>
      </c>
      <c r="EM46" s="45">
        <v>77.111439000000004</v>
      </c>
      <c r="EN46" s="45">
        <v>76.993655229999845</v>
      </c>
      <c r="EO46" s="45">
        <v>150.88098299999999</v>
      </c>
      <c r="EP46" s="45">
        <f t="shared" si="11"/>
        <v>903.84457422999992</v>
      </c>
      <c r="EQ46" s="45">
        <v>902.31987200000003</v>
      </c>
      <c r="ER46" s="45">
        <v>52.120332669999925</v>
      </c>
      <c r="ES46" s="45">
        <v>59.698090000000015</v>
      </c>
      <c r="ET46" s="45">
        <v>68.019855169999502</v>
      </c>
      <c r="EU46" s="45">
        <v>70.909109000000015</v>
      </c>
      <c r="EV46" s="45">
        <v>67.105823999999998</v>
      </c>
      <c r="EW46" s="45">
        <v>83.540098999999884</v>
      </c>
      <c r="EX46" s="45">
        <v>75.897790999999927</v>
      </c>
      <c r="EY46" s="45">
        <v>67.651454170002495</v>
      </c>
      <c r="EZ46" s="45">
        <v>83.807494919999868</v>
      </c>
      <c r="FA46" s="45">
        <v>71.646992999999995</v>
      </c>
      <c r="FB46" s="45">
        <v>95.831738999999985</v>
      </c>
      <c r="FC46" s="45">
        <v>178.77008000000001</v>
      </c>
      <c r="FD46" s="45">
        <f t="shared" si="12"/>
        <v>974.99886193000145</v>
      </c>
      <c r="FE46" s="45">
        <v>973.399629</v>
      </c>
      <c r="FF46" s="45">
        <v>79.584351020000071</v>
      </c>
      <c r="FG46" s="45">
        <v>78.460952420000041</v>
      </c>
      <c r="FH46" s="45">
        <v>87.697837380000081</v>
      </c>
      <c r="FI46" s="45">
        <v>82.142871</v>
      </c>
      <c r="FJ46" s="45">
        <v>92.535631300000006</v>
      </c>
      <c r="FK46" s="45">
        <v>86.341273629999904</v>
      </c>
      <c r="FL46" s="45">
        <v>87.652863999999994</v>
      </c>
      <c r="FM46" s="45">
        <v>78.695801000000003</v>
      </c>
      <c r="FN46" s="45">
        <v>281.30751900000001</v>
      </c>
      <c r="FO46" s="45">
        <v>317.94695300000001</v>
      </c>
      <c r="FP46" s="45">
        <v>94.242698790000091</v>
      </c>
      <c r="FQ46" s="45">
        <v>226.42170999999999</v>
      </c>
      <c r="FR46" s="45">
        <f t="shared" si="13"/>
        <v>1593.0304625400001</v>
      </c>
      <c r="FS46" s="45">
        <v>1591.5541089999999</v>
      </c>
      <c r="FT46" s="45">
        <v>83.80408169999987</v>
      </c>
      <c r="FU46" s="45">
        <v>82.773398290000188</v>
      </c>
      <c r="FV46" s="45">
        <v>99.210122999999996</v>
      </c>
      <c r="FW46" s="45">
        <v>85.796821129999998</v>
      </c>
      <c r="FX46" s="45">
        <v>85.436155999999997</v>
      </c>
      <c r="FY46" s="45">
        <v>93.515320740000064</v>
      </c>
      <c r="FZ46" s="45">
        <v>93.996297719999873</v>
      </c>
      <c r="GA46" s="45">
        <v>97.259212260000012</v>
      </c>
      <c r="GB46" s="45">
        <v>109.10333036000004</v>
      </c>
      <c r="GC46" s="45">
        <v>111.64705916000023</v>
      </c>
      <c r="GD46" s="45">
        <v>105.8119883300001</v>
      </c>
      <c r="GE46" s="45">
        <v>437.04850499999998</v>
      </c>
      <c r="GF46" s="45">
        <f t="shared" si="14"/>
        <v>1485.4022936900005</v>
      </c>
      <c r="GG46" s="45">
        <v>1483.454874</v>
      </c>
      <c r="GH46" s="45">
        <v>104.33888923000005</v>
      </c>
      <c r="GI46" s="45">
        <v>86.965585000000004</v>
      </c>
      <c r="GJ46" s="45">
        <v>78.696852000000007</v>
      </c>
      <c r="GK46" s="45">
        <v>85.465980000000002</v>
      </c>
      <c r="GL46" s="45">
        <v>89.080490999999981</v>
      </c>
      <c r="GM46" s="45">
        <v>100.645898</v>
      </c>
      <c r="GN46" s="45">
        <v>92.294809999999998</v>
      </c>
      <c r="GO46" s="45">
        <v>87.859037000000001</v>
      </c>
      <c r="GP46" s="45">
        <v>104.917181</v>
      </c>
      <c r="GQ46" s="45">
        <v>109.94859</v>
      </c>
      <c r="GR46" s="45">
        <v>140.446158</v>
      </c>
      <c r="GS46" s="45">
        <v>266.89458000000002</v>
      </c>
      <c r="GT46" s="45">
        <f t="shared" si="20"/>
        <v>1347.5540512299999</v>
      </c>
      <c r="GU46" s="45">
        <v>1346.143859</v>
      </c>
      <c r="GV46" s="45">
        <v>88.653936860000016</v>
      </c>
      <c r="GW46" s="45">
        <v>208.07913983999978</v>
      </c>
      <c r="GX46" s="45">
        <v>101.145321</v>
      </c>
      <c r="GY46" s="45">
        <v>87.969296</v>
      </c>
      <c r="GZ46" s="45">
        <v>95.044120050000174</v>
      </c>
      <c r="HA46" s="45">
        <v>114.7695338999999</v>
      </c>
      <c r="HB46" s="45">
        <v>109.57882170999994</v>
      </c>
      <c r="HC46" s="45">
        <v>89.058791069999771</v>
      </c>
      <c r="HD46" s="45">
        <v>121.25315820999991</v>
      </c>
      <c r="HE46" s="45">
        <v>106.29516760999987</v>
      </c>
      <c r="HF46" s="45">
        <v>125.40451672999986</v>
      </c>
      <c r="HG46" s="45">
        <v>270.01716826999996</v>
      </c>
      <c r="HH46" s="45">
        <f t="shared" si="15"/>
        <v>1517.2689712499991</v>
      </c>
      <c r="HI46" s="45">
        <v>88.753109880000068</v>
      </c>
      <c r="HJ46" s="45">
        <v>94.900923230000089</v>
      </c>
      <c r="HK46" s="45">
        <v>116.53864874000011</v>
      </c>
      <c r="HL46" s="45">
        <v>106.09789646000004</v>
      </c>
      <c r="HM46" s="45"/>
      <c r="HN46" s="45"/>
      <c r="HO46" s="45"/>
      <c r="HP46" s="45"/>
      <c r="HQ46" s="45"/>
      <c r="HR46" s="45"/>
      <c r="HS46" s="45"/>
      <c r="HT46" s="45"/>
      <c r="HU46" s="283">
        <f t="shared" si="16"/>
        <v>485.84769399999999</v>
      </c>
      <c r="HV46" s="283">
        <f t="shared" si="17"/>
        <v>406.29057799999998</v>
      </c>
      <c r="HW46" s="280">
        <f t="shared" si="30"/>
        <v>-79.557116000000008</v>
      </c>
      <c r="HX46" s="280">
        <f t="shared" si="31"/>
        <v>-16.374908635462205</v>
      </c>
    </row>
    <row r="47" spans="1:232" s="12" customFormat="1" ht="20.5">
      <c r="A47" s="46" t="s">
        <v>129</v>
      </c>
      <c r="B47" s="13" t="s">
        <v>130</v>
      </c>
      <c r="C47" s="46" t="s">
        <v>131</v>
      </c>
      <c r="D47" s="42">
        <v>81.141514561670107</v>
      </c>
      <c r="E47" s="42">
        <v>114.96866409411444</v>
      </c>
      <c r="F47" s="42">
        <v>204.9441864303561</v>
      </c>
      <c r="G47" s="42">
        <v>242.24670605175837</v>
      </c>
      <c r="H47" s="42">
        <v>45.477493013699409</v>
      </c>
      <c r="I47" s="42">
        <v>23.933671009271446</v>
      </c>
      <c r="J47" s="42">
        <v>62.200577515210504</v>
      </c>
      <c r="K47" s="42">
        <v>45.385566388352935</v>
      </c>
      <c r="L47" s="42">
        <v>11.788269560218781</v>
      </c>
      <c r="M47" s="42">
        <v>4.2219921912795026</v>
      </c>
      <c r="N47" s="42">
        <v>5.2539683894798559</v>
      </c>
      <c r="O47" s="42">
        <v>11.277973659797041</v>
      </c>
      <c r="P47" s="42">
        <v>7.8478793518534351</v>
      </c>
      <c r="Q47" s="42">
        <v>9.4629654925128488</v>
      </c>
      <c r="R47" s="42">
        <v>23.309521573582391</v>
      </c>
      <c r="S47" s="42">
        <v>21.54911880125896</v>
      </c>
      <c r="T47" s="42">
        <v>271.70899694651712</v>
      </c>
      <c r="U47" s="42">
        <v>271.71036732858659</v>
      </c>
      <c r="V47" s="42">
        <v>46.83593292013137</v>
      </c>
      <c r="W47" s="42">
        <v>25.020735510896351</v>
      </c>
      <c r="X47" s="42">
        <v>59.932898788282372</v>
      </c>
      <c r="Y47" s="42">
        <v>44.048438198985778</v>
      </c>
      <c r="Z47" s="42">
        <v>12.510248689535063</v>
      </c>
      <c r="AA47" s="42">
        <v>12.858647645716303</v>
      </c>
      <c r="AB47" s="42">
        <v>9.5498616968600061</v>
      </c>
      <c r="AC47" s="42">
        <v>30.018948383902199</v>
      </c>
      <c r="AD47" s="42">
        <v>6.1362328615090407</v>
      </c>
      <c r="AE47" s="42">
        <v>14.920053315006744</v>
      </c>
      <c r="AF47" s="42">
        <v>15.661108929374336</v>
      </c>
      <c r="AG47" s="42">
        <v>27.821788151461856</v>
      </c>
      <c r="AH47" s="42">
        <v>305.31489509166141</v>
      </c>
      <c r="AI47" s="42">
        <v>305.31489576041116</v>
      </c>
      <c r="AJ47" s="42">
        <v>44.229221802949333</v>
      </c>
      <c r="AK47" s="42">
        <v>35.644486940882523</v>
      </c>
      <c r="AL47" s="42">
        <v>57.110431955424275</v>
      </c>
      <c r="AM47" s="42">
        <v>46.754334978173155</v>
      </c>
      <c r="AN47" s="42">
        <v>4.2200369092947678</v>
      </c>
      <c r="AO47" s="42">
        <v>10.108875461721903</v>
      </c>
      <c r="AP47" s="42">
        <v>24.654946471562489</v>
      </c>
      <c r="AQ47" s="42">
        <v>21.483896449081112</v>
      </c>
      <c r="AR47" s="42">
        <v>5.0591203237317943</v>
      </c>
      <c r="AS47" s="42">
        <v>16.792714611755198</v>
      </c>
      <c r="AT47" s="42">
        <v>10.431613935037364</v>
      </c>
      <c r="AU47" s="42">
        <v>16.62859061701413</v>
      </c>
      <c r="AV47" s="42">
        <v>293.11827045662807</v>
      </c>
      <c r="AW47" s="42">
        <v>293.11944866563078</v>
      </c>
      <c r="AX47" s="42">
        <v>58.511308</v>
      </c>
      <c r="AY47" s="42">
        <v>27.104747</v>
      </c>
      <c r="AZ47" s="42">
        <v>56.587301650000001</v>
      </c>
      <c r="BA47" s="42">
        <v>46.08687218</v>
      </c>
      <c r="BB47" s="42">
        <v>4.4706689000000006</v>
      </c>
      <c r="BC47" s="42">
        <v>9.924407519999999</v>
      </c>
      <c r="BD47" s="42">
        <v>21.533757659999999</v>
      </c>
      <c r="BE47" s="42">
        <v>21.794324020000001</v>
      </c>
      <c r="BF47" s="42">
        <v>5.1611388200000006</v>
      </c>
      <c r="BG47" s="42">
        <v>19.391333750000001</v>
      </c>
      <c r="BH47" s="42">
        <v>11.722026540000002</v>
      </c>
      <c r="BI47" s="42">
        <v>17.643062059999998</v>
      </c>
      <c r="BJ47" s="45">
        <f t="shared" si="28"/>
        <v>299.93094809999997</v>
      </c>
      <c r="BK47" s="42">
        <v>299.93095</v>
      </c>
      <c r="BL47" s="42">
        <v>86.671095679999993</v>
      </c>
      <c r="BM47" s="42">
        <v>28.96320996</v>
      </c>
      <c r="BN47" s="42">
        <v>25.293229639999996</v>
      </c>
      <c r="BO47" s="42">
        <v>53.9530265</v>
      </c>
      <c r="BP47" s="42">
        <v>3.9400806299999998</v>
      </c>
      <c r="BQ47" s="42">
        <v>11.818705900000001</v>
      </c>
      <c r="BR47" s="42">
        <v>24.010678010000003</v>
      </c>
      <c r="BS47" s="42">
        <v>24.638359809999997</v>
      </c>
      <c r="BT47" s="42">
        <v>4.9751478600000008</v>
      </c>
      <c r="BU47" s="42">
        <v>20.156907670000002</v>
      </c>
      <c r="BV47" s="42">
        <v>11.734703359999999</v>
      </c>
      <c r="BW47" s="42">
        <v>89.189525979999985</v>
      </c>
      <c r="BX47" s="45">
        <f t="shared" si="4"/>
        <v>385.34467100000001</v>
      </c>
      <c r="BY47" s="45">
        <v>385.342491</v>
      </c>
      <c r="BZ47" s="45">
        <v>43.147940829999996</v>
      </c>
      <c r="CA47" s="45">
        <v>29.549684599999999</v>
      </c>
      <c r="CB47" s="45">
        <v>25.193007870000002</v>
      </c>
      <c r="CC47" s="45">
        <v>25.204184220000002</v>
      </c>
      <c r="CD47" s="45">
        <v>32.13124286</v>
      </c>
      <c r="CE47" s="45">
        <v>10.15655273</v>
      </c>
      <c r="CF47" s="45">
        <v>16.409945830000002</v>
      </c>
      <c r="CG47" s="45">
        <v>24.368550240000001</v>
      </c>
      <c r="CH47" s="45">
        <v>6.9551618199999989</v>
      </c>
      <c r="CI47" s="45">
        <v>20.47968517</v>
      </c>
      <c r="CJ47" s="45">
        <v>11.542226490000001</v>
      </c>
      <c r="CK47" s="45">
        <v>16.43904229</v>
      </c>
      <c r="CL47" s="45">
        <f t="shared" si="5"/>
        <v>261.57722494999996</v>
      </c>
      <c r="CM47" s="45">
        <v>261.577225</v>
      </c>
      <c r="CN47" s="45">
        <v>40.741460279999998</v>
      </c>
      <c r="CO47" s="45">
        <v>36.557693399999998</v>
      </c>
      <c r="CP47" s="45">
        <v>26.838459410000002</v>
      </c>
      <c r="CQ47" s="45">
        <v>25.93571854</v>
      </c>
      <c r="CR47" s="45">
        <v>40.741729460000002</v>
      </c>
      <c r="CS47" s="45">
        <v>10.375216260000002</v>
      </c>
      <c r="CT47" s="45">
        <v>11.035829969999998</v>
      </c>
      <c r="CU47" s="45">
        <v>1.5017763100000001</v>
      </c>
      <c r="CV47" s="45">
        <v>7.0205541699999996</v>
      </c>
      <c r="CW47" s="45">
        <v>23.917146429999999</v>
      </c>
      <c r="CX47" s="45">
        <v>11.37670209</v>
      </c>
      <c r="CY47" s="45">
        <v>15.722056970000001</v>
      </c>
      <c r="CZ47" s="45">
        <f t="shared" si="6"/>
        <v>251.76434329</v>
      </c>
      <c r="DA47" s="45">
        <v>251.764882</v>
      </c>
      <c r="DB47" s="45">
        <v>37.665404029999991</v>
      </c>
      <c r="DC47" s="45">
        <v>17.456112190000002</v>
      </c>
      <c r="DD47" s="45">
        <v>27.254733649999999</v>
      </c>
      <c r="DE47" s="45">
        <v>54.045602969999997</v>
      </c>
      <c r="DF47" s="45">
        <v>14.547381020000001</v>
      </c>
      <c r="DG47" s="45">
        <v>10.1899894</v>
      </c>
      <c r="DH47" s="45">
        <v>9.9812100000000008</v>
      </c>
      <c r="DI47" s="45">
        <v>2.3083372999999998</v>
      </c>
      <c r="DJ47" s="45">
        <v>7.1290480200000008</v>
      </c>
      <c r="DK47" s="45">
        <v>23.848768929999995</v>
      </c>
      <c r="DL47" s="45">
        <v>11.6207742</v>
      </c>
      <c r="DM47" s="45">
        <v>16.201633360000002</v>
      </c>
      <c r="DN47" s="45">
        <f t="shared" si="7"/>
        <v>232.24899506999998</v>
      </c>
      <c r="DO47" s="45">
        <v>232.25006500000001</v>
      </c>
      <c r="DP47" s="45">
        <v>36.203469629999994</v>
      </c>
      <c r="DQ47" s="45">
        <v>29.370047370000002</v>
      </c>
      <c r="DR47" s="45">
        <v>3.3872827100000005</v>
      </c>
      <c r="DS47" s="45">
        <v>54.336178100000005</v>
      </c>
      <c r="DT47" s="45">
        <v>20.419893719999994</v>
      </c>
      <c r="DU47" s="45">
        <v>10.471440429999999</v>
      </c>
      <c r="DV47" s="45">
        <v>9.5516350300000017</v>
      </c>
      <c r="DW47" s="45">
        <v>1.0572366899999999</v>
      </c>
      <c r="DX47" s="45">
        <v>7.5610849999999994</v>
      </c>
      <c r="DY47" s="45">
        <v>20.895477759999999</v>
      </c>
      <c r="DZ47" s="45">
        <v>11.830291259999999</v>
      </c>
      <c r="EA47" s="45">
        <v>16.38240768</v>
      </c>
      <c r="EB47" s="45">
        <f t="shared" si="10"/>
        <v>221.46644537999998</v>
      </c>
      <c r="EC47" s="45">
        <v>221.466444</v>
      </c>
      <c r="ED47" s="45">
        <v>42.704591719999996</v>
      </c>
      <c r="EE47" s="45">
        <v>47.558107999999997</v>
      </c>
      <c r="EF47" s="45">
        <v>3.6075042499999999</v>
      </c>
      <c r="EG47" s="45">
        <v>36.602980439999996</v>
      </c>
      <c r="EH47" s="45">
        <v>14.80365591</v>
      </c>
      <c r="EI47" s="45">
        <v>17.877288</v>
      </c>
      <c r="EJ47" s="45">
        <v>1.5889092900000001</v>
      </c>
      <c r="EK47" s="45">
        <v>0.10005895000000001</v>
      </c>
      <c r="EL47" s="45">
        <v>9.2156932100000013</v>
      </c>
      <c r="EM47" s="45">
        <v>21.978738019999998</v>
      </c>
      <c r="EN47" s="45">
        <v>10.242347259999997</v>
      </c>
      <c r="EO47" s="45">
        <v>16.893243209999998</v>
      </c>
      <c r="EP47" s="45">
        <f t="shared" si="11"/>
        <v>223.17311826000002</v>
      </c>
      <c r="EQ47" s="45">
        <v>223.17311799999999</v>
      </c>
      <c r="ER47" s="45">
        <v>40.230374570000002</v>
      </c>
      <c r="ES47" s="45">
        <v>47.297544860000002</v>
      </c>
      <c r="ET47" s="45">
        <v>3.7432954000000005</v>
      </c>
      <c r="EU47" s="45">
        <v>39.048028840000001</v>
      </c>
      <c r="EV47" s="42">
        <v>19.345169110000001</v>
      </c>
      <c r="EW47" s="42">
        <v>15.821454150000001</v>
      </c>
      <c r="EX47" s="42">
        <v>0.77431211</v>
      </c>
      <c r="EY47" s="42">
        <v>0.12499742000000001</v>
      </c>
      <c r="EZ47" s="42">
        <v>9.3482894999999999</v>
      </c>
      <c r="FA47" s="42">
        <v>23.577857999999999</v>
      </c>
      <c r="FB47" s="42">
        <v>14.419077550000102</v>
      </c>
      <c r="FC47" s="42">
        <v>5.0855345300000003</v>
      </c>
      <c r="FD47" s="45">
        <f t="shared" si="12"/>
        <v>218.81593604000008</v>
      </c>
      <c r="FE47" s="45">
        <v>218.815969</v>
      </c>
      <c r="FF47" s="45">
        <v>0.82801842999999997</v>
      </c>
      <c r="FG47" s="45">
        <v>42.853981100000006</v>
      </c>
      <c r="FH47" s="45">
        <v>4.5725431900000002</v>
      </c>
      <c r="FI47" s="45">
        <v>4.2225509699999995</v>
      </c>
      <c r="FJ47" s="45">
        <v>54.94763992</v>
      </c>
      <c r="FK47" s="45">
        <v>1.3300658699999999</v>
      </c>
      <c r="FL47" s="45">
        <v>1.244713</v>
      </c>
      <c r="FM47" s="45">
        <v>2.3283736200000003</v>
      </c>
      <c r="FN47" s="45">
        <v>15.270124989999999</v>
      </c>
      <c r="FO47" s="45">
        <v>18.497691520000004</v>
      </c>
      <c r="FP47" s="45">
        <v>10.848777969999997</v>
      </c>
      <c r="FQ47" s="45">
        <v>4.0661755700000004</v>
      </c>
      <c r="FR47" s="45">
        <f t="shared" si="13"/>
        <v>161.01065614999999</v>
      </c>
      <c r="FS47" s="45">
        <v>161.01069699999999</v>
      </c>
      <c r="FT47" s="45">
        <v>1.8198761699999999</v>
      </c>
      <c r="FU47" s="45">
        <v>45.385665689999996</v>
      </c>
      <c r="FV47" s="45">
        <v>16.903950500000004</v>
      </c>
      <c r="FW47" s="45">
        <v>9.3548817500000006</v>
      </c>
      <c r="FX47" s="45">
        <v>65.585207989999986</v>
      </c>
      <c r="FY47" s="45">
        <v>0.60933551000000008</v>
      </c>
      <c r="FZ47" s="45">
        <v>0.23214153000000001</v>
      </c>
      <c r="GA47" s="45">
        <v>5.5137213500000009</v>
      </c>
      <c r="GB47" s="45">
        <v>15.788856689999999</v>
      </c>
      <c r="GC47" s="45">
        <v>13.853440300000001</v>
      </c>
      <c r="GD47" s="45">
        <v>19.088155920000005</v>
      </c>
      <c r="GE47" s="45">
        <v>0.94537340999999997</v>
      </c>
      <c r="GF47" s="45">
        <f t="shared" si="14"/>
        <v>195.08060681000001</v>
      </c>
      <c r="GG47" s="45">
        <v>195.288465</v>
      </c>
      <c r="GH47" s="45">
        <v>40.465830990000001</v>
      </c>
      <c r="GI47" s="45">
        <v>47.374935059999991</v>
      </c>
      <c r="GJ47" s="45">
        <v>46.93412885</v>
      </c>
      <c r="GK47" s="45">
        <v>46.586196979999997</v>
      </c>
      <c r="GL47" s="45">
        <v>50.189533899999994</v>
      </c>
      <c r="GM47" s="45">
        <v>1.8883774600000001</v>
      </c>
      <c r="GN47" s="45">
        <v>38.816364</v>
      </c>
      <c r="GO47" s="45">
        <v>6.9224750000000004</v>
      </c>
      <c r="GP47" s="45">
        <v>16.66757483</v>
      </c>
      <c r="GQ47" s="45">
        <v>15.672855</v>
      </c>
      <c r="GR47" s="45">
        <v>17.561931000000001</v>
      </c>
      <c r="GS47" s="45">
        <v>7.9903479999999991</v>
      </c>
      <c r="GT47" s="45">
        <f t="shared" si="20"/>
        <v>337.07055107000002</v>
      </c>
      <c r="GU47" s="45">
        <v>337.07054900000003</v>
      </c>
      <c r="GV47" s="45">
        <v>96.107955320000016</v>
      </c>
      <c r="GW47" s="45">
        <v>46.429899000000006</v>
      </c>
      <c r="GX47" s="45">
        <v>49.174362000000002</v>
      </c>
      <c r="GY47" s="45">
        <v>1.6440650000000001</v>
      </c>
      <c r="GZ47" s="45">
        <v>75.285370909999997</v>
      </c>
      <c r="HA47" s="45">
        <v>1.8820938199999999</v>
      </c>
      <c r="HB47" s="45">
        <v>65.888514459999996</v>
      </c>
      <c r="HC47" s="45">
        <v>5.9115245700000001</v>
      </c>
      <c r="HD47" s="45">
        <v>20.90563659</v>
      </c>
      <c r="HE47" s="45">
        <v>14.765005660000002</v>
      </c>
      <c r="HF47" s="45">
        <v>9.2507295200000002</v>
      </c>
      <c r="HG47" s="45">
        <v>8.4654238399999997</v>
      </c>
      <c r="HH47" s="45">
        <f t="shared" si="15"/>
        <v>395.71058069000003</v>
      </c>
      <c r="HI47" s="45">
        <v>105.46830831</v>
      </c>
      <c r="HJ47" s="45">
        <v>45.618235929999997</v>
      </c>
      <c r="HK47" s="45">
        <v>45.851592330000003</v>
      </c>
      <c r="HL47" s="45">
        <v>1.0300741500000001</v>
      </c>
      <c r="HM47" s="45"/>
      <c r="HN47" s="45"/>
      <c r="HO47" s="45"/>
      <c r="HP47" s="45"/>
      <c r="HQ47" s="45"/>
      <c r="HR47" s="45"/>
      <c r="HS47" s="45"/>
      <c r="HT47" s="45"/>
      <c r="HU47" s="283">
        <f t="shared" si="16"/>
        <v>193.356281</v>
      </c>
      <c r="HV47" s="283">
        <f t="shared" si="17"/>
        <v>197.968211</v>
      </c>
      <c r="HW47" s="280">
        <f t="shared" si="30"/>
        <v>4.611930000000001</v>
      </c>
      <c r="HX47" s="280">
        <f t="shared" si="31"/>
        <v>2.3851979238264391</v>
      </c>
    </row>
    <row r="48" spans="1:232" s="12" customFormat="1" ht="20.5">
      <c r="A48" s="46" t="s">
        <v>132</v>
      </c>
      <c r="B48" s="13">
        <v>3000</v>
      </c>
      <c r="C48" s="46" t="s">
        <v>133</v>
      </c>
      <c r="D48" s="42">
        <v>1326.4284508910023</v>
      </c>
      <c r="E48" s="42">
        <v>1698.5530048206897</v>
      </c>
      <c r="F48" s="42">
        <v>1599.4634265029792</v>
      </c>
      <c r="G48" s="42">
        <v>1567.0436579757659</v>
      </c>
      <c r="H48" s="42">
        <v>57.897686695010265</v>
      </c>
      <c r="I48" s="42">
        <v>117.6701576399679</v>
      </c>
      <c r="J48" s="42">
        <v>98.963386449138028</v>
      </c>
      <c r="K48" s="42">
        <v>97.417681046209182</v>
      </c>
      <c r="L48" s="42">
        <v>131.46933116487671</v>
      </c>
      <c r="M48" s="42">
        <v>105.28563992236815</v>
      </c>
      <c r="N48" s="42">
        <v>107.26361888947697</v>
      </c>
      <c r="O48" s="42">
        <v>104.36021089805979</v>
      </c>
      <c r="P48" s="42">
        <v>130.24293794571597</v>
      </c>
      <c r="Q48" s="42">
        <v>104.6092251040119</v>
      </c>
      <c r="R48" s="42">
        <v>158.28481477054768</v>
      </c>
      <c r="S48" s="42">
        <v>249.58330395103047</v>
      </c>
      <c r="T48" s="42">
        <v>1463.0479944764131</v>
      </c>
      <c r="U48" s="42">
        <v>1463.4192477561314</v>
      </c>
      <c r="V48" s="42">
        <v>73.723765089555556</v>
      </c>
      <c r="W48" s="42">
        <v>124.86060220203639</v>
      </c>
      <c r="X48" s="42">
        <v>118.32325510384119</v>
      </c>
      <c r="Y48" s="42">
        <v>89.142151026459715</v>
      </c>
      <c r="Z48" s="42">
        <v>110.83064345109022</v>
      </c>
      <c r="AA48" s="42">
        <v>111.21998025053927</v>
      </c>
      <c r="AB48" s="42">
        <v>111.67686154318986</v>
      </c>
      <c r="AC48" s="42">
        <v>124.5973158946164</v>
      </c>
      <c r="AD48" s="42">
        <v>114.70577998986914</v>
      </c>
      <c r="AE48" s="42">
        <v>189.79937252776026</v>
      </c>
      <c r="AF48" s="42">
        <v>185.62043898441104</v>
      </c>
      <c r="AG48" s="42">
        <v>243.66184597697222</v>
      </c>
      <c r="AH48" s="42">
        <v>1598.1620120403411</v>
      </c>
      <c r="AI48" s="42">
        <v>1599.4191865726432</v>
      </c>
      <c r="AJ48" s="42">
        <v>89.821569029203019</v>
      </c>
      <c r="AK48" s="42">
        <v>137.02701322132486</v>
      </c>
      <c r="AL48" s="42">
        <v>125.49585020859301</v>
      </c>
      <c r="AM48" s="42">
        <v>114.04235762744662</v>
      </c>
      <c r="AN48" s="42">
        <v>117.77816428193353</v>
      </c>
      <c r="AO48" s="42">
        <v>110.32920223846195</v>
      </c>
      <c r="AP48" s="42">
        <v>112.52571698510538</v>
      </c>
      <c r="AQ48" s="42">
        <v>122.71188719756857</v>
      </c>
      <c r="AR48" s="42">
        <v>110.41312798447362</v>
      </c>
      <c r="AS48" s="42">
        <v>115.08866198826418</v>
      </c>
      <c r="AT48" s="42">
        <v>174.2632725482496</v>
      </c>
      <c r="AU48" s="42">
        <v>236.41679330225779</v>
      </c>
      <c r="AV48" s="42">
        <v>1565.9136166128819</v>
      </c>
      <c r="AW48" s="42">
        <v>1562.5111382405335</v>
      </c>
      <c r="AX48" s="42">
        <f>AX49+AX50+AX51+AX52</f>
        <v>89.872320999999999</v>
      </c>
      <c r="AY48" s="42">
        <f>AY49+AY50+AY51+AY52</f>
        <v>153.89970199999999</v>
      </c>
      <c r="AZ48" s="42">
        <f t="shared" ref="AZ48:BG48" si="35">AZ49+AZ50+AZ51+AZ52</f>
        <v>113.92241799999999</v>
      </c>
      <c r="BA48" s="42">
        <f t="shared" si="35"/>
        <v>134.56101399999997</v>
      </c>
      <c r="BB48" s="42">
        <f t="shared" si="35"/>
        <v>118.01752400000001</v>
      </c>
      <c r="BC48" s="42">
        <f t="shared" si="35"/>
        <v>108.03687599999999</v>
      </c>
      <c r="BD48" s="42">
        <f t="shared" si="35"/>
        <v>130.73062400000001</v>
      </c>
      <c r="BE48" s="42">
        <f t="shared" si="35"/>
        <v>113.77723699999999</v>
      </c>
      <c r="BF48" s="42">
        <f t="shared" si="35"/>
        <v>117.41602947000004</v>
      </c>
      <c r="BG48" s="42">
        <f t="shared" si="35"/>
        <v>160.50549048000002</v>
      </c>
      <c r="BH48" s="42">
        <f>BH49+BH50+BH51+BH52</f>
        <v>200.24782602999997</v>
      </c>
      <c r="BI48" s="42">
        <f>BI49+BI50+BI51+BI52</f>
        <v>341.50227070999995</v>
      </c>
      <c r="BJ48" s="45">
        <f t="shared" si="28"/>
        <v>1782.4893326899999</v>
      </c>
      <c r="BK48" s="42">
        <f>BK49+BK50+BK51+BK52</f>
        <v>1783.009319</v>
      </c>
      <c r="BL48" s="42">
        <f>BL49+BL50+BL51+BL52</f>
        <v>105.58774512000001</v>
      </c>
      <c r="BM48" s="42">
        <v>141.52517689999999</v>
      </c>
      <c r="BN48" s="42">
        <v>135.96957864000001</v>
      </c>
      <c r="BO48" s="42">
        <v>137.78651591000002</v>
      </c>
      <c r="BP48" s="42">
        <v>101.61848866999995</v>
      </c>
      <c r="BQ48" s="42">
        <v>129.00488452000002</v>
      </c>
      <c r="BR48" s="42">
        <v>134.97952014000006</v>
      </c>
      <c r="BS48" s="42">
        <v>125.40821285999999</v>
      </c>
      <c r="BT48" s="42">
        <v>122.65552562000005</v>
      </c>
      <c r="BU48" s="42">
        <v>113.91118809000002</v>
      </c>
      <c r="BV48" s="42">
        <v>152.71558718</v>
      </c>
      <c r="BW48" s="42">
        <v>245.38586949</v>
      </c>
      <c r="BX48" s="45">
        <f t="shared" si="4"/>
        <v>1646.5482931400002</v>
      </c>
      <c r="BY48" s="45">
        <f>BY49+BY50+BY51+BY52</f>
        <v>1646.55682084</v>
      </c>
      <c r="BZ48" s="45">
        <v>133.16480220999998</v>
      </c>
      <c r="CA48" s="45">
        <v>169.79638140000003</v>
      </c>
      <c r="CB48" s="45">
        <v>171.94861499999999</v>
      </c>
      <c r="CC48" s="45">
        <v>206.22474811000004</v>
      </c>
      <c r="CD48" s="45">
        <v>92.200483890000001</v>
      </c>
      <c r="CE48" s="45">
        <v>103.61244964000002</v>
      </c>
      <c r="CF48" s="45">
        <v>119.13809022000002</v>
      </c>
      <c r="CG48" s="45">
        <v>90.161733180000027</v>
      </c>
      <c r="CH48" s="45">
        <v>90.181124369999949</v>
      </c>
      <c r="CI48" s="45">
        <v>170.04356703000005</v>
      </c>
      <c r="CJ48" s="45">
        <v>161.68958972000001</v>
      </c>
      <c r="CK48" s="45">
        <v>238.13928930999998</v>
      </c>
      <c r="CL48" s="45">
        <f t="shared" si="5"/>
        <v>1746.3008740800001</v>
      </c>
      <c r="CM48" s="45">
        <f>CM49+CM50+CM51+CM52</f>
        <v>1746.298804</v>
      </c>
      <c r="CN48" s="45">
        <v>118.58209540999999</v>
      </c>
      <c r="CO48" s="45">
        <v>143.97960946999993</v>
      </c>
      <c r="CP48" s="45">
        <v>117.89191977999992</v>
      </c>
      <c r="CQ48" s="45">
        <v>105.1606383</v>
      </c>
      <c r="CR48" s="45">
        <v>108.42192181000006</v>
      </c>
      <c r="CS48" s="45">
        <v>161.71921893000001</v>
      </c>
      <c r="CT48" s="45">
        <v>100.62119285999999</v>
      </c>
      <c r="CU48" s="45">
        <v>101.99003362999996</v>
      </c>
      <c r="CV48" s="45">
        <v>103.57193556999999</v>
      </c>
      <c r="CW48" s="45">
        <v>207.89471456999993</v>
      </c>
      <c r="CX48" s="45">
        <v>180.93532735000008</v>
      </c>
      <c r="CY48" s="45">
        <v>285.59078627000014</v>
      </c>
      <c r="CZ48" s="45">
        <f t="shared" si="6"/>
        <v>1736.3593939499999</v>
      </c>
      <c r="DA48" s="45">
        <f>DA49+DA50+DA51+DA52</f>
        <v>1738.5668560000001</v>
      </c>
      <c r="DB48" s="45">
        <v>126.27608398</v>
      </c>
      <c r="DC48" s="45">
        <v>134.30304683</v>
      </c>
      <c r="DD48" s="45">
        <v>128.53503519999998</v>
      </c>
      <c r="DE48" s="45">
        <v>195.49887520999991</v>
      </c>
      <c r="DF48" s="45">
        <v>121.15029743000002</v>
      </c>
      <c r="DG48" s="45">
        <v>141.28172264</v>
      </c>
      <c r="DH48" s="45">
        <v>134.10228114</v>
      </c>
      <c r="DI48" s="45">
        <v>159.08056088000001</v>
      </c>
      <c r="DJ48" s="45">
        <v>122.22515491000001</v>
      </c>
      <c r="DK48" s="45">
        <v>274.65615521000007</v>
      </c>
      <c r="DL48" s="45">
        <v>182.63225603999996</v>
      </c>
      <c r="DM48" s="45">
        <v>346.0817338199999</v>
      </c>
      <c r="DN48" s="45">
        <f t="shared" si="7"/>
        <v>2065.82320329</v>
      </c>
      <c r="DO48" s="45">
        <f>DO49+DO50+DO51+DO52</f>
        <v>2065.8122499999999</v>
      </c>
      <c r="DP48" s="45">
        <v>136.1042664</v>
      </c>
      <c r="DQ48" s="45">
        <v>150.35907580999998</v>
      </c>
      <c r="DR48" s="45">
        <v>134.52785406999999</v>
      </c>
      <c r="DS48" s="45">
        <v>150.20495356999999</v>
      </c>
      <c r="DT48" s="45">
        <v>137.47308099</v>
      </c>
      <c r="DU48" s="45">
        <v>129.73525116000002</v>
      </c>
      <c r="DV48" s="45">
        <v>170.19423099000011</v>
      </c>
      <c r="DW48" s="45">
        <v>141.32122991</v>
      </c>
      <c r="DX48" s="45">
        <v>130.35974770999999</v>
      </c>
      <c r="DY48" s="45">
        <v>251.36601809999996</v>
      </c>
      <c r="DZ48" s="45">
        <v>187.31981117999996</v>
      </c>
      <c r="EA48" s="45">
        <v>394.71665112000005</v>
      </c>
      <c r="EB48" s="45">
        <f t="shared" si="10"/>
        <v>2113.6821710100003</v>
      </c>
      <c r="EC48" s="45">
        <f>EC49+EC50+EC51+EC52</f>
        <v>2113.6639009999999</v>
      </c>
      <c r="ED48" s="45">
        <v>147.11828086999998</v>
      </c>
      <c r="EE48" s="45">
        <v>167.24183999999997</v>
      </c>
      <c r="EF48" s="45">
        <v>188.59670722999996</v>
      </c>
      <c r="EG48" s="45">
        <v>283.18148664</v>
      </c>
      <c r="EH48" s="45">
        <v>113.78010243999995</v>
      </c>
      <c r="EI48" s="45">
        <v>143.62407105999998</v>
      </c>
      <c r="EJ48" s="45">
        <v>162.12048676999996</v>
      </c>
      <c r="EK48" s="45">
        <v>247.4037417699999</v>
      </c>
      <c r="EL48" s="45">
        <v>173.72025166</v>
      </c>
      <c r="EM48" s="45">
        <v>290.07677819999992</v>
      </c>
      <c r="EN48" s="45">
        <v>165.01222574000005</v>
      </c>
      <c r="EO48" s="45">
        <v>459.91351580000014</v>
      </c>
      <c r="EP48" s="45">
        <f t="shared" si="11"/>
        <v>2541.7894881799994</v>
      </c>
      <c r="EQ48" s="45">
        <f>EQ49+EQ50+EQ51+EQ52</f>
        <v>2541.819062</v>
      </c>
      <c r="ER48" s="45">
        <v>135.24832383999995</v>
      </c>
      <c r="ES48" s="45">
        <v>232.05687797999997</v>
      </c>
      <c r="ET48" s="45">
        <v>209.62788509000009</v>
      </c>
      <c r="EU48" s="45">
        <v>218.21460338000006</v>
      </c>
      <c r="EV48" s="42">
        <v>197.28893578000003</v>
      </c>
      <c r="EW48" s="42">
        <v>206.55057500000001</v>
      </c>
      <c r="EX48" s="42">
        <v>203.84097200000002</v>
      </c>
      <c r="EY48" s="42">
        <v>199.36370812999996</v>
      </c>
      <c r="EZ48" s="42">
        <v>223.86513442000009</v>
      </c>
      <c r="FA48" s="42">
        <v>321.28070100000002</v>
      </c>
      <c r="FB48" s="42">
        <v>213.57878400000001</v>
      </c>
      <c r="FC48" s="42">
        <v>1048.6560750000001</v>
      </c>
      <c r="FD48" s="45">
        <f t="shared" si="12"/>
        <v>3409.57257562</v>
      </c>
      <c r="FE48" s="45">
        <f>FE49+FE50+FE51+FE52</f>
        <v>3409.5780439999994</v>
      </c>
      <c r="FF48" s="45">
        <v>240.78334155000005</v>
      </c>
      <c r="FG48" s="45">
        <v>258.41042533000001</v>
      </c>
      <c r="FH48" s="45">
        <v>315.77917615000007</v>
      </c>
      <c r="FI48" s="45">
        <v>285.43585408000007</v>
      </c>
      <c r="FJ48" s="45">
        <v>291.60509957999977</v>
      </c>
      <c r="FK48" s="45">
        <v>261.43888779000025</v>
      </c>
      <c r="FL48" s="45">
        <v>209.78160415999983</v>
      </c>
      <c r="FM48" s="45">
        <v>213.11059852</v>
      </c>
      <c r="FN48" s="45">
        <v>220.57524331999988</v>
      </c>
      <c r="FO48" s="45">
        <v>340.37969973999998</v>
      </c>
      <c r="FP48" s="45">
        <v>251.12711127999992</v>
      </c>
      <c r="FQ48" s="45">
        <v>721.63996197000017</v>
      </c>
      <c r="FR48" s="45">
        <f t="shared" si="13"/>
        <v>3610.0670034700001</v>
      </c>
      <c r="FS48" s="45">
        <f>FS49+FS50+FS51+FS52</f>
        <v>3609.959488</v>
      </c>
      <c r="FT48" s="45">
        <v>202.75206797000021</v>
      </c>
      <c r="FU48" s="45">
        <v>423.80519480999993</v>
      </c>
      <c r="FV48" s="45">
        <v>345.04868047000002</v>
      </c>
      <c r="FW48" s="45">
        <v>295.25590346999991</v>
      </c>
      <c r="FX48" s="45">
        <v>263.99992384999996</v>
      </c>
      <c r="FY48" s="45">
        <v>251.18274528000001</v>
      </c>
      <c r="FZ48" s="45">
        <v>254.55468642999995</v>
      </c>
      <c r="GA48" s="45">
        <v>244.15924766000001</v>
      </c>
      <c r="GB48" s="45">
        <v>241.96209059999993</v>
      </c>
      <c r="GC48" s="45">
        <v>285.55468702000007</v>
      </c>
      <c r="GD48" s="45">
        <v>339.16208085</v>
      </c>
      <c r="GE48" s="45">
        <v>627.44667622999975</v>
      </c>
      <c r="GF48" s="45">
        <f t="shared" si="14"/>
        <v>3774.8839846400001</v>
      </c>
      <c r="GG48" s="45">
        <v>3774.880169</v>
      </c>
      <c r="GH48" s="45">
        <v>300.55561313999988</v>
      </c>
      <c r="GI48" s="45">
        <v>223.6490554099999</v>
      </c>
      <c r="GJ48" s="45">
        <v>287.60566076999999</v>
      </c>
      <c r="GK48" s="45">
        <v>424.56348413000001</v>
      </c>
      <c r="GL48" s="45">
        <v>253.92233086999994</v>
      </c>
      <c r="GM48" s="45">
        <v>276.08005843000001</v>
      </c>
      <c r="GN48" s="45">
        <v>304.57135034000004</v>
      </c>
      <c r="GO48" s="45">
        <v>274.0393736699998</v>
      </c>
      <c r="GP48" s="45">
        <v>230.45340182000004</v>
      </c>
      <c r="GQ48" s="45">
        <v>345.98710358000005</v>
      </c>
      <c r="GR48" s="45">
        <v>273.30655983000008</v>
      </c>
      <c r="GS48" s="45">
        <v>583.76336282000057</v>
      </c>
      <c r="GT48" s="45">
        <f t="shared" si="20"/>
        <v>3778.4973548100006</v>
      </c>
      <c r="GU48" s="45">
        <f>GU49+GU50+GU51</f>
        <v>3778.5045719999998</v>
      </c>
      <c r="GV48" s="45">
        <v>311.18010811999994</v>
      </c>
      <c r="GW48" s="45">
        <v>290.13747563999999</v>
      </c>
      <c r="GX48" s="45">
        <v>369.76250499999998</v>
      </c>
      <c r="GY48" s="45">
        <v>395.51548600000001</v>
      </c>
      <c r="GZ48" s="45">
        <v>267.46744815000011</v>
      </c>
      <c r="HA48" s="45">
        <v>237.01986530000002</v>
      </c>
      <c r="HB48" s="45">
        <v>297.41523882999991</v>
      </c>
      <c r="HC48" s="45">
        <v>315.78191483000001</v>
      </c>
      <c r="HD48" s="45">
        <v>302.33480142999997</v>
      </c>
      <c r="HE48" s="45">
        <v>376.91435186000007</v>
      </c>
      <c r="HF48" s="45">
        <v>299.17651067000003</v>
      </c>
      <c r="HG48" s="45">
        <v>610.57236960000057</v>
      </c>
      <c r="HH48" s="45">
        <f t="shared" si="15"/>
        <v>4073.2780754300002</v>
      </c>
      <c r="HI48" s="45">
        <v>347.21126457000008</v>
      </c>
      <c r="HJ48" s="45">
        <v>298.8375107400002</v>
      </c>
      <c r="HK48" s="45">
        <v>308.37741370000003</v>
      </c>
      <c r="HL48" s="45">
        <v>334.49621371000006</v>
      </c>
      <c r="HM48" s="45"/>
      <c r="HN48" s="45"/>
      <c r="HO48" s="45"/>
      <c r="HP48" s="45"/>
      <c r="HQ48" s="45"/>
      <c r="HR48" s="45"/>
      <c r="HS48" s="45"/>
      <c r="HT48" s="45"/>
      <c r="HU48" s="283">
        <f t="shared" si="16"/>
        <v>1366.5955750000001</v>
      </c>
      <c r="HV48" s="283">
        <f t="shared" si="17"/>
        <v>1288.922403</v>
      </c>
      <c r="HW48" s="280">
        <f t="shared" si="30"/>
        <v>-77.673172000000022</v>
      </c>
      <c r="HX48" s="280">
        <f t="shared" si="31"/>
        <v>-5.6836984855596455</v>
      </c>
    </row>
    <row r="49" spans="1:232" s="12" customFormat="1" ht="20.5">
      <c r="A49" s="47" t="s">
        <v>134</v>
      </c>
      <c r="B49" s="13">
        <v>3100</v>
      </c>
      <c r="C49" s="47" t="s">
        <v>135</v>
      </c>
      <c r="D49" s="42">
        <v>63.812138234842145</v>
      </c>
      <c r="E49" s="42">
        <v>63.07145377658636</v>
      </c>
      <c r="F49" s="42">
        <v>62.359959533525704</v>
      </c>
      <c r="G49" s="42">
        <v>34.396006567976279</v>
      </c>
      <c r="H49" s="42">
        <v>0</v>
      </c>
      <c r="I49" s="42">
        <v>0.48804797639171094</v>
      </c>
      <c r="J49" s="42">
        <v>0.20850746438551859</v>
      </c>
      <c r="K49" s="42">
        <v>2.7147167346799392</v>
      </c>
      <c r="L49" s="42">
        <v>0.71238412131974205</v>
      </c>
      <c r="M49" s="42">
        <v>0.88532060147637148</v>
      </c>
      <c r="N49" s="42">
        <v>0.52446401841765289</v>
      </c>
      <c r="O49" s="42">
        <v>0.36071022646427719</v>
      </c>
      <c r="P49" s="42">
        <v>0.3449980364369013</v>
      </c>
      <c r="Q49" s="42">
        <v>0.343573898270357</v>
      </c>
      <c r="R49" s="42">
        <v>0.4496358728749405</v>
      </c>
      <c r="S49" s="42">
        <v>4.1857622182002379</v>
      </c>
      <c r="T49" s="42">
        <v>11.218121168917648</v>
      </c>
      <c r="U49" s="42">
        <v>11.218120557082772</v>
      </c>
      <c r="V49" s="42">
        <v>0</v>
      </c>
      <c r="W49" s="42">
        <v>0</v>
      </c>
      <c r="X49" s="42">
        <v>0.7966256879585204</v>
      </c>
      <c r="Y49" s="42">
        <v>0.75579450316162111</v>
      </c>
      <c r="Z49" s="42">
        <v>3.8155638129549634</v>
      </c>
      <c r="AA49" s="42">
        <v>0.61832459690041608</v>
      </c>
      <c r="AB49" s="42">
        <v>0.31335052162480581</v>
      </c>
      <c r="AC49" s="42">
        <v>0.31615642483537376</v>
      </c>
      <c r="AD49" s="42">
        <v>0.36913136521704493</v>
      </c>
      <c r="AE49" s="42">
        <v>0.3146467578442923</v>
      </c>
      <c r="AF49" s="42">
        <v>0.39034496104176986</v>
      </c>
      <c r="AG49" s="42">
        <v>0.79566280214682905</v>
      </c>
      <c r="AH49" s="42">
        <v>8.4856014336856358</v>
      </c>
      <c r="AI49" s="42">
        <v>8.4856033830200168</v>
      </c>
      <c r="AJ49" s="42">
        <v>0</v>
      </c>
      <c r="AK49" s="42">
        <v>0.66592250470970571</v>
      </c>
      <c r="AL49" s="42">
        <v>0.37427150386167407</v>
      </c>
      <c r="AM49" s="42">
        <v>0.83570399428574682</v>
      </c>
      <c r="AN49" s="42">
        <v>0.46441824463150466</v>
      </c>
      <c r="AO49" s="42">
        <v>0.64081405342029929</v>
      </c>
      <c r="AP49" s="42">
        <v>1.2131390828737458</v>
      </c>
      <c r="AQ49" s="42">
        <v>0.4585368751458444</v>
      </c>
      <c r="AR49" s="42">
        <v>0.47906528705015911</v>
      </c>
      <c r="AS49" s="42">
        <v>0.20518096083687629</v>
      </c>
      <c r="AT49" s="42">
        <v>0.4076356992845801</v>
      </c>
      <c r="AU49" s="42">
        <v>1.3589976721817179</v>
      </c>
      <c r="AV49" s="42">
        <v>7.1036858782818548</v>
      </c>
      <c r="AW49" s="42">
        <v>7.1036875145844354</v>
      </c>
      <c r="AX49" s="42"/>
      <c r="AY49" s="42">
        <v>0.748529</v>
      </c>
      <c r="AZ49" s="42">
        <v>0.98456299999999997</v>
      </c>
      <c r="BA49" s="42">
        <v>1.29769</v>
      </c>
      <c r="BB49" s="42">
        <v>0.56555</v>
      </c>
      <c r="BC49" s="42">
        <v>0.81716299999999997</v>
      </c>
      <c r="BD49" s="42">
        <v>1.0589459999999999</v>
      </c>
      <c r="BE49" s="42">
        <v>0.65972500000000001</v>
      </c>
      <c r="BF49" s="42">
        <v>6.8669434599999999</v>
      </c>
      <c r="BG49" s="42">
        <v>0.77430683000000011</v>
      </c>
      <c r="BH49" s="42">
        <v>0.91527996</v>
      </c>
      <c r="BI49" s="42">
        <v>9.1470301000000003</v>
      </c>
      <c r="BJ49" s="45">
        <f t="shared" si="28"/>
        <v>23.835726350000002</v>
      </c>
      <c r="BK49" s="42">
        <v>22.272048999999999</v>
      </c>
      <c r="BL49" s="42">
        <v>6.2620000000000004E-4</v>
      </c>
      <c r="BM49" s="42">
        <v>0.36018211999999999</v>
      </c>
      <c r="BN49" s="42">
        <v>1.3636492900000001</v>
      </c>
      <c r="BO49" s="42">
        <v>1.1565622099999999</v>
      </c>
      <c r="BP49" s="42">
        <v>0.68131443999999997</v>
      </c>
      <c r="BQ49" s="42">
        <v>1.01073244</v>
      </c>
      <c r="BR49" s="42">
        <v>0.71952517000000005</v>
      </c>
      <c r="BS49" s="42">
        <v>0.46222083000000003</v>
      </c>
      <c r="BT49" s="42">
        <v>0.74140005000000009</v>
      </c>
      <c r="BU49" s="42">
        <v>1.38150156</v>
      </c>
      <c r="BV49" s="42">
        <v>0.75056452000000007</v>
      </c>
      <c r="BW49" s="42">
        <v>0.36765101</v>
      </c>
      <c r="BX49" s="45">
        <f t="shared" si="4"/>
        <v>8.9959298399999987</v>
      </c>
      <c r="BY49" s="45">
        <v>8.9959298399999987</v>
      </c>
      <c r="BZ49" s="45">
        <v>0.13374770000000002</v>
      </c>
      <c r="CA49" s="45">
        <v>1.74246071</v>
      </c>
      <c r="CB49" s="45">
        <v>2.6343886200000002</v>
      </c>
      <c r="CC49" s="45">
        <v>1.36088411</v>
      </c>
      <c r="CD49" s="45">
        <v>0.58813802999999998</v>
      </c>
      <c r="CE49" s="45">
        <v>3.7838964900000001</v>
      </c>
      <c r="CF49" s="45">
        <v>1.7408942200000002</v>
      </c>
      <c r="CG49" s="45">
        <v>1.75093918</v>
      </c>
      <c r="CH49" s="45">
        <v>0.93376892000000022</v>
      </c>
      <c r="CI49" s="45">
        <v>0.23175949000000001</v>
      </c>
      <c r="CJ49" s="45">
        <v>0.1734087</v>
      </c>
      <c r="CK49" s="45">
        <v>0.62083712000000002</v>
      </c>
      <c r="CL49" s="45">
        <f t="shared" si="5"/>
        <v>15.695123289999998</v>
      </c>
      <c r="CM49" s="45">
        <v>15.695123000000001</v>
      </c>
      <c r="CN49" s="45">
        <v>0</v>
      </c>
      <c r="CO49" s="45">
        <v>0.10009827</v>
      </c>
      <c r="CP49" s="45">
        <v>1.44467243</v>
      </c>
      <c r="CQ49" s="45">
        <v>3.1663042300000002</v>
      </c>
      <c r="CR49" s="45">
        <v>0.43104913</v>
      </c>
      <c r="CS49" s="45">
        <v>0.91536731000000005</v>
      </c>
      <c r="CT49" s="45">
        <v>0.66774911999999997</v>
      </c>
      <c r="CU49" s="45">
        <v>0.59250002000000002</v>
      </c>
      <c r="CV49" s="45">
        <v>0.70365630999999995</v>
      </c>
      <c r="CW49" s="45">
        <v>2.0398162800000001</v>
      </c>
      <c r="CX49" s="45">
        <v>15.01302641</v>
      </c>
      <c r="CY49" s="45">
        <v>0.85764262000000002</v>
      </c>
      <c r="CZ49" s="45">
        <f t="shared" si="6"/>
        <v>25.931882129999998</v>
      </c>
      <c r="DA49" s="45">
        <v>25.931882000000002</v>
      </c>
      <c r="DB49" s="45">
        <v>1.41047E-3</v>
      </c>
      <c r="DC49" s="45">
        <v>0</v>
      </c>
      <c r="DD49" s="45">
        <v>1.63075656</v>
      </c>
      <c r="DE49" s="45">
        <v>0.57742054999999992</v>
      </c>
      <c r="DF49" s="45">
        <v>0.79059857000000011</v>
      </c>
      <c r="DG49" s="45">
        <v>0.43052953999999999</v>
      </c>
      <c r="DH49" s="45">
        <v>1.1880545899999999</v>
      </c>
      <c r="DI49" s="45">
        <v>0.4690491</v>
      </c>
      <c r="DJ49" s="45">
        <v>1.26988436</v>
      </c>
      <c r="DK49" s="45">
        <v>1.5357783</v>
      </c>
      <c r="DL49" s="45">
        <v>0.23274235999999998</v>
      </c>
      <c r="DM49" s="45">
        <v>0.95868307000000008</v>
      </c>
      <c r="DN49" s="45">
        <f t="shared" si="7"/>
        <v>9.0849074699999992</v>
      </c>
      <c r="DO49" s="45">
        <v>9.0849080000000004</v>
      </c>
      <c r="DP49" s="45">
        <v>5.0509999999999999E-2</v>
      </c>
      <c r="DQ49" s="45">
        <v>2.3000000000000001E-4</v>
      </c>
      <c r="DR49" s="45">
        <v>0.67354546000000004</v>
      </c>
      <c r="DS49" s="45">
        <v>0.46113604000000002</v>
      </c>
      <c r="DT49" s="45">
        <v>2.4096089600000004</v>
      </c>
      <c r="DU49" s="45">
        <v>0.54139895999999998</v>
      </c>
      <c r="DV49" s="45">
        <v>0.36487720000000001</v>
      </c>
      <c r="DW49" s="45">
        <v>1.23198048</v>
      </c>
      <c r="DX49" s="45">
        <v>0.33469336999999999</v>
      </c>
      <c r="DY49" s="45">
        <v>0.55381502999999987</v>
      </c>
      <c r="DZ49" s="45">
        <v>0.46298914000000002</v>
      </c>
      <c r="EA49" s="45">
        <v>1.1383910400000001</v>
      </c>
      <c r="EB49" s="45">
        <f t="shared" si="10"/>
        <v>8.2231756800000007</v>
      </c>
      <c r="EC49" s="45">
        <v>8.2231749999999995</v>
      </c>
      <c r="ED49" s="45">
        <v>9.4390000000000002E-2</v>
      </c>
      <c r="EE49" s="45">
        <v>4.6951900000000005E-2</v>
      </c>
      <c r="EF49" s="45">
        <v>5.6596819000000007</v>
      </c>
      <c r="EG49" s="45">
        <v>12.372859949999999</v>
      </c>
      <c r="EH49" s="45">
        <v>0.89066498999999999</v>
      </c>
      <c r="EI49" s="45">
        <v>4.5790041800000001</v>
      </c>
      <c r="EJ49" s="45">
        <v>0.88259222999999998</v>
      </c>
      <c r="EK49" s="45">
        <v>12.57066163</v>
      </c>
      <c r="EL49" s="45">
        <v>2.9233329699999997</v>
      </c>
      <c r="EM49" s="45">
        <v>0.99403675999999996</v>
      </c>
      <c r="EN49" s="45">
        <v>5.0643632200000006</v>
      </c>
      <c r="EO49" s="45">
        <v>27.896619100000002</v>
      </c>
      <c r="EP49" s="45">
        <f t="shared" si="11"/>
        <v>73.975158829999998</v>
      </c>
      <c r="EQ49" s="45">
        <v>73.975159000000005</v>
      </c>
      <c r="ER49" s="45">
        <v>4.6677449999999995E-2</v>
      </c>
      <c r="ES49" s="42">
        <v>6.3948820000000003E-2</v>
      </c>
      <c r="ET49" s="45">
        <v>4.1374883599999999</v>
      </c>
      <c r="EU49" s="45">
        <v>1.4875127299999999</v>
      </c>
      <c r="EV49" s="42">
        <v>5.0548215599999997</v>
      </c>
      <c r="EW49" s="42">
        <v>2.1981288299999999</v>
      </c>
      <c r="EX49" s="42">
        <v>1.4197062499999999</v>
      </c>
      <c r="EY49" s="42">
        <v>1.65283366</v>
      </c>
      <c r="EZ49" s="42">
        <v>1.59127262</v>
      </c>
      <c r="FA49" s="42">
        <v>1.7697989999999999</v>
      </c>
      <c r="FB49" s="42">
        <v>4.5695189699999998</v>
      </c>
      <c r="FC49" s="42">
        <v>12.879310969999999</v>
      </c>
      <c r="FD49" s="45">
        <f t="shared" si="12"/>
        <v>36.871019219999994</v>
      </c>
      <c r="FE49" s="45">
        <v>36.871017999999999</v>
      </c>
      <c r="FF49" s="45">
        <v>6.7839999999999998E-2</v>
      </c>
      <c r="FG49" s="45">
        <v>0.12101000000000001</v>
      </c>
      <c r="FH49" s="45">
        <v>7.8235781099999997</v>
      </c>
      <c r="FI49" s="45">
        <v>1.69506625</v>
      </c>
      <c r="FJ49" s="45">
        <v>7.0371868799999993</v>
      </c>
      <c r="FK49" s="45">
        <v>4.4067030100000002</v>
      </c>
      <c r="FL49" s="45">
        <v>3.9280400200000001</v>
      </c>
      <c r="FM49" s="45">
        <v>3.5010338399999998</v>
      </c>
      <c r="FN49" s="45">
        <v>0.47918132000000002</v>
      </c>
      <c r="FO49" s="45">
        <v>1.07729081</v>
      </c>
      <c r="FP49" s="45">
        <v>0.90496171000000003</v>
      </c>
      <c r="FQ49" s="45">
        <v>4.4376617299999994</v>
      </c>
      <c r="FR49" s="45">
        <f t="shared" si="13"/>
        <v>35.479553680000002</v>
      </c>
      <c r="FS49" s="45">
        <v>35.479554</v>
      </c>
      <c r="FT49" s="45">
        <v>6.8750000000000006E-2</v>
      </c>
      <c r="FU49" s="45">
        <v>9.7449999999999995E-2</v>
      </c>
      <c r="FV49" s="45">
        <v>0.27375748</v>
      </c>
      <c r="FW49" s="45">
        <v>16.335296179999997</v>
      </c>
      <c r="FX49" s="45">
        <v>5.9710667599999994</v>
      </c>
      <c r="FY49" s="45">
        <v>3.6405937900000001</v>
      </c>
      <c r="FZ49" s="45">
        <v>0.69792360999999992</v>
      </c>
      <c r="GA49" s="45">
        <v>4.07643311</v>
      </c>
      <c r="GB49" s="45">
        <v>6.5083541800000004</v>
      </c>
      <c r="GC49" s="45">
        <v>4.6008403599999994</v>
      </c>
      <c r="GD49" s="45">
        <v>4.2191365599999999</v>
      </c>
      <c r="GE49" s="45">
        <v>0.92008075</v>
      </c>
      <c r="GF49" s="45">
        <f t="shared" si="14"/>
        <v>47.409682779999997</v>
      </c>
      <c r="GG49" s="45">
        <v>47.409683000000001</v>
      </c>
      <c r="GH49" s="45">
        <v>4.7219999999999998E-2</v>
      </c>
      <c r="GI49" s="45">
        <v>0.55091204999999999</v>
      </c>
      <c r="GJ49" s="45">
        <v>2.05112235</v>
      </c>
      <c r="GK49" s="45">
        <v>16.481018469999999</v>
      </c>
      <c r="GL49" s="45">
        <v>1.8378633200000001</v>
      </c>
      <c r="GM49" s="45">
        <v>5.8186296900000007</v>
      </c>
      <c r="GN49" s="45">
        <v>1.424107</v>
      </c>
      <c r="GO49" s="45">
        <v>3.9845432000000001</v>
      </c>
      <c r="GP49" s="45">
        <v>0.75396249999999998</v>
      </c>
      <c r="GQ49" s="45">
        <v>3.8079524899999999</v>
      </c>
      <c r="GR49" s="45">
        <v>2.2440351500000002</v>
      </c>
      <c r="GS49" s="45">
        <v>4.4831189899999995</v>
      </c>
      <c r="GT49" s="45">
        <f t="shared" si="20"/>
        <v>43.484485210000003</v>
      </c>
      <c r="GU49" s="45">
        <v>43.484485999999997</v>
      </c>
      <c r="GV49" s="45">
        <v>2.5250000000000002E-2</v>
      </c>
      <c r="GW49" s="45">
        <v>6.5540000000000001E-2</v>
      </c>
      <c r="GX49" s="45">
        <v>2.2875883099999998</v>
      </c>
      <c r="GY49" s="45">
        <v>8.2862957299999991</v>
      </c>
      <c r="GZ49" s="45">
        <v>9.0953784100000004</v>
      </c>
      <c r="HA49" s="45">
        <v>5.2419931299999991</v>
      </c>
      <c r="HB49" s="45">
        <v>0.46110453999999995</v>
      </c>
      <c r="HC49" s="45">
        <v>3.1743925500000003</v>
      </c>
      <c r="HD49" s="45">
        <v>7.3846186899999999</v>
      </c>
      <c r="HE49" s="45">
        <v>4.4337265600000011</v>
      </c>
      <c r="HF49" s="45">
        <v>0.32661216999999998</v>
      </c>
      <c r="HG49" s="45">
        <v>4.3533221900000001</v>
      </c>
      <c r="HH49" s="45">
        <f t="shared" si="15"/>
        <v>45.135822279999999</v>
      </c>
      <c r="HI49" s="45">
        <v>5.8404999999999999E-2</v>
      </c>
      <c r="HJ49" s="45">
        <v>0.10022411000000001</v>
      </c>
      <c r="HK49" s="45">
        <v>3.0742872699999997</v>
      </c>
      <c r="HL49" s="45">
        <v>14.58687336</v>
      </c>
      <c r="HM49" s="45"/>
      <c r="HN49" s="45"/>
      <c r="HO49" s="45"/>
      <c r="HP49" s="45"/>
      <c r="HQ49" s="45"/>
      <c r="HR49" s="45"/>
      <c r="HS49" s="45"/>
      <c r="HT49" s="45"/>
      <c r="HU49" s="283">
        <f t="shared" si="16"/>
        <v>10.664674</v>
      </c>
      <c r="HV49" s="283">
        <f t="shared" si="17"/>
        <v>17.819790000000001</v>
      </c>
      <c r="HW49" s="280">
        <f t="shared" si="30"/>
        <v>7.1551160000000014</v>
      </c>
      <c r="HX49" s="280">
        <f t="shared" si="31"/>
        <v>67.09174607681399</v>
      </c>
    </row>
    <row r="50" spans="1:232" s="12" customFormat="1" ht="20.25" customHeight="1">
      <c r="A50" s="56" t="s">
        <v>136</v>
      </c>
      <c r="B50" s="13">
        <v>3200</v>
      </c>
      <c r="C50" s="56" t="s">
        <v>137</v>
      </c>
      <c r="D50" s="42">
        <v>1206.0197608437061</v>
      </c>
      <c r="E50" s="42">
        <v>1568.791402723946</v>
      </c>
      <c r="F50" s="42">
        <v>1450.0598716000477</v>
      </c>
      <c r="G50" s="42">
        <v>1442.8067156703719</v>
      </c>
      <c r="H50" s="42">
        <v>52.142460984854949</v>
      </c>
      <c r="I50" s="42">
        <v>111.0981565699683</v>
      </c>
      <c r="J50" s="42">
        <v>92.27195922333965</v>
      </c>
      <c r="K50" s="42">
        <v>88.8340368011565</v>
      </c>
      <c r="L50" s="42">
        <v>124.87828475648973</v>
      </c>
      <c r="M50" s="42">
        <v>98.340727557008023</v>
      </c>
      <c r="N50" s="42">
        <v>100.43528914172482</v>
      </c>
      <c r="O50" s="42">
        <v>98.8715610611209</v>
      </c>
      <c r="P50" s="42">
        <v>124.32730794076839</v>
      </c>
      <c r="Q50" s="42">
        <v>98.826021280470798</v>
      </c>
      <c r="R50" s="42">
        <v>149.46891265558247</v>
      </c>
      <c r="S50" s="42">
        <v>240.73208893229537</v>
      </c>
      <c r="T50" s="42">
        <v>1380.0525318296441</v>
      </c>
      <c r="U50" s="42">
        <v>1379.5687360914283</v>
      </c>
      <c r="V50" s="42">
        <v>68.535706968087837</v>
      </c>
      <c r="W50" s="42">
        <v>119.66977374915338</v>
      </c>
      <c r="X50" s="42">
        <v>112.29987344978116</v>
      </c>
      <c r="Y50" s="42">
        <v>83.435724483639817</v>
      </c>
      <c r="Z50" s="42">
        <v>102.28597877928983</v>
      </c>
      <c r="AA50" s="42">
        <v>103.83469929027154</v>
      </c>
      <c r="AB50" s="42">
        <v>107.14359764600088</v>
      </c>
      <c r="AC50" s="42">
        <v>119.28942777787263</v>
      </c>
      <c r="AD50" s="42">
        <v>108.37329468813495</v>
      </c>
      <c r="AE50" s="42">
        <v>182.21445553810165</v>
      </c>
      <c r="AF50" s="42">
        <v>178.13716341967321</v>
      </c>
      <c r="AG50" s="42">
        <v>236.33675391716605</v>
      </c>
      <c r="AH50" s="42">
        <v>1521.3296012544038</v>
      </c>
      <c r="AI50" s="42">
        <v>1522.7494507714812</v>
      </c>
      <c r="AJ50" s="42">
        <v>72.596376799221417</v>
      </c>
      <c r="AK50" s="42">
        <v>129.26379616507589</v>
      </c>
      <c r="AL50" s="42">
        <v>118.01213140505746</v>
      </c>
      <c r="AM50" s="42">
        <v>107.86734992971014</v>
      </c>
      <c r="AN50" s="42">
        <v>111.24704322969136</v>
      </c>
      <c r="AO50" s="42">
        <v>104.43960762886952</v>
      </c>
      <c r="AP50" s="42">
        <v>104.98370954064006</v>
      </c>
      <c r="AQ50" s="42">
        <v>117.40762858492553</v>
      </c>
      <c r="AR50" s="42">
        <v>104.15605773444659</v>
      </c>
      <c r="AS50" s="42">
        <v>109.18284329628175</v>
      </c>
      <c r="AT50" s="42">
        <v>167.67324460304721</v>
      </c>
      <c r="AU50" s="42">
        <v>223.73994314204245</v>
      </c>
      <c r="AV50" s="42">
        <v>1470.0812060972903</v>
      </c>
      <c r="AW50" s="42">
        <v>1467.1672514669808</v>
      </c>
      <c r="AX50" s="42">
        <v>84.002543000000003</v>
      </c>
      <c r="AY50" s="42">
        <v>147.281395</v>
      </c>
      <c r="AZ50" s="42">
        <v>107.068077</v>
      </c>
      <c r="BA50" s="42">
        <v>127.92684199999999</v>
      </c>
      <c r="BB50" s="42">
        <v>111.787188</v>
      </c>
      <c r="BC50" s="42">
        <v>101.639926</v>
      </c>
      <c r="BD50" s="42">
        <v>124.163319</v>
      </c>
      <c r="BE50" s="42">
        <v>107.19628299999999</v>
      </c>
      <c r="BF50" s="42">
        <v>104.92583376000005</v>
      </c>
      <c r="BG50" s="42">
        <v>152.95778455000001</v>
      </c>
      <c r="BH50" s="42">
        <v>192.22570206999998</v>
      </c>
      <c r="BI50" s="42">
        <v>316.07507018999996</v>
      </c>
      <c r="BJ50" s="45">
        <f t="shared" si="28"/>
        <v>1677.2499635699999</v>
      </c>
      <c r="BK50" s="42">
        <v>1679.333627</v>
      </c>
      <c r="BL50" s="42">
        <v>101.80283692</v>
      </c>
      <c r="BM50" s="42">
        <v>137.47911278000001</v>
      </c>
      <c r="BN50" s="42">
        <v>130.89454135</v>
      </c>
      <c r="BO50" s="42">
        <v>133.48888170000001</v>
      </c>
      <c r="BP50" s="42">
        <v>97.797926229999959</v>
      </c>
      <c r="BQ50" s="42">
        <v>124.48012808000001</v>
      </c>
      <c r="BR50" s="42">
        <v>129.81560697000006</v>
      </c>
      <c r="BS50" s="42">
        <v>121.47387102999998</v>
      </c>
      <c r="BT50" s="42">
        <v>118.43631661000005</v>
      </c>
      <c r="BU50" s="42">
        <v>108.58694641000002</v>
      </c>
      <c r="BV50" s="42">
        <v>148.28738865999998</v>
      </c>
      <c r="BW50" s="42">
        <v>239.17197756000002</v>
      </c>
      <c r="BX50" s="45">
        <f t="shared" si="4"/>
        <v>1591.7155342999999</v>
      </c>
      <c r="BY50" s="45">
        <v>1591.724062</v>
      </c>
      <c r="BZ50" s="45">
        <v>129.05250996999999</v>
      </c>
      <c r="CA50" s="45">
        <v>164.07212869000003</v>
      </c>
      <c r="CB50" s="45">
        <v>165.57242837999999</v>
      </c>
      <c r="CC50" s="45">
        <v>201.74378200000004</v>
      </c>
      <c r="CD50" s="45">
        <v>88.464533930000002</v>
      </c>
      <c r="CE50" s="45">
        <v>96.206326340000018</v>
      </c>
      <c r="CF50" s="45">
        <v>114.18736097000003</v>
      </c>
      <c r="CG50" s="45">
        <v>85.098386760000025</v>
      </c>
      <c r="CH50" s="45">
        <v>85.913610319999947</v>
      </c>
      <c r="CI50" s="45">
        <v>165.84605305000005</v>
      </c>
      <c r="CJ50" s="45">
        <v>157.44797571000001</v>
      </c>
      <c r="CK50" s="45">
        <v>233.47478466999999</v>
      </c>
      <c r="CL50" s="45">
        <f t="shared" si="5"/>
        <v>1687.0798807900001</v>
      </c>
      <c r="CM50" s="45">
        <v>1687.0778110000001</v>
      </c>
      <c r="CN50" s="45">
        <v>114.23375340999999</v>
      </c>
      <c r="CO50" s="45">
        <v>139.89706019999994</v>
      </c>
      <c r="CP50" s="45">
        <v>112.44979634999993</v>
      </c>
      <c r="CQ50" s="45">
        <v>98.187679070000002</v>
      </c>
      <c r="CR50" s="45">
        <v>104.18421768000005</v>
      </c>
      <c r="CS50" s="45">
        <v>152.74542154000002</v>
      </c>
      <c r="CT50" s="45">
        <v>95.71577624999999</v>
      </c>
      <c r="CU50" s="45">
        <v>97.28343330999995</v>
      </c>
      <c r="CV50" s="45">
        <v>99.131714629999991</v>
      </c>
      <c r="CW50" s="45">
        <v>202.07619393999994</v>
      </c>
      <c r="CX50" s="45">
        <v>158.80671117000006</v>
      </c>
      <c r="CY50" s="45">
        <v>279.25357627000017</v>
      </c>
      <c r="CZ50" s="45">
        <f t="shared" si="6"/>
        <v>1653.9653338200001</v>
      </c>
      <c r="DA50" s="45">
        <v>1656.1727960000001</v>
      </c>
      <c r="DB50" s="45">
        <v>121.95421832999999</v>
      </c>
      <c r="DC50" s="45">
        <v>130.27650783000001</v>
      </c>
      <c r="DD50" s="45">
        <v>122.86266972</v>
      </c>
      <c r="DE50" s="45">
        <v>191.07098265999991</v>
      </c>
      <c r="DF50" s="45">
        <v>114.81788413000001</v>
      </c>
      <c r="DG50" s="45">
        <v>135.97434143999999</v>
      </c>
      <c r="DH50" s="45">
        <v>128.06290192000003</v>
      </c>
      <c r="DI50" s="45">
        <v>154.11313433000001</v>
      </c>
      <c r="DJ50" s="45">
        <v>116.45575661999999</v>
      </c>
      <c r="DK50" s="45">
        <v>268.06366039000005</v>
      </c>
      <c r="DL50" s="45">
        <v>178.17183269999995</v>
      </c>
      <c r="DM50" s="45">
        <v>334.28492974999989</v>
      </c>
      <c r="DN50" s="45">
        <f t="shared" si="7"/>
        <v>1996.10881982</v>
      </c>
      <c r="DO50" s="45">
        <v>1996.0978660000001</v>
      </c>
      <c r="DP50" s="45">
        <v>131.29050462999999</v>
      </c>
      <c r="DQ50" s="45">
        <v>145.55870080999998</v>
      </c>
      <c r="DR50" s="45">
        <v>129.00227040999999</v>
      </c>
      <c r="DS50" s="45">
        <v>145.64970653</v>
      </c>
      <c r="DT50" s="45">
        <v>129.91912557000001</v>
      </c>
      <c r="DU50" s="45">
        <v>124.33952485000002</v>
      </c>
      <c r="DV50" s="45">
        <v>165.0900527200001</v>
      </c>
      <c r="DW50" s="45">
        <v>135.31481241000003</v>
      </c>
      <c r="DX50" s="45">
        <v>125.38122034999999</v>
      </c>
      <c r="DY50" s="45">
        <v>246.62997707</v>
      </c>
      <c r="DZ50" s="45">
        <v>178.89506920999995</v>
      </c>
      <c r="EA50" s="45">
        <v>384.08150677000009</v>
      </c>
      <c r="EB50" s="45">
        <f t="shared" si="10"/>
        <v>2041.15247133</v>
      </c>
      <c r="EC50" s="45">
        <v>2041.134202</v>
      </c>
      <c r="ED50" s="45">
        <v>142.03049186999996</v>
      </c>
      <c r="EE50" s="45">
        <v>162.26379109999999</v>
      </c>
      <c r="EF50" s="45">
        <v>177.86132531999996</v>
      </c>
      <c r="EG50" s="45">
        <v>266.04522769000005</v>
      </c>
      <c r="EH50" s="45">
        <v>106.67047944999995</v>
      </c>
      <c r="EI50" s="45">
        <v>133.00820909000001</v>
      </c>
      <c r="EJ50" s="45">
        <v>156.63020695999995</v>
      </c>
      <c r="EK50" s="45">
        <v>223.6742021499999</v>
      </c>
      <c r="EL50" s="45">
        <v>166.27790732999998</v>
      </c>
      <c r="EM50" s="45">
        <v>286.09146620999991</v>
      </c>
      <c r="EN50" s="45">
        <v>158.75830696</v>
      </c>
      <c r="EO50" s="45">
        <v>413.01736922000015</v>
      </c>
      <c r="EP50" s="45">
        <f t="shared" si="11"/>
        <v>2392.3289833499998</v>
      </c>
      <c r="EQ50" s="45">
        <v>2392.358557</v>
      </c>
      <c r="ER50" s="45">
        <v>129.34240738999995</v>
      </c>
      <c r="ES50" s="42">
        <v>226.63368915999996</v>
      </c>
      <c r="ET50" s="45">
        <v>199.91115673000007</v>
      </c>
      <c r="EU50" s="45">
        <v>211.10951765000007</v>
      </c>
      <c r="EV50" s="42">
        <v>186.44620754000002</v>
      </c>
      <c r="EW50" s="42">
        <v>186.97675931999999</v>
      </c>
      <c r="EX50" s="45">
        <v>197.66771175000002</v>
      </c>
      <c r="EY50" s="42">
        <v>192.59674317999998</v>
      </c>
      <c r="EZ50" s="42">
        <v>217.35070822000006</v>
      </c>
      <c r="FA50" s="42">
        <v>318.80617000000001</v>
      </c>
      <c r="FB50" s="42">
        <v>194.33034000000001</v>
      </c>
      <c r="FC50" s="42">
        <v>1023.189697</v>
      </c>
      <c r="FD50" s="45">
        <f t="shared" si="12"/>
        <v>3284.3611079399998</v>
      </c>
      <c r="FE50" s="45">
        <v>3284.3665769999998</v>
      </c>
      <c r="FF50" s="45">
        <v>235.63441855000005</v>
      </c>
      <c r="FG50" s="45">
        <v>253.66633233000002</v>
      </c>
      <c r="FH50" s="45">
        <v>303.18291794999999</v>
      </c>
      <c r="FI50" s="45">
        <v>277.82841506000011</v>
      </c>
      <c r="FJ50" s="45">
        <v>278.63162069999981</v>
      </c>
      <c r="FK50" s="45">
        <v>250.05072958000002</v>
      </c>
      <c r="FL50" s="45">
        <v>199.19221811999984</v>
      </c>
      <c r="FM50" s="45">
        <v>202.87171404000003</v>
      </c>
      <c r="FN50" s="45">
        <v>214.17107600999989</v>
      </c>
      <c r="FO50" s="45">
        <v>336.28335828000002</v>
      </c>
      <c r="FP50" s="45">
        <v>241.27881556999992</v>
      </c>
      <c r="FQ50" s="45">
        <v>692.49805760000015</v>
      </c>
      <c r="FR50" s="45">
        <f t="shared" si="13"/>
        <v>3485.2896737900001</v>
      </c>
      <c r="FS50" s="45">
        <v>3485.1821580000001</v>
      </c>
      <c r="FT50" s="45">
        <v>195.94948497000021</v>
      </c>
      <c r="FU50" s="45">
        <v>417.11791273999989</v>
      </c>
      <c r="FV50" s="45">
        <v>338.28398999000001</v>
      </c>
      <c r="FW50" s="45">
        <v>272.90162889999999</v>
      </c>
      <c r="FX50" s="45">
        <v>251.76302408999996</v>
      </c>
      <c r="FY50" s="45">
        <v>241.52097403000002</v>
      </c>
      <c r="FZ50" s="45">
        <v>248.14096948999997</v>
      </c>
      <c r="GA50" s="45">
        <v>234.50698155000001</v>
      </c>
      <c r="GB50" s="45">
        <v>229.42273133999996</v>
      </c>
      <c r="GC50" s="45">
        <v>274.72801366000004</v>
      </c>
      <c r="GD50" s="45">
        <v>334.64211128999995</v>
      </c>
      <c r="GE50" s="45">
        <v>595.26334190999978</v>
      </c>
      <c r="GF50" s="45">
        <f t="shared" si="14"/>
        <v>3634.24116396</v>
      </c>
      <c r="GG50" s="45">
        <v>3634.2373480000001</v>
      </c>
      <c r="GH50" s="45">
        <v>292.3391951399999</v>
      </c>
      <c r="GI50" s="45">
        <v>216.52123166999991</v>
      </c>
      <c r="GJ50" s="45">
        <v>279.27221342000001</v>
      </c>
      <c r="GK50" s="45">
        <v>400.53144066000004</v>
      </c>
      <c r="GL50" s="45">
        <v>246.23266254999993</v>
      </c>
      <c r="GM50" s="45">
        <v>264.44144374000001</v>
      </c>
      <c r="GN50" s="45">
        <v>296.11527213000005</v>
      </c>
      <c r="GO50" s="45">
        <v>264.52280046999982</v>
      </c>
      <c r="GP50" s="45">
        <v>223.97639432000005</v>
      </c>
      <c r="GQ50" s="45">
        <v>334.82812609000001</v>
      </c>
      <c r="GR50" s="45">
        <v>258.91830987999992</v>
      </c>
      <c r="GS50" s="45">
        <v>565.93898708000074</v>
      </c>
      <c r="GT50" s="45">
        <f t="shared" si="20"/>
        <v>3643.6380771500008</v>
      </c>
      <c r="GU50" s="45">
        <v>3643.6452939999999</v>
      </c>
      <c r="GV50" s="45">
        <v>303.45421311999985</v>
      </c>
      <c r="GW50" s="45">
        <v>283.81129063999998</v>
      </c>
      <c r="GX50" s="45">
        <v>361.18754626999998</v>
      </c>
      <c r="GY50" s="45">
        <v>379.87036371999994</v>
      </c>
      <c r="GZ50" s="45">
        <v>252.13779017999991</v>
      </c>
      <c r="HA50" s="45">
        <v>225.9877706099999</v>
      </c>
      <c r="HB50" s="45">
        <v>289.90298924999996</v>
      </c>
      <c r="HC50" s="45">
        <v>306.59929334000003</v>
      </c>
      <c r="HD50" s="45">
        <v>289.06703773999993</v>
      </c>
      <c r="HE50" s="45">
        <v>365.03088930000001</v>
      </c>
      <c r="HF50" s="45">
        <v>292.88121332000009</v>
      </c>
      <c r="HG50" s="45">
        <v>592.93538266000053</v>
      </c>
      <c r="HH50" s="45">
        <f t="shared" si="15"/>
        <v>3942.8657801499999</v>
      </c>
      <c r="HI50" s="45">
        <v>337.00221457000015</v>
      </c>
      <c r="HJ50" s="45">
        <v>293.83664163000014</v>
      </c>
      <c r="HK50" s="45">
        <v>298.86998143000005</v>
      </c>
      <c r="HL50" s="45">
        <v>308.10692625000007</v>
      </c>
      <c r="HM50" s="45"/>
      <c r="HN50" s="45"/>
      <c r="HO50" s="45"/>
      <c r="HP50" s="45"/>
      <c r="HQ50" s="45"/>
      <c r="HR50" s="45"/>
      <c r="HS50" s="45"/>
      <c r="HT50" s="45"/>
      <c r="HU50" s="283">
        <f t="shared" si="16"/>
        <v>1328.323414</v>
      </c>
      <c r="HV50" s="283">
        <f t="shared" si="17"/>
        <v>1237.8157639999999</v>
      </c>
      <c r="HW50" s="280">
        <f t="shared" si="30"/>
        <v>-90.507650000000012</v>
      </c>
      <c r="HX50" s="280">
        <f t="shared" si="31"/>
        <v>-6.8136757243067052</v>
      </c>
    </row>
    <row r="51" spans="1:232" s="12" customFormat="1" ht="20.25" customHeight="1">
      <c r="A51" s="56" t="s">
        <v>138</v>
      </c>
      <c r="B51" s="13">
        <v>3300</v>
      </c>
      <c r="C51" s="56" t="s">
        <v>139</v>
      </c>
      <c r="D51" s="42">
        <v>56.343725989038198</v>
      </c>
      <c r="E51" s="42">
        <v>66.578040250197787</v>
      </c>
      <c r="F51" s="42">
        <v>60.640935452843188</v>
      </c>
      <c r="G51" s="42">
        <v>79.587361483429234</v>
      </c>
      <c r="H51" s="42">
        <v>5.6382177676848739</v>
      </c>
      <c r="I51" s="42">
        <v>5.6382177676848739</v>
      </c>
      <c r="J51" s="42">
        <v>5.4290541886500359</v>
      </c>
      <c r="K51" s="42">
        <v>5.4290541886500359</v>
      </c>
      <c r="L51" s="42">
        <v>5.4324022060204555</v>
      </c>
      <c r="M51" s="42">
        <v>5.302681828788681</v>
      </c>
      <c r="N51" s="42">
        <v>4.692663587572067</v>
      </c>
      <c r="O51" s="42">
        <v>4.7470187278387712</v>
      </c>
      <c r="P51" s="42">
        <v>5.2417814924217856</v>
      </c>
      <c r="Q51" s="42">
        <v>4.9852448193237375</v>
      </c>
      <c r="R51" s="42">
        <v>6.1389391636928652</v>
      </c>
      <c r="S51" s="42">
        <v>6.6810220203641411</v>
      </c>
      <c r="T51" s="42">
        <v>65.356297758692321</v>
      </c>
      <c r="U51" s="42">
        <v>65.356298484356955</v>
      </c>
      <c r="V51" s="42">
        <v>5.1880581214677211</v>
      </c>
      <c r="W51" s="42">
        <v>5.1908284528830224</v>
      </c>
      <c r="X51" s="42">
        <v>5.2267559661015017</v>
      </c>
      <c r="Y51" s="42">
        <v>4.9506320396582835</v>
      </c>
      <c r="Z51" s="42">
        <v>4.7291008588454249</v>
      </c>
      <c r="AA51" s="42">
        <v>6.7669563633673109</v>
      </c>
      <c r="AB51" s="42">
        <v>4.2199133755641682</v>
      </c>
      <c r="AC51" s="42">
        <v>4.9917316919084129</v>
      </c>
      <c r="AD51" s="42">
        <v>5.9633539365171506</v>
      </c>
      <c r="AE51" s="42">
        <v>7.2702702318142745</v>
      </c>
      <c r="AF51" s="42">
        <v>7.0929306036960522</v>
      </c>
      <c r="AG51" s="42">
        <v>6.5294292576593183</v>
      </c>
      <c r="AH51" s="42">
        <v>68.119960899482649</v>
      </c>
      <c r="AI51" s="42">
        <v>68.119960899482649</v>
      </c>
      <c r="AJ51" s="42">
        <v>17.225192229981619</v>
      </c>
      <c r="AK51" s="42">
        <v>7.0972945515392638</v>
      </c>
      <c r="AL51" s="42">
        <v>7.1094472996738789</v>
      </c>
      <c r="AM51" s="42">
        <v>5.3393037034507485</v>
      </c>
      <c r="AN51" s="42">
        <v>6.0667028076106559</v>
      </c>
      <c r="AO51" s="42">
        <v>5.2487805561721332</v>
      </c>
      <c r="AP51" s="42">
        <v>6.3288683615915682</v>
      </c>
      <c r="AQ51" s="42">
        <v>4.8457217374972261</v>
      </c>
      <c r="AR51" s="42">
        <v>5.7780049629768762</v>
      </c>
      <c r="AS51" s="42">
        <v>5.7006377311455259</v>
      </c>
      <c r="AT51" s="42">
        <v>6.1823922459177814</v>
      </c>
      <c r="AU51" s="42">
        <v>11.317852488033648</v>
      </c>
      <c r="AV51" s="42">
        <v>88.240198675590932</v>
      </c>
      <c r="AW51" s="42">
        <v>88.24019925896836</v>
      </c>
      <c r="AX51" s="42">
        <v>5.8697780000000002</v>
      </c>
      <c r="AY51" s="42">
        <v>5.8697780000000002</v>
      </c>
      <c r="AZ51" s="42">
        <v>5.8697780000000002</v>
      </c>
      <c r="BA51" s="42">
        <v>5.3364820000000002</v>
      </c>
      <c r="BB51" s="42">
        <v>5.6647860000000003</v>
      </c>
      <c r="BC51" s="42">
        <v>5.5797869999999996</v>
      </c>
      <c r="BD51" s="42">
        <v>5.5083589999999996</v>
      </c>
      <c r="BE51" s="42">
        <v>5.9212290000000003</v>
      </c>
      <c r="BF51" s="42">
        <v>5.6232522500000002</v>
      </c>
      <c r="BG51" s="42">
        <v>6.7733990999999998</v>
      </c>
      <c r="BH51" s="42">
        <v>7.1068439999999997</v>
      </c>
      <c r="BI51" s="42">
        <v>16.280170420000001</v>
      </c>
      <c r="BJ51" s="45">
        <f t="shared" si="28"/>
        <v>81.40364276999999</v>
      </c>
      <c r="BK51" s="42">
        <v>81.403643000000002</v>
      </c>
      <c r="BL51" s="42">
        <v>3.7842820000000001</v>
      </c>
      <c r="BM51" s="42">
        <v>3.6858819999999999</v>
      </c>
      <c r="BN51" s="42">
        <v>3.7113879999999999</v>
      </c>
      <c r="BO51" s="42">
        <v>3.1410719999999999</v>
      </c>
      <c r="BP51" s="42">
        <v>3.1392479999999998</v>
      </c>
      <c r="BQ51" s="42">
        <v>3.514024</v>
      </c>
      <c r="BR51" s="42">
        <v>4.444388</v>
      </c>
      <c r="BS51" s="42">
        <v>3.472121</v>
      </c>
      <c r="BT51" s="42">
        <v>3.4778089599999999</v>
      </c>
      <c r="BU51" s="42">
        <v>3.9427401200000003</v>
      </c>
      <c r="BV51" s="42">
        <v>3.6776339999999998</v>
      </c>
      <c r="BW51" s="42">
        <v>5.8462409199999996</v>
      </c>
      <c r="BX51" s="45">
        <f t="shared" si="4"/>
        <v>45.836829000000002</v>
      </c>
      <c r="BY51" s="45">
        <v>45.836829000000002</v>
      </c>
      <c r="BZ51" s="45">
        <v>3.9785445400000001</v>
      </c>
      <c r="CA51" s="45">
        <v>3.981792</v>
      </c>
      <c r="CB51" s="45">
        <v>3.7417980000000002</v>
      </c>
      <c r="CC51" s="45">
        <v>3.120082</v>
      </c>
      <c r="CD51" s="45">
        <v>3.14781193</v>
      </c>
      <c r="CE51" s="45">
        <v>3.6222268099999999</v>
      </c>
      <c r="CF51" s="45">
        <v>3.2098350300000003</v>
      </c>
      <c r="CG51" s="45">
        <v>3.3124072399999998</v>
      </c>
      <c r="CH51" s="45">
        <v>3.3337451300000001</v>
      </c>
      <c r="CI51" s="45">
        <v>3.9657544900000001</v>
      </c>
      <c r="CJ51" s="45">
        <v>4.0682053099999997</v>
      </c>
      <c r="CK51" s="45">
        <v>4.0436675199999996</v>
      </c>
      <c r="CL51" s="45">
        <f t="shared" si="5"/>
        <v>43.525869999999998</v>
      </c>
      <c r="CM51" s="45">
        <v>43.525869999999998</v>
      </c>
      <c r="CN51" s="45">
        <v>4.3483419999999997</v>
      </c>
      <c r="CO51" s="45">
        <v>3.9824510000000002</v>
      </c>
      <c r="CP51" s="45">
        <v>3.9974509999999999</v>
      </c>
      <c r="CQ51" s="45">
        <v>3.8066550000000001</v>
      </c>
      <c r="CR51" s="45">
        <v>3.8066550000000001</v>
      </c>
      <c r="CS51" s="45">
        <v>8.0584300800000008</v>
      </c>
      <c r="CT51" s="45">
        <v>4.2376674900000006</v>
      </c>
      <c r="CU51" s="45">
        <v>4.1141002999999996</v>
      </c>
      <c r="CV51" s="45">
        <v>3.7365646299999997</v>
      </c>
      <c r="CW51" s="45">
        <v>3.7787043499999999</v>
      </c>
      <c r="CX51" s="45">
        <v>7.1155897699999997</v>
      </c>
      <c r="CY51" s="45">
        <v>5.4795673799999998</v>
      </c>
      <c r="CZ51" s="45">
        <f t="shared" si="6"/>
        <v>56.462177999999994</v>
      </c>
      <c r="DA51" s="45">
        <v>56.462178000000002</v>
      </c>
      <c r="DB51" s="45">
        <v>4.3204551799999997</v>
      </c>
      <c r="DC51" s="45">
        <v>4.0265389999999996</v>
      </c>
      <c r="DD51" s="45">
        <v>4.0416089199999998</v>
      </c>
      <c r="DE51" s="45">
        <v>3.8504719999999999</v>
      </c>
      <c r="DF51" s="45">
        <v>5.5418147300000005</v>
      </c>
      <c r="DG51" s="45">
        <v>4.8768516599999998</v>
      </c>
      <c r="DH51" s="45">
        <v>4.8513246299999997</v>
      </c>
      <c r="DI51" s="45">
        <v>4.4983774500000004</v>
      </c>
      <c r="DJ51" s="45">
        <v>4.49951393</v>
      </c>
      <c r="DK51" s="45">
        <v>5.0567165199999993</v>
      </c>
      <c r="DL51" s="45">
        <v>4.2276809800000006</v>
      </c>
      <c r="DM51" s="45">
        <v>10.838120999999999</v>
      </c>
      <c r="DN51" s="45">
        <f t="shared" si="7"/>
        <v>60.629476000000004</v>
      </c>
      <c r="DO51" s="45">
        <v>60.629475999999997</v>
      </c>
      <c r="DP51" s="45">
        <v>4.7632517699999992</v>
      </c>
      <c r="DQ51" s="45">
        <v>4.8001449999999997</v>
      </c>
      <c r="DR51" s="45">
        <v>4.8520382</v>
      </c>
      <c r="DS51" s="45">
        <v>4.0941109999999998</v>
      </c>
      <c r="DT51" s="45">
        <v>5.1443464600000004</v>
      </c>
      <c r="DU51" s="45">
        <v>4.8543273499999993</v>
      </c>
      <c r="DV51" s="45">
        <v>4.7393010700000007</v>
      </c>
      <c r="DW51" s="45">
        <v>4.7744370199999997</v>
      </c>
      <c r="DX51" s="45">
        <v>4.6438339900000001</v>
      </c>
      <c r="DY51" s="45">
        <v>4.182226</v>
      </c>
      <c r="DZ51" s="45">
        <v>7.96175283</v>
      </c>
      <c r="EA51" s="45">
        <v>9.4967533100000008</v>
      </c>
      <c r="EB51" s="45">
        <f t="shared" si="10"/>
        <v>64.306523999999996</v>
      </c>
      <c r="EC51" s="45">
        <v>64.306523999999996</v>
      </c>
      <c r="ED51" s="45">
        <v>4.9933990000000001</v>
      </c>
      <c r="EE51" s="45">
        <v>4.9310970000000003</v>
      </c>
      <c r="EF51" s="45">
        <v>5.0757000099999994</v>
      </c>
      <c r="EG51" s="45">
        <v>4.7633989999999997</v>
      </c>
      <c r="EH51" s="45">
        <v>6.2189579999999998</v>
      </c>
      <c r="EI51" s="45">
        <v>6.03685779</v>
      </c>
      <c r="EJ51" s="45">
        <v>4.6076875800000003</v>
      </c>
      <c r="EK51" s="45">
        <v>11.158877990000001</v>
      </c>
      <c r="EL51" s="45">
        <v>4.5190113599999995</v>
      </c>
      <c r="EM51" s="45">
        <v>2.9912752299999998</v>
      </c>
      <c r="EN51" s="45">
        <v>1.1895555600000001</v>
      </c>
      <c r="EO51" s="45">
        <v>18.999527480000001</v>
      </c>
      <c r="EP51" s="45">
        <f t="shared" si="11"/>
        <v>75.485346000000007</v>
      </c>
      <c r="EQ51" s="45">
        <v>75.485346000000007</v>
      </c>
      <c r="ER51" s="45">
        <v>5.8592389999999996</v>
      </c>
      <c r="ES51" s="42">
        <v>5.3592399999999998</v>
      </c>
      <c r="ET51" s="45">
        <v>5.5792400000000004</v>
      </c>
      <c r="EU51" s="45">
        <v>5.6175730000000001</v>
      </c>
      <c r="EV51" s="42">
        <v>5.7879066799999999</v>
      </c>
      <c r="EW51" s="42">
        <v>17.375686850000001</v>
      </c>
      <c r="EX51" s="45">
        <v>4.7535540000000003</v>
      </c>
      <c r="EY51" s="42">
        <v>5.1141312900000004</v>
      </c>
      <c r="EZ51" s="42">
        <v>4.9231535800000001</v>
      </c>
      <c r="FA51" s="42">
        <v>0.70473200000000003</v>
      </c>
      <c r="FB51" s="42">
        <v>14.678925</v>
      </c>
      <c r="FC51" s="42">
        <v>12.587067060000001</v>
      </c>
      <c r="FD51" s="45">
        <f t="shared" si="12"/>
        <v>88.34044845999999</v>
      </c>
      <c r="FE51" s="45">
        <v>88.340449000000007</v>
      </c>
      <c r="FF51" s="45">
        <v>5.0810829999999996</v>
      </c>
      <c r="FG51" s="45">
        <v>4.6230830000000003</v>
      </c>
      <c r="FH51" s="45">
        <v>4.7726800899999997</v>
      </c>
      <c r="FI51" s="45">
        <v>5.9123727699999993</v>
      </c>
      <c r="FJ51" s="45">
        <v>5.9362919999999999</v>
      </c>
      <c r="FK51" s="45">
        <v>6.9814552000000001</v>
      </c>
      <c r="FL51" s="45">
        <v>6.6613460199999999</v>
      </c>
      <c r="FM51" s="45">
        <v>6.7378506399999996</v>
      </c>
      <c r="FN51" s="45">
        <v>5.9249859900000006</v>
      </c>
      <c r="FO51" s="45">
        <v>3.0190506500000001</v>
      </c>
      <c r="FP51" s="45">
        <v>8.9433340000000001</v>
      </c>
      <c r="FQ51" s="45">
        <v>24.70424264</v>
      </c>
      <c r="FR51" s="45">
        <f t="shared" si="13"/>
        <v>89.297776000000013</v>
      </c>
      <c r="FS51" s="45">
        <v>89.297775999999999</v>
      </c>
      <c r="FT51" s="45">
        <v>6.7338329999999997</v>
      </c>
      <c r="FU51" s="45">
        <v>6.5898320699999999</v>
      </c>
      <c r="FV51" s="45">
        <v>6.4909330000000001</v>
      </c>
      <c r="FW51" s="45">
        <v>6.01897839</v>
      </c>
      <c r="FX51" s="45">
        <v>6.2658329999999998</v>
      </c>
      <c r="FY51" s="45">
        <v>6.0211774599999996</v>
      </c>
      <c r="FZ51" s="45">
        <v>5.7157933300000003</v>
      </c>
      <c r="GA51" s="45">
        <v>5.5758330000000003</v>
      </c>
      <c r="GB51" s="45">
        <v>6.0310050799999999</v>
      </c>
      <c r="GC51" s="45">
        <v>6.2258329999999997</v>
      </c>
      <c r="GD51" s="45">
        <v>0.30083300000000002</v>
      </c>
      <c r="GE51" s="45">
        <v>31.26325357</v>
      </c>
      <c r="GF51" s="45">
        <f t="shared" si="14"/>
        <v>93.233137900000003</v>
      </c>
      <c r="GG51" s="45">
        <v>93.233137999999997</v>
      </c>
      <c r="GH51" s="45">
        <v>8.1691979999999997</v>
      </c>
      <c r="GI51" s="45">
        <v>6.5769116900000002</v>
      </c>
      <c r="GJ51" s="45">
        <v>6.2823250000000002</v>
      </c>
      <c r="GK51" s="45">
        <v>7.5510250000000001</v>
      </c>
      <c r="GL51" s="45">
        <v>5.8518049999999997</v>
      </c>
      <c r="GM51" s="45">
        <v>5.819985</v>
      </c>
      <c r="GN51" s="45">
        <v>7.0319707600000001</v>
      </c>
      <c r="GO51" s="45">
        <v>5.5320299999999998</v>
      </c>
      <c r="GP51" s="45">
        <v>5.7230449999999999</v>
      </c>
      <c r="GQ51" s="45">
        <v>7.3510249999999999</v>
      </c>
      <c r="GR51" s="45">
        <v>12.1442148</v>
      </c>
      <c r="GS51" s="45">
        <v>13.341256749999999</v>
      </c>
      <c r="GT51" s="45">
        <f t="shared" si="20"/>
        <v>91.374791999999999</v>
      </c>
      <c r="GU51" s="45">
        <v>91.374791999999999</v>
      </c>
      <c r="GV51" s="45">
        <v>7.7006449999999997</v>
      </c>
      <c r="GW51" s="45">
        <v>6.2606450000000002</v>
      </c>
      <c r="GX51" s="45">
        <v>6.2873704200000002</v>
      </c>
      <c r="GY51" s="45">
        <v>7.3588265499999999</v>
      </c>
      <c r="GZ51" s="45">
        <v>6.2342795599999992</v>
      </c>
      <c r="HA51" s="45">
        <v>5.7901015599999992</v>
      </c>
      <c r="HB51" s="45">
        <v>7.0511450399999998</v>
      </c>
      <c r="HC51" s="45">
        <v>6.0082289400000004</v>
      </c>
      <c r="HD51" s="45">
        <v>5.8831449999999998</v>
      </c>
      <c r="HE51" s="45">
        <v>7.4497359999999997</v>
      </c>
      <c r="HF51" s="45">
        <v>5.9686851799999996</v>
      </c>
      <c r="HG51" s="45">
        <v>13.28366475</v>
      </c>
      <c r="HH51" s="45">
        <f t="shared" si="15"/>
        <v>85.276472999999996</v>
      </c>
      <c r="HI51" s="45">
        <v>10.150645000000001</v>
      </c>
      <c r="HJ51" s="45">
        <v>4.9006449999999999</v>
      </c>
      <c r="HK51" s="45">
        <v>6.4331449999999997</v>
      </c>
      <c r="HL51" s="45">
        <v>11.8024141</v>
      </c>
      <c r="HM51" s="45"/>
      <c r="HN51" s="45"/>
      <c r="HO51" s="45"/>
      <c r="HP51" s="45"/>
      <c r="HQ51" s="45"/>
      <c r="HR51" s="45"/>
      <c r="HS51" s="45"/>
      <c r="HT51" s="45"/>
      <c r="HU51" s="283">
        <f t="shared" si="16"/>
        <v>27.607486999999999</v>
      </c>
      <c r="HV51" s="283">
        <f t="shared" si="17"/>
        <v>33.286848999999997</v>
      </c>
      <c r="HW51" s="280">
        <f t="shared" si="30"/>
        <v>5.6793619999999976</v>
      </c>
      <c r="HX51" s="280">
        <f t="shared" si="31"/>
        <v>20.571818072394635</v>
      </c>
    </row>
    <row r="52" spans="1:232" s="12" customFormat="1" ht="21" hidden="1" customHeight="1">
      <c r="A52" s="56" t="s">
        <v>140</v>
      </c>
      <c r="B52" s="13" t="s">
        <v>141</v>
      </c>
      <c r="C52" s="56" t="s">
        <v>142</v>
      </c>
      <c r="D52" s="42">
        <v>0</v>
      </c>
      <c r="E52" s="42">
        <v>0</v>
      </c>
      <c r="F52" s="42">
        <v>26.402659916562797</v>
      </c>
      <c r="G52" s="42">
        <v>10.25357425398831</v>
      </c>
      <c r="H52" s="42">
        <v>0.11700794247044695</v>
      </c>
      <c r="I52" s="42">
        <v>0.44573532592301696</v>
      </c>
      <c r="J52" s="42">
        <v>1.0538655727628188</v>
      </c>
      <c r="K52" s="42">
        <v>0.43987332172269933</v>
      </c>
      <c r="L52" s="42">
        <v>0.44626008104677839</v>
      </c>
      <c r="M52" s="42">
        <v>0.75690993509507809</v>
      </c>
      <c r="N52" s="42">
        <v>1.6112021417624369</v>
      </c>
      <c r="O52" s="42">
        <v>0.3809208826358419</v>
      </c>
      <c r="P52" s="42">
        <v>0.32885047608889639</v>
      </c>
      <c r="Q52" s="42">
        <v>0.45438510594703513</v>
      </c>
      <c r="R52" s="42">
        <v>2.2273270783973969</v>
      </c>
      <c r="S52" s="42">
        <v>-2.0155692198292758</v>
      </c>
      <c r="T52" s="42">
        <v>6.421043719159254</v>
      </c>
      <c r="U52" s="42">
        <v>7.2760926232633842</v>
      </c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42">
        <v>0.2268484527691931</v>
      </c>
      <c r="AI52" s="42">
        <v>6.4171518659540933E-2</v>
      </c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42">
        <v>0.48852596171905688</v>
      </c>
      <c r="AW52" s="42">
        <v>0</v>
      </c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5"/>
      <c r="BK52" s="42"/>
      <c r="BL52" s="42"/>
      <c r="BM52" s="42">
        <v>0</v>
      </c>
      <c r="BN52" s="42">
        <v>0</v>
      </c>
      <c r="BO52" s="42">
        <v>0</v>
      </c>
      <c r="BP52" s="42">
        <v>0</v>
      </c>
      <c r="BQ52" s="42">
        <v>0</v>
      </c>
      <c r="BR52" s="42">
        <v>0</v>
      </c>
      <c r="BS52" s="42">
        <v>0</v>
      </c>
      <c r="BT52" s="42">
        <v>0</v>
      </c>
      <c r="BU52" s="42">
        <v>0</v>
      </c>
      <c r="BV52" s="42">
        <v>0</v>
      </c>
      <c r="BW52" s="42">
        <v>0</v>
      </c>
      <c r="BX52" s="45">
        <f t="shared" si="4"/>
        <v>0</v>
      </c>
      <c r="BY52" s="45"/>
      <c r="BZ52" s="45">
        <v>0</v>
      </c>
      <c r="CA52" s="45">
        <v>0</v>
      </c>
      <c r="CB52" s="45">
        <v>0</v>
      </c>
      <c r="CC52" s="45">
        <v>0</v>
      </c>
      <c r="CD52" s="45">
        <v>0</v>
      </c>
      <c r="CE52" s="45">
        <v>0</v>
      </c>
      <c r="CF52" s="45">
        <v>0</v>
      </c>
      <c r="CG52" s="45">
        <v>0</v>
      </c>
      <c r="CH52" s="45">
        <v>0</v>
      </c>
      <c r="CI52" s="45">
        <v>0</v>
      </c>
      <c r="CJ52" s="45">
        <v>0</v>
      </c>
      <c r="CK52" s="45">
        <v>0</v>
      </c>
      <c r="CL52" s="45">
        <f t="shared" si="5"/>
        <v>0</v>
      </c>
      <c r="CM52" s="45"/>
      <c r="CN52" s="45">
        <v>0</v>
      </c>
      <c r="CO52" s="45">
        <v>0</v>
      </c>
      <c r="CP52" s="45">
        <v>0</v>
      </c>
      <c r="CQ52" s="45">
        <v>0</v>
      </c>
      <c r="CR52" s="45">
        <v>0</v>
      </c>
      <c r="CS52" s="45">
        <v>0</v>
      </c>
      <c r="CT52" s="45">
        <v>0</v>
      </c>
      <c r="CU52" s="45">
        <v>0</v>
      </c>
      <c r="CV52" s="45">
        <v>0</v>
      </c>
      <c r="CW52" s="45">
        <v>0</v>
      </c>
      <c r="CX52" s="45">
        <v>0</v>
      </c>
      <c r="CY52" s="45">
        <v>0</v>
      </c>
      <c r="CZ52" s="45">
        <f t="shared" si="6"/>
        <v>0</v>
      </c>
      <c r="DA52" s="45"/>
      <c r="DB52" s="45">
        <v>0</v>
      </c>
      <c r="DC52" s="45">
        <v>0</v>
      </c>
      <c r="DD52" s="45">
        <v>0</v>
      </c>
      <c r="DE52" s="45">
        <v>0</v>
      </c>
      <c r="DF52" s="45">
        <v>0</v>
      </c>
      <c r="DG52" s="45">
        <v>0</v>
      </c>
      <c r="DH52" s="45">
        <v>0</v>
      </c>
      <c r="DI52" s="45">
        <v>0</v>
      </c>
      <c r="DJ52" s="45">
        <v>0</v>
      </c>
      <c r="DK52" s="45">
        <v>0</v>
      </c>
      <c r="DL52" s="45">
        <v>0</v>
      </c>
      <c r="DM52" s="45">
        <v>0</v>
      </c>
      <c r="DN52" s="45">
        <f t="shared" si="7"/>
        <v>0</v>
      </c>
      <c r="DO52" s="45"/>
      <c r="DP52" s="45">
        <v>0</v>
      </c>
      <c r="DQ52" s="45">
        <v>0</v>
      </c>
      <c r="DR52" s="45">
        <v>0</v>
      </c>
      <c r="DS52" s="45">
        <v>0</v>
      </c>
      <c r="DT52" s="45">
        <v>0</v>
      </c>
      <c r="DU52" s="45">
        <v>0</v>
      </c>
      <c r="DV52" s="45">
        <v>0</v>
      </c>
      <c r="DW52" s="45">
        <v>0</v>
      </c>
      <c r="DX52" s="45">
        <v>0</v>
      </c>
      <c r="DY52" s="45">
        <v>0</v>
      </c>
      <c r="DZ52" s="45">
        <v>0</v>
      </c>
      <c r="EA52" s="45">
        <v>0</v>
      </c>
      <c r="EB52" s="45">
        <f t="shared" si="10"/>
        <v>0</v>
      </c>
      <c r="EC52" s="45"/>
      <c r="ED52" s="45">
        <v>0</v>
      </c>
      <c r="EE52" s="45">
        <v>0</v>
      </c>
      <c r="EF52" s="45">
        <v>0</v>
      </c>
      <c r="EG52" s="45">
        <v>0</v>
      </c>
      <c r="EH52" s="45">
        <v>0</v>
      </c>
      <c r="EI52" s="45">
        <v>0</v>
      </c>
      <c r="EJ52" s="45"/>
      <c r="EK52" s="45"/>
      <c r="EL52" s="45">
        <v>0</v>
      </c>
      <c r="EM52" s="45">
        <v>0</v>
      </c>
      <c r="EN52" s="45">
        <v>0</v>
      </c>
      <c r="EO52" s="45">
        <v>0</v>
      </c>
      <c r="EP52" s="45">
        <f t="shared" si="11"/>
        <v>0</v>
      </c>
      <c r="EQ52" s="45"/>
      <c r="ER52" s="45">
        <v>0</v>
      </c>
      <c r="ES52" s="183"/>
      <c r="ET52" s="179"/>
      <c r="EU52" s="179"/>
      <c r="EV52" s="183"/>
      <c r="EW52" s="183"/>
      <c r="EX52" s="45"/>
      <c r="EY52" s="183"/>
      <c r="EZ52" s="183"/>
      <c r="FA52" s="183"/>
      <c r="FB52" s="183"/>
      <c r="FC52" s="183"/>
      <c r="FD52" s="45">
        <f t="shared" si="12"/>
        <v>0</v>
      </c>
      <c r="FE52" s="217"/>
      <c r="FF52" s="196"/>
      <c r="FG52" s="196"/>
      <c r="FH52" s="196"/>
      <c r="FI52" s="196"/>
      <c r="FJ52" s="196"/>
      <c r="FK52" s="45"/>
      <c r="FL52" s="196"/>
      <c r="FM52" s="196"/>
      <c r="FN52" s="196"/>
      <c r="FO52" s="196"/>
      <c r="FP52" s="196"/>
      <c r="FQ52" s="196"/>
      <c r="FR52" s="45">
        <f t="shared" si="13"/>
        <v>0</v>
      </c>
      <c r="FS52" s="217"/>
      <c r="FT52" s="196"/>
      <c r="FU52" s="196"/>
      <c r="FV52" s="196"/>
      <c r="FW52" s="196"/>
      <c r="FX52" s="196"/>
      <c r="FY52" s="196"/>
      <c r="FZ52" s="196"/>
      <c r="GA52" s="196"/>
      <c r="GB52" s="196"/>
      <c r="GC52" s="196"/>
      <c r="GD52" s="196"/>
      <c r="GE52" s="196"/>
      <c r="GF52" s="45">
        <f t="shared" si="14"/>
        <v>0</v>
      </c>
      <c r="GG52" s="217"/>
      <c r="GH52" s="196"/>
      <c r="GI52" s="196"/>
      <c r="GJ52" s="196"/>
      <c r="GK52" s="196"/>
      <c r="GL52" s="196"/>
      <c r="GM52" s="196"/>
      <c r="GN52" s="196"/>
      <c r="GO52" s="196"/>
      <c r="GP52" s="196"/>
      <c r="GQ52" s="196"/>
      <c r="GR52" s="196"/>
      <c r="GS52" s="196"/>
      <c r="GT52" s="45">
        <f t="shared" si="20"/>
        <v>0</v>
      </c>
      <c r="GU52" s="217"/>
      <c r="GV52" s="196"/>
      <c r="GW52" s="196"/>
      <c r="GX52" s="196"/>
      <c r="GY52" s="196"/>
      <c r="GZ52" s="196"/>
      <c r="HA52" s="196"/>
      <c r="HB52" s="196"/>
      <c r="HC52" s="196"/>
      <c r="HD52" s="196"/>
      <c r="HE52" s="196"/>
      <c r="HF52" s="196"/>
      <c r="HG52" s="196"/>
      <c r="HH52" s="196">
        <f t="shared" si="15"/>
        <v>0</v>
      </c>
      <c r="HI52" s="196"/>
      <c r="HJ52" s="196"/>
      <c r="HK52" s="196"/>
      <c r="HL52" s="196"/>
      <c r="HM52" s="196"/>
      <c r="HN52" s="196"/>
      <c r="HO52" s="196"/>
      <c r="HP52" s="196"/>
      <c r="HQ52" s="196"/>
      <c r="HR52" s="196"/>
      <c r="HS52" s="196"/>
      <c r="HT52" s="196"/>
      <c r="HU52" s="285">
        <f t="shared" si="16"/>
        <v>0</v>
      </c>
      <c r="HV52" s="285">
        <f t="shared" si="17"/>
        <v>0</v>
      </c>
      <c r="HW52" s="280">
        <f t="shared" si="30"/>
        <v>0</v>
      </c>
      <c r="HX52" s="280"/>
    </row>
    <row r="53" spans="1:232" s="12" customFormat="1" ht="20.5">
      <c r="A53" s="46" t="s">
        <v>143</v>
      </c>
      <c r="B53" s="13" t="s">
        <v>144</v>
      </c>
      <c r="C53" s="46" t="s">
        <v>145</v>
      </c>
      <c r="D53" s="42">
        <v>606.0797078559599</v>
      </c>
      <c r="E53" s="42">
        <v>818.78456013340849</v>
      </c>
      <c r="F53" s="42">
        <v>595.752757525569</v>
      </c>
      <c r="G53" s="42">
        <v>563.11066812368745</v>
      </c>
      <c r="H53" s="42">
        <v>44.702429183669992</v>
      </c>
      <c r="I53" s="42">
        <v>42.316834437481866</v>
      </c>
      <c r="J53" s="42">
        <v>48.578653735607652</v>
      </c>
      <c r="K53" s="42">
        <v>41.598636035082322</v>
      </c>
      <c r="L53" s="42">
        <v>42.146496605027878</v>
      </c>
      <c r="M53" s="42">
        <v>75.99423594629512</v>
      </c>
      <c r="N53" s="42">
        <v>29.26387726876909</v>
      </c>
      <c r="O53" s="42">
        <v>22.738614179771332</v>
      </c>
      <c r="P53" s="42">
        <v>43.119876950045807</v>
      </c>
      <c r="Q53" s="42">
        <v>43.358127130750532</v>
      </c>
      <c r="R53" s="42">
        <v>40.026260522137036</v>
      </c>
      <c r="S53" s="42">
        <v>45.02851260095273</v>
      </c>
      <c r="T53" s="42">
        <v>518.87255459559128</v>
      </c>
      <c r="U53" s="42">
        <v>518.9045637190452</v>
      </c>
      <c r="V53" s="42">
        <v>34.382963102088212</v>
      </c>
      <c r="W53" s="42">
        <v>36.291025662915985</v>
      </c>
      <c r="X53" s="42">
        <v>34.337403443918937</v>
      </c>
      <c r="Y53" s="42">
        <v>36.855490691572612</v>
      </c>
      <c r="Z53" s="42">
        <v>35.332678812300443</v>
      </c>
      <c r="AA53" s="42">
        <v>69.344682158894955</v>
      </c>
      <c r="AB53" s="42">
        <v>29.924449775470826</v>
      </c>
      <c r="AC53" s="42">
        <v>12.537239401027884</v>
      </c>
      <c r="AD53" s="42">
        <v>36.182261341711204</v>
      </c>
      <c r="AE53" s="42">
        <v>39.442896782033117</v>
      </c>
      <c r="AF53" s="42">
        <v>37.300466417379525</v>
      </c>
      <c r="AG53" s="42">
        <v>45.677025173448087</v>
      </c>
      <c r="AH53" s="42">
        <v>447.60858276276178</v>
      </c>
      <c r="AI53" s="42">
        <v>447.73603309030688</v>
      </c>
      <c r="AJ53" s="42">
        <v>38.837818225280451</v>
      </c>
      <c r="AK53" s="42">
        <v>37.511565457794774</v>
      </c>
      <c r="AL53" s="42">
        <v>37.802248052088501</v>
      </c>
      <c r="AM53" s="42">
        <v>45.046777821412519</v>
      </c>
      <c r="AN53" s="42">
        <v>34.854672383765603</v>
      </c>
      <c r="AO53" s="42">
        <v>74.250477956869915</v>
      </c>
      <c r="AP53" s="42">
        <v>25.297347482370618</v>
      </c>
      <c r="AQ53" s="42">
        <v>14.446230200738755</v>
      </c>
      <c r="AR53" s="42">
        <v>38.629835629848429</v>
      </c>
      <c r="AS53" s="42">
        <v>42.233661162998494</v>
      </c>
      <c r="AT53" s="42">
        <v>36.581534823364692</v>
      </c>
      <c r="AU53" s="42">
        <v>38.920346213168962</v>
      </c>
      <c r="AV53" s="42">
        <v>464.41251540970183</v>
      </c>
      <c r="AW53" s="42">
        <v>464.44575443509143</v>
      </c>
      <c r="AX53" s="42">
        <f>AX54+AX56+AX55</f>
        <v>39.091059999999999</v>
      </c>
      <c r="AY53" s="42">
        <f>AY54+AY56+AY55</f>
        <v>38.126922</v>
      </c>
      <c r="AZ53" s="42">
        <f t="shared" ref="AZ53:BG53" si="36">AZ54+AZ56+AZ55</f>
        <v>40.738944709999998</v>
      </c>
      <c r="BA53" s="42">
        <f t="shared" si="36"/>
        <v>42.242628839999995</v>
      </c>
      <c r="BB53" s="42">
        <f t="shared" si="36"/>
        <v>38.838153810000001</v>
      </c>
      <c r="BC53" s="42">
        <f t="shared" si="36"/>
        <v>75.845245289999994</v>
      </c>
      <c r="BD53" s="42">
        <f t="shared" si="36"/>
        <v>28.596102469999991</v>
      </c>
      <c r="BE53" s="42">
        <f t="shared" si="36"/>
        <v>13.907768589999995</v>
      </c>
      <c r="BF53" s="42">
        <f t="shared" si="36"/>
        <v>43.378746559999996</v>
      </c>
      <c r="BG53" s="42">
        <f t="shared" si="36"/>
        <v>48.825687760000008</v>
      </c>
      <c r="BH53" s="42">
        <f>BH54+BH56+BH55</f>
        <v>40.366233980000004</v>
      </c>
      <c r="BI53" s="42">
        <f>BI54+BI56+BI55</f>
        <v>42.210282849999999</v>
      </c>
      <c r="BJ53" s="45">
        <f t="shared" si="28"/>
        <v>492.16777686</v>
      </c>
      <c r="BK53" s="42">
        <f>BK54+BK56+BK55</f>
        <v>490.98549200000002</v>
      </c>
      <c r="BL53" s="42">
        <f>BL54+BL56+BL55</f>
        <v>41.327584910000013</v>
      </c>
      <c r="BM53" s="42">
        <v>42.153544359999991</v>
      </c>
      <c r="BN53" s="42">
        <v>44.207639110000017</v>
      </c>
      <c r="BO53" s="42">
        <v>47.563320619999999</v>
      </c>
      <c r="BP53" s="42">
        <v>45.052736830000001</v>
      </c>
      <c r="BQ53" s="42">
        <v>89.316474339999999</v>
      </c>
      <c r="BR53" s="42">
        <v>29.52239917999999</v>
      </c>
      <c r="BS53" s="42">
        <v>16.284595610000004</v>
      </c>
      <c r="BT53" s="42">
        <v>40.811970199999998</v>
      </c>
      <c r="BU53" s="42">
        <v>45.665751759999999</v>
      </c>
      <c r="BV53" s="42">
        <v>44.338105449999986</v>
      </c>
      <c r="BW53" s="42">
        <v>39.390271920000011</v>
      </c>
      <c r="BX53" s="45">
        <f t="shared" si="4"/>
        <v>525.63439429000005</v>
      </c>
      <c r="BY53" s="45">
        <f>BY54+BY56+BY55</f>
        <v>525.61378200000001</v>
      </c>
      <c r="BZ53" s="45">
        <v>43.663420200000004</v>
      </c>
      <c r="CA53" s="45">
        <v>41.809197789999999</v>
      </c>
      <c r="CB53" s="45">
        <v>44.282084359999999</v>
      </c>
      <c r="CC53" s="45">
        <v>48.898310010000003</v>
      </c>
      <c r="CD53" s="45">
        <v>38.786788490000006</v>
      </c>
      <c r="CE53" s="45">
        <v>82.374334839999989</v>
      </c>
      <c r="CF53" s="45">
        <v>29.207168989999996</v>
      </c>
      <c r="CG53" s="45">
        <v>15.960579060000004</v>
      </c>
      <c r="CH53" s="45">
        <v>21.041995779999983</v>
      </c>
      <c r="CI53" s="45">
        <v>67.139034199999983</v>
      </c>
      <c r="CJ53" s="45">
        <v>51.336701069999982</v>
      </c>
      <c r="CK53" s="45">
        <v>40.220306049999984</v>
      </c>
      <c r="CL53" s="45">
        <f t="shared" si="5"/>
        <v>524.71992083999987</v>
      </c>
      <c r="CM53" s="45">
        <f>CM54+CM56+CM55</f>
        <v>524.70776499999999</v>
      </c>
      <c r="CN53" s="45">
        <v>46.072524940000015</v>
      </c>
      <c r="CO53" s="45">
        <v>44.860209910000002</v>
      </c>
      <c r="CP53" s="45">
        <v>50.24559764</v>
      </c>
      <c r="CQ53" s="45">
        <v>53.316684180000003</v>
      </c>
      <c r="CR53" s="45">
        <v>44.780050269999997</v>
      </c>
      <c r="CS53" s="45">
        <v>95.349324549999992</v>
      </c>
      <c r="CT53" s="45">
        <v>26.952636989999991</v>
      </c>
      <c r="CU53" s="45">
        <v>15.945737100000002</v>
      </c>
      <c r="CV53" s="45">
        <v>27.384032299999994</v>
      </c>
      <c r="CW53" s="45">
        <v>72.003212239999996</v>
      </c>
      <c r="CX53" s="45">
        <v>48.314203750000004</v>
      </c>
      <c r="CY53" s="45">
        <v>41.429253440000004</v>
      </c>
      <c r="CZ53" s="45">
        <f t="shared" si="6"/>
        <v>566.65346731</v>
      </c>
      <c r="DA53" s="45">
        <f>DA54+DA56+DA55</f>
        <v>566.65346599999987</v>
      </c>
      <c r="DB53" s="45">
        <v>48.80526554999998</v>
      </c>
      <c r="DC53" s="45">
        <v>45.370502789999996</v>
      </c>
      <c r="DD53" s="45">
        <v>48.861492149999997</v>
      </c>
      <c r="DE53" s="45">
        <v>52.571650909999981</v>
      </c>
      <c r="DF53" s="45">
        <v>45.584593039999994</v>
      </c>
      <c r="DG53" s="45">
        <v>95.897949200000014</v>
      </c>
      <c r="DH53" s="45">
        <v>34.62068957000001</v>
      </c>
      <c r="DI53" s="45">
        <v>19.333677830000003</v>
      </c>
      <c r="DJ53" s="45">
        <v>44.685489710000006</v>
      </c>
      <c r="DK53" s="45">
        <v>67.34780504000004</v>
      </c>
      <c r="DL53" s="45">
        <v>51.100231229999999</v>
      </c>
      <c r="DM53" s="45">
        <v>58.655942689999996</v>
      </c>
      <c r="DN53" s="45">
        <f t="shared" si="7"/>
        <v>612.83528970999998</v>
      </c>
      <c r="DO53" s="45">
        <f>DO54+DO56+DO55</f>
        <v>612.831728</v>
      </c>
      <c r="DP53" s="45">
        <v>64.173964040000001</v>
      </c>
      <c r="DQ53" s="45">
        <v>54.183765449999996</v>
      </c>
      <c r="DR53" s="45">
        <v>57.218263989999997</v>
      </c>
      <c r="DS53" s="45">
        <v>60.936107499999984</v>
      </c>
      <c r="DT53" s="45">
        <v>57.884494140000008</v>
      </c>
      <c r="DU53" s="45">
        <v>102.42654605999998</v>
      </c>
      <c r="DV53" s="45">
        <v>42.951999570000005</v>
      </c>
      <c r="DW53" s="45">
        <v>23.885818349999994</v>
      </c>
      <c r="DX53" s="45">
        <v>56.922629190000002</v>
      </c>
      <c r="DY53" s="45">
        <v>67.078119649999991</v>
      </c>
      <c r="DZ53" s="45">
        <v>54.702195479999993</v>
      </c>
      <c r="EA53" s="45">
        <v>52.491549360000008</v>
      </c>
      <c r="EB53" s="45">
        <f t="shared" si="10"/>
        <v>694.85545277999984</v>
      </c>
      <c r="EC53" s="45">
        <f>EC54+EC56+EC55</f>
        <v>694.85429600000009</v>
      </c>
      <c r="ED53" s="45">
        <v>67.735781619999983</v>
      </c>
      <c r="EE53" s="45">
        <v>59.994169770000006</v>
      </c>
      <c r="EF53" s="45">
        <v>62.139617939999987</v>
      </c>
      <c r="EG53" s="45">
        <v>67.748985900000008</v>
      </c>
      <c r="EH53" s="45">
        <v>58.262554559999998</v>
      </c>
      <c r="EI53" s="45">
        <v>104.33609843000001</v>
      </c>
      <c r="EJ53" s="45">
        <v>45.548655569999994</v>
      </c>
      <c r="EK53" s="45">
        <v>33.34538899999999</v>
      </c>
      <c r="EL53" s="45">
        <v>63.28158392000001</v>
      </c>
      <c r="EM53" s="45">
        <v>68.676724899999982</v>
      </c>
      <c r="EN53" s="45">
        <v>60.233781660000005</v>
      </c>
      <c r="EO53" s="45">
        <v>58.783372999999997</v>
      </c>
      <c r="EP53" s="45">
        <f t="shared" si="11"/>
        <v>750.0867162699999</v>
      </c>
      <c r="EQ53" s="45">
        <f>EQ54+EQ56+EQ55</f>
        <v>750.40698599999996</v>
      </c>
      <c r="ER53" s="45">
        <v>62.725130679999992</v>
      </c>
      <c r="ES53" s="42">
        <v>77.626161650000014</v>
      </c>
      <c r="ET53" s="45">
        <v>73.757433959999972</v>
      </c>
      <c r="EU53" s="45">
        <v>72.10976057000002</v>
      </c>
      <c r="EV53" s="42">
        <v>60.173218039999995</v>
      </c>
      <c r="EW53" s="42">
        <v>124.84858899999998</v>
      </c>
      <c r="EX53" s="45">
        <v>27.580870999999998</v>
      </c>
      <c r="EY53" s="42">
        <v>28.024605730000001</v>
      </c>
      <c r="EZ53" s="42">
        <v>56.53242924000002</v>
      </c>
      <c r="FA53" s="42">
        <v>82.973915000000005</v>
      </c>
      <c r="FB53" s="42">
        <v>61.964522910000021</v>
      </c>
      <c r="FC53" s="42">
        <v>66.680474770000004</v>
      </c>
      <c r="FD53" s="45">
        <f t="shared" si="12"/>
        <v>794.99711255000011</v>
      </c>
      <c r="FE53" s="45">
        <f>FE54+FE56+FE55</f>
        <v>794.99694999999997</v>
      </c>
      <c r="FF53" s="45">
        <v>76.533365969999963</v>
      </c>
      <c r="FG53" s="45">
        <v>61.442199650000006</v>
      </c>
      <c r="FH53" s="45">
        <v>71.374697389999994</v>
      </c>
      <c r="FI53" s="45">
        <v>83.634531110000012</v>
      </c>
      <c r="FJ53" s="45">
        <v>64.657059979999985</v>
      </c>
      <c r="FK53" s="45">
        <v>138.46091675</v>
      </c>
      <c r="FL53" s="45">
        <v>54.181793040000024</v>
      </c>
      <c r="FM53" s="45">
        <v>37.86935290000001</v>
      </c>
      <c r="FN53" s="45">
        <v>80.030803739999968</v>
      </c>
      <c r="FO53" s="45">
        <v>101.71471344999996</v>
      </c>
      <c r="FP53" s="45">
        <v>72.308583999999996</v>
      </c>
      <c r="FQ53" s="45">
        <v>80.306925000000007</v>
      </c>
      <c r="FR53" s="45">
        <f t="shared" si="13"/>
        <v>922.51494297999989</v>
      </c>
      <c r="FS53" s="45">
        <f>FS54+FS56+FS55</f>
        <v>922.52987299999995</v>
      </c>
      <c r="FT53" s="45">
        <v>82.830257169999996</v>
      </c>
      <c r="FU53" s="45">
        <v>68.558009740000003</v>
      </c>
      <c r="FV53" s="45">
        <v>67.250833999999998</v>
      </c>
      <c r="FW53" s="45">
        <v>94.987200999999999</v>
      </c>
      <c r="FX53" s="45">
        <v>66.055406390000002</v>
      </c>
      <c r="FY53" s="45">
        <v>164.39718200000002</v>
      </c>
      <c r="FZ53" s="45">
        <v>42.673694900000008</v>
      </c>
      <c r="GA53" s="45">
        <v>25.180987460000008</v>
      </c>
      <c r="GB53" s="45">
        <v>57.452602110000008</v>
      </c>
      <c r="GC53" s="45">
        <v>110.97449933</v>
      </c>
      <c r="GD53" s="45">
        <v>71.313458529999963</v>
      </c>
      <c r="GE53" s="45">
        <v>77.416046260000016</v>
      </c>
      <c r="GF53" s="45">
        <f t="shared" si="14"/>
        <v>929.09017888999995</v>
      </c>
      <c r="GG53" s="45">
        <v>929.09018200000003</v>
      </c>
      <c r="GH53" s="45">
        <v>92.101284929999977</v>
      </c>
      <c r="GI53" s="45">
        <v>75.168223859999969</v>
      </c>
      <c r="GJ53" s="45">
        <v>80.395476000000002</v>
      </c>
      <c r="GK53" s="45">
        <v>106.16429594000004</v>
      </c>
      <c r="GL53" s="45">
        <v>69.874555079999993</v>
      </c>
      <c r="GM53" s="45">
        <v>178.89923255999997</v>
      </c>
      <c r="GN53" s="45">
        <v>34.831690999999999</v>
      </c>
      <c r="GO53" s="45">
        <v>18.267910930000003</v>
      </c>
      <c r="GP53" s="45">
        <v>57.25680984000001</v>
      </c>
      <c r="GQ53" s="45">
        <v>107.80767</v>
      </c>
      <c r="GR53" s="45">
        <v>77.17590982000003</v>
      </c>
      <c r="GS53" s="45">
        <v>71.278922770000079</v>
      </c>
      <c r="GT53" s="45">
        <f t="shared" si="20"/>
        <v>969.22198273000004</v>
      </c>
      <c r="GU53" s="45">
        <v>969.22198300000002</v>
      </c>
      <c r="GV53" s="45">
        <v>110.44064775999996</v>
      </c>
      <c r="GW53" s="45">
        <v>80.540589739999973</v>
      </c>
      <c r="GX53" s="45">
        <v>82.922940520000026</v>
      </c>
      <c r="GY53" s="45">
        <v>107.030772</v>
      </c>
      <c r="GZ53" s="45">
        <v>83.931052250000022</v>
      </c>
      <c r="HA53" s="45">
        <v>183.84592793000002</v>
      </c>
      <c r="HB53" s="45">
        <v>45.95614994999999</v>
      </c>
      <c r="HC53" s="45">
        <v>27.285414019999994</v>
      </c>
      <c r="HD53" s="45">
        <v>114.10918837</v>
      </c>
      <c r="HE53" s="45">
        <v>82.905231040000018</v>
      </c>
      <c r="HF53" s="45">
        <v>79.979214370000022</v>
      </c>
      <c r="HG53" s="45">
        <v>82.417584000000005</v>
      </c>
      <c r="HH53" s="45">
        <f t="shared" si="15"/>
        <v>1081.3647119499999</v>
      </c>
      <c r="HI53" s="45">
        <v>113.59161483000003</v>
      </c>
      <c r="HJ53" s="45">
        <v>98.936014099999994</v>
      </c>
      <c r="HK53" s="45">
        <v>87.199252629999989</v>
      </c>
      <c r="HL53" s="45">
        <v>109.68945261999995</v>
      </c>
      <c r="HM53" s="45"/>
      <c r="HN53" s="45"/>
      <c r="HO53" s="45"/>
      <c r="HP53" s="45"/>
      <c r="HQ53" s="45"/>
      <c r="HR53" s="45"/>
      <c r="HS53" s="45"/>
      <c r="HT53" s="45"/>
      <c r="HU53" s="283">
        <f t="shared" si="16"/>
        <v>380.93495000000001</v>
      </c>
      <c r="HV53" s="283">
        <f t="shared" si="17"/>
        <v>409.41633400000001</v>
      </c>
      <c r="HW53" s="280">
        <f t="shared" si="30"/>
        <v>28.481383999999991</v>
      </c>
      <c r="HX53" s="280">
        <f>HV53/HU53*100-100</f>
        <v>7.4767054060017415</v>
      </c>
    </row>
    <row r="54" spans="1:232" s="12" customFormat="1" ht="21.65" hidden="1" customHeight="1">
      <c r="A54" s="47" t="s">
        <v>102</v>
      </c>
      <c r="B54" s="13" t="s">
        <v>146</v>
      </c>
      <c r="C54" s="56" t="s">
        <v>147</v>
      </c>
      <c r="D54" s="44" t="s">
        <v>46</v>
      </c>
      <c r="E54" s="44" t="s">
        <v>46</v>
      </c>
      <c r="F54" s="44" t="s">
        <v>46</v>
      </c>
      <c r="G54" s="44">
        <v>7.7095747266184844E-3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2">
        <v>1.3299580000000104E-2</v>
      </c>
      <c r="T54" s="44">
        <v>0</v>
      </c>
      <c r="U54" s="44">
        <v>4.0406432299539848E-4</v>
      </c>
      <c r="V54" s="44">
        <v>2.0062000000022862E-4</v>
      </c>
      <c r="W54" s="44">
        <v>0.88919669999999995</v>
      </c>
      <c r="X54" s="44">
        <v>-0.88939731999999982</v>
      </c>
      <c r="Y54" s="44"/>
      <c r="Z54" s="44"/>
      <c r="AA54" s="44"/>
      <c r="AB54" s="44"/>
      <c r="AC54" s="44"/>
      <c r="AD54" s="44"/>
      <c r="AE54" s="44"/>
      <c r="AF54" s="44"/>
      <c r="AG54" s="44"/>
      <c r="AH54" s="44">
        <v>0</v>
      </c>
      <c r="AI54" s="44">
        <v>8.3470740106349695E-2</v>
      </c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>
        <v>4.4254160000000757E-2</v>
      </c>
      <c r="AV54" s="44" t="s">
        <v>46</v>
      </c>
      <c r="AW54" s="44">
        <v>7.7489598807058066E-2</v>
      </c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113"/>
      <c r="BK54" s="44"/>
      <c r="BL54" s="44"/>
      <c r="BM54" s="42">
        <v>-2.153683453798294E-15</v>
      </c>
      <c r="BN54" s="42">
        <v>0</v>
      </c>
      <c r="BO54" s="42">
        <v>-1.3387762010097504E-15</v>
      </c>
      <c r="BP54" s="42">
        <v>-9.3132257461547847E-16</v>
      </c>
      <c r="BQ54" s="42">
        <v>4.6566128730773924E-16</v>
      </c>
      <c r="BR54" s="42">
        <v>0</v>
      </c>
      <c r="BS54" s="42">
        <v>-1.4915713109076023E-16</v>
      </c>
      <c r="BT54" s="42">
        <v>1.6939338820520788E-15</v>
      </c>
      <c r="BU54" s="42">
        <v>-1.2667449311720703E-15</v>
      </c>
      <c r="BV54" s="42">
        <v>-1.2514647096395493E-15</v>
      </c>
      <c r="BW54" s="42">
        <v>1.6338610464572412E-15</v>
      </c>
      <c r="BX54" s="45">
        <f t="shared" si="4"/>
        <v>-3.2976927855088433E-15</v>
      </c>
      <c r="BY54" s="45"/>
      <c r="BZ54" s="45">
        <v>2.0859936000761081E-15</v>
      </c>
      <c r="CA54" s="45">
        <v>4.6565418188038168E-17</v>
      </c>
      <c r="CB54" s="45">
        <v>0</v>
      </c>
      <c r="CC54" s="45">
        <v>3.7255176721373573E-16</v>
      </c>
      <c r="CD54" s="45">
        <v>-1.7508838823232508E-15</v>
      </c>
      <c r="CE54" s="45">
        <v>0</v>
      </c>
      <c r="CF54" s="45">
        <v>-2.5348896315335879E-15</v>
      </c>
      <c r="CG54" s="45">
        <v>-1.1549019518497516E-15</v>
      </c>
      <c r="CH54" s="45">
        <v>-7.4505805969238278E-15</v>
      </c>
      <c r="CI54" s="45">
        <v>2.1827872842550278E-16</v>
      </c>
      <c r="CJ54" s="45">
        <v>-4.9959609782490592E-15</v>
      </c>
      <c r="CK54" s="45">
        <v>-1.6018475434975699E-15</v>
      </c>
      <c r="CL54" s="45">
        <f t="shared" si="5"/>
        <v>-1.6765675070473662E-14</v>
      </c>
      <c r="CM54" s="45"/>
      <c r="CN54" s="45">
        <v>-1.0186340659856795E-15</v>
      </c>
      <c r="CO54" s="45">
        <v>-4.6566128730773924E-16</v>
      </c>
      <c r="CP54" s="45">
        <v>-1.110606717702467E-15</v>
      </c>
      <c r="CQ54" s="45">
        <v>7.8231110478554913E-16</v>
      </c>
      <c r="CR54" s="45">
        <v>1.1362999430275523E-15</v>
      </c>
      <c r="CS54" s="45">
        <v>3.1839597625094031E-16</v>
      </c>
      <c r="CT54" s="45">
        <v>-8.7398710491015659E-16</v>
      </c>
      <c r="CU54" s="45">
        <v>-2.9816860092068965E-16</v>
      </c>
      <c r="CV54" s="45">
        <v>-1.2296368367969989E-15</v>
      </c>
      <c r="CW54" s="45">
        <v>-1.2223608791828155E-15</v>
      </c>
      <c r="CX54" s="45">
        <v>3.7232439353829249E-17</v>
      </c>
      <c r="CY54" s="45">
        <v>-2.7794158086180688E-15</v>
      </c>
      <c r="CZ54" s="45">
        <f t="shared" si="6"/>
        <v>-6.7242318380067446E-15</v>
      </c>
      <c r="DA54" s="45"/>
      <c r="DB54" s="45">
        <v>0</v>
      </c>
      <c r="DC54" s="45">
        <v>1.6390551138556476E-15</v>
      </c>
      <c r="DD54" s="45">
        <v>0</v>
      </c>
      <c r="DE54" s="45">
        <v>-2.0861676830463692E-15</v>
      </c>
      <c r="DF54" s="45">
        <v>-1.8626451492309569E-15</v>
      </c>
      <c r="DG54" s="45">
        <v>-5.8207660913467405E-17</v>
      </c>
      <c r="DH54" s="45">
        <v>-1.8814958480106725E-15</v>
      </c>
      <c r="DI54" s="45">
        <v>3.7252902984619139E-15</v>
      </c>
      <c r="DJ54" s="45">
        <v>3.2159732654690743E-15</v>
      </c>
      <c r="DK54" s="45">
        <v>-7.4507511271804109E-17</v>
      </c>
      <c r="DL54" s="45">
        <v>-2.4028139478105006E-15</v>
      </c>
      <c r="DM54" s="45">
        <v>3.6670826375484466E-15</v>
      </c>
      <c r="DN54" s="45">
        <f t="shared" si="7"/>
        <v>3.8815635150513123E-15</v>
      </c>
      <c r="DO54" s="45"/>
      <c r="DP54" s="45">
        <v>1.1546390510375204E-15</v>
      </c>
      <c r="DQ54" s="45">
        <v>-3.7252902984619139E-15</v>
      </c>
      <c r="DR54" s="45">
        <v>9.8729202591130153E-16</v>
      </c>
      <c r="DS54" s="45">
        <v>-1.0430838415231846E-15</v>
      </c>
      <c r="DT54" s="45">
        <v>2.6450166501490457E-15</v>
      </c>
      <c r="DU54" s="45">
        <v>-1.1175913527949889E-15</v>
      </c>
      <c r="DV54" s="45">
        <v>-3.2596290111541748E-15</v>
      </c>
      <c r="DW54" s="45">
        <v>9.9999999660940372E-7</v>
      </c>
      <c r="DX54" s="45">
        <v>2.0000000027030184E-6</v>
      </c>
      <c r="DY54" s="45">
        <v>8.0035533756017688E-16</v>
      </c>
      <c r="DZ54" s="45">
        <v>3.3524329978718014E-15</v>
      </c>
      <c r="EA54" s="45">
        <v>3.3928699849639087E-15</v>
      </c>
      <c r="EB54" s="45">
        <f t="shared" si="10"/>
        <v>3.0000000024994342E-6</v>
      </c>
      <c r="EC54" s="45"/>
      <c r="ED54" s="45">
        <v>-9.6857633025138051E-16</v>
      </c>
      <c r="EE54" s="45">
        <v>0</v>
      </c>
      <c r="EF54" s="45">
        <v>3.5390002040003308E-16</v>
      </c>
      <c r="EG54" s="45">
        <v>3.0358933145180343E-15</v>
      </c>
      <c r="EH54" s="45">
        <v>-1.2665992699112394E-15</v>
      </c>
      <c r="EI54" s="45">
        <v>1.639172353407048E-15</v>
      </c>
      <c r="EK54" s="184"/>
      <c r="EL54" s="45">
        <v>1.8999526223140161E-15</v>
      </c>
      <c r="EM54" s="45">
        <v>0</v>
      </c>
      <c r="EN54" s="45">
        <v>-1.5647216855541046E-15</v>
      </c>
      <c r="EO54" s="45">
        <v>-8.1956379460734752E-15</v>
      </c>
      <c r="EP54" s="45">
        <f t="shared" si="11"/>
        <v>-5.0666169211510688E-15</v>
      </c>
      <c r="EQ54" s="45"/>
      <c r="ER54" s="45">
        <v>-4.9230948206968608E-15</v>
      </c>
      <c r="ES54" s="42">
        <v>-9.3132257461547847E-16</v>
      </c>
      <c r="ET54" s="45">
        <v>4.5821053618055881E-15</v>
      </c>
      <c r="EU54" s="193"/>
      <c r="EV54" s="42">
        <v>-1.8626451492309569E-15</v>
      </c>
      <c r="EW54" s="42">
        <v>-1.8626451492309569E-15</v>
      </c>
      <c r="EX54" s="42"/>
      <c r="EY54" s="183"/>
      <c r="EZ54" s="183"/>
      <c r="FA54" s="183"/>
      <c r="FB54" s="183"/>
      <c r="FC54" s="183"/>
      <c r="FD54" s="45">
        <f t="shared" si="12"/>
        <v>-4.9976023319686649E-15</v>
      </c>
      <c r="FE54" s="217"/>
      <c r="FF54" s="196"/>
      <c r="FG54" s="196"/>
      <c r="FH54" s="196"/>
      <c r="FI54" s="196"/>
      <c r="FJ54" s="196"/>
      <c r="FK54" s="45"/>
      <c r="FL54" s="196"/>
      <c r="FM54" s="196"/>
      <c r="FN54" s="196"/>
      <c r="FO54" s="196"/>
      <c r="FP54" s="196"/>
      <c r="FQ54" s="196"/>
      <c r="FR54" s="45">
        <f t="shared" si="13"/>
        <v>0</v>
      </c>
      <c r="FS54" s="217"/>
      <c r="FT54" s="196"/>
      <c r="FU54" s="196"/>
      <c r="FV54" s="196"/>
      <c r="FW54" s="196"/>
      <c r="FX54" s="196"/>
      <c r="FY54" s="196"/>
      <c r="FZ54" s="196"/>
      <c r="GA54" s="196"/>
      <c r="GB54" s="196"/>
      <c r="GC54" s="196"/>
      <c r="GD54" s="196"/>
      <c r="GE54" s="196"/>
      <c r="GF54" s="45">
        <f t="shared" si="14"/>
        <v>0</v>
      </c>
      <c r="GG54" s="217"/>
      <c r="GH54" s="196"/>
      <c r="GI54" s="196"/>
      <c r="GJ54" s="196"/>
      <c r="GK54" s="196"/>
      <c r="GL54" s="196"/>
      <c r="GM54" s="196">
        <v>4.0299999999999998E-4</v>
      </c>
      <c r="GN54" s="196">
        <v>-4.0299999999999998E-4</v>
      </c>
      <c r="GO54" s="196"/>
      <c r="GP54" s="196"/>
      <c r="GQ54" s="196"/>
      <c r="GR54" s="196"/>
      <c r="GS54" s="196"/>
      <c r="GT54" s="45">
        <f t="shared" si="20"/>
        <v>0</v>
      </c>
      <c r="GU54" s="217"/>
      <c r="GV54" s="196"/>
      <c r="GW54" s="196"/>
      <c r="GX54" s="196"/>
      <c r="GY54" s="196"/>
      <c r="GZ54" s="196"/>
      <c r="HA54" s="196"/>
      <c r="HB54" s="196"/>
      <c r="HC54" s="196"/>
      <c r="HD54" s="196"/>
      <c r="HE54" s="196"/>
      <c r="HF54" s="196"/>
      <c r="HG54" s="196"/>
      <c r="HH54" s="196"/>
      <c r="HI54" s="196"/>
      <c r="HJ54" s="196"/>
      <c r="HK54" s="196"/>
      <c r="HL54" s="196"/>
      <c r="HM54" s="196"/>
      <c r="HN54" s="196"/>
      <c r="HO54" s="196"/>
      <c r="HP54" s="196"/>
      <c r="HQ54" s="196"/>
      <c r="HR54" s="196"/>
      <c r="HS54" s="196"/>
      <c r="HT54" s="196"/>
      <c r="HU54" s="285">
        <f t="shared" si="16"/>
        <v>0</v>
      </c>
      <c r="HV54" s="285">
        <f t="shared" si="17"/>
        <v>0</v>
      </c>
      <c r="HW54" s="277">
        <f t="shared" si="30"/>
        <v>0</v>
      </c>
      <c r="HX54" s="277"/>
    </row>
    <row r="55" spans="1:232" s="12" customFormat="1" ht="20.5">
      <c r="A55" s="47" t="s">
        <v>105</v>
      </c>
      <c r="B55" s="13">
        <v>7200</v>
      </c>
      <c r="C55" s="47" t="s">
        <v>149</v>
      </c>
      <c r="D55" s="44" t="s">
        <v>46</v>
      </c>
      <c r="E55" s="44" t="s">
        <v>46</v>
      </c>
      <c r="F55" s="44" t="s">
        <v>46</v>
      </c>
      <c r="G55" s="44">
        <v>563.10295854896083</v>
      </c>
      <c r="H55" s="42">
        <v>44.702429183669992</v>
      </c>
      <c r="I55" s="42">
        <v>42.316834437481866</v>
      </c>
      <c r="J55" s="44">
        <v>48.566018375607648</v>
      </c>
      <c r="K55" s="44">
        <v>41.605452005082327</v>
      </c>
      <c r="L55" s="44">
        <v>42.027615825027873</v>
      </c>
      <c r="M55" s="44">
        <v>76.119220996295127</v>
      </c>
      <c r="N55" s="44">
        <v>29.263592388769084</v>
      </c>
      <c r="O55" s="42">
        <v>22.738614179771332</v>
      </c>
      <c r="P55" s="44">
        <v>43.128523810045806</v>
      </c>
      <c r="Q55" s="42">
        <v>43.358127130750532</v>
      </c>
      <c r="R55" s="44">
        <v>40.026445292137041</v>
      </c>
      <c r="S55" s="44">
        <v>45.012459120952734</v>
      </c>
      <c r="T55" s="44">
        <v>0</v>
      </c>
      <c r="U55" s="44">
        <v>518.90416028775348</v>
      </c>
      <c r="V55" s="44">
        <v>34.382762482088211</v>
      </c>
      <c r="W55" s="44">
        <v>35.401828962915985</v>
      </c>
      <c r="X55" s="44">
        <v>35.212996803918941</v>
      </c>
      <c r="Y55" s="44">
        <v>36.869294651572609</v>
      </c>
      <c r="Z55" s="44">
        <v>35.332678812300443</v>
      </c>
      <c r="AA55" s="44">
        <v>69.344682158894955</v>
      </c>
      <c r="AB55" s="44">
        <v>29.924449775470826</v>
      </c>
      <c r="AC55" s="44">
        <v>12.537239401027884</v>
      </c>
      <c r="AD55" s="44">
        <v>36.182261341711204</v>
      </c>
      <c r="AE55" s="44">
        <v>39.442896782033117</v>
      </c>
      <c r="AF55" s="44">
        <v>37.300466417379525</v>
      </c>
      <c r="AG55" s="44">
        <v>45.677025173448087</v>
      </c>
      <c r="AH55" s="44">
        <v>0</v>
      </c>
      <c r="AI55" s="44">
        <v>447.65256235020053</v>
      </c>
      <c r="AJ55" s="44">
        <v>38.837818225280451</v>
      </c>
      <c r="AK55" s="44">
        <v>37.511565457794774</v>
      </c>
      <c r="AL55" s="44">
        <v>37.802248052088501</v>
      </c>
      <c r="AM55" s="44">
        <v>45.046777821412519</v>
      </c>
      <c r="AN55" s="44">
        <v>34.854672383765603</v>
      </c>
      <c r="AO55" s="44">
        <v>74.250477956869915</v>
      </c>
      <c r="AP55" s="44">
        <v>25.297347482370618</v>
      </c>
      <c r="AQ55" s="44">
        <v>14.446230200738755</v>
      </c>
      <c r="AR55" s="44">
        <v>38.629835629848429</v>
      </c>
      <c r="AS55" s="44">
        <v>42.233661162998494</v>
      </c>
      <c r="AT55" s="44">
        <v>36.581534823364692</v>
      </c>
      <c r="AU55" s="44">
        <v>38.876092053168961</v>
      </c>
      <c r="AV55" s="44" t="s">
        <v>46</v>
      </c>
      <c r="AW55" s="44">
        <v>464.36826483628437</v>
      </c>
      <c r="AX55" s="44">
        <v>39.091059999999999</v>
      </c>
      <c r="AY55" s="44">
        <v>38.126922</v>
      </c>
      <c r="AZ55" s="44">
        <v>40.738944709999998</v>
      </c>
      <c r="BA55" s="44">
        <v>42.242628839999995</v>
      </c>
      <c r="BB55" s="44">
        <v>38.838153810000001</v>
      </c>
      <c r="BC55" s="44">
        <v>75.845245289999994</v>
      </c>
      <c r="BD55" s="44">
        <v>28.596102469999991</v>
      </c>
      <c r="BE55" s="44">
        <v>13.907768589999995</v>
      </c>
      <c r="BF55" s="44">
        <v>43.378746559999996</v>
      </c>
      <c r="BG55" s="44">
        <v>48.825687760000008</v>
      </c>
      <c r="BH55" s="44">
        <v>40.366233980000004</v>
      </c>
      <c r="BI55" s="44">
        <v>42.210282849999999</v>
      </c>
      <c r="BJ55" s="50">
        <f t="shared" si="28"/>
        <v>492.16777686</v>
      </c>
      <c r="BK55" s="44">
        <v>490.98549200000002</v>
      </c>
      <c r="BL55" s="44">
        <v>41.327584910000013</v>
      </c>
      <c r="BM55" s="42">
        <v>42.153544359999998</v>
      </c>
      <c r="BN55" s="42">
        <v>44.207639110000017</v>
      </c>
      <c r="BO55" s="42">
        <v>47.563320619999999</v>
      </c>
      <c r="BP55" s="42">
        <v>45.052736830000001</v>
      </c>
      <c r="BQ55" s="42">
        <v>89.316474339999999</v>
      </c>
      <c r="BR55" s="42">
        <v>29.522399179999994</v>
      </c>
      <c r="BS55" s="42">
        <v>16.284595610000004</v>
      </c>
      <c r="BT55" s="42">
        <v>40.811970199999998</v>
      </c>
      <c r="BU55" s="42">
        <v>45.665751759999999</v>
      </c>
      <c r="BV55" s="42">
        <v>44.338105449999993</v>
      </c>
      <c r="BW55" s="42">
        <v>39.390271920000011</v>
      </c>
      <c r="BX55" s="45">
        <f t="shared" si="4"/>
        <v>525.63439429000005</v>
      </c>
      <c r="BY55" s="45">
        <f>487.187278+37.152591</f>
        <v>524.33986900000002</v>
      </c>
      <c r="BZ55" s="45">
        <v>43.663420200000004</v>
      </c>
      <c r="CA55" s="45">
        <v>41.809197789999999</v>
      </c>
      <c r="CB55" s="45">
        <v>44.282084359999999</v>
      </c>
      <c r="CC55" s="45">
        <v>48.898310010000003</v>
      </c>
      <c r="CD55" s="45">
        <v>38.786788490000006</v>
      </c>
      <c r="CE55" s="45">
        <v>82.374334839999989</v>
      </c>
      <c r="CF55" s="45">
        <v>29.20716899</v>
      </c>
      <c r="CG55" s="45">
        <v>15.960579060000004</v>
      </c>
      <c r="CH55" s="45">
        <v>21.041995779999997</v>
      </c>
      <c r="CI55" s="45">
        <v>67.139034199999983</v>
      </c>
      <c r="CJ55" s="45">
        <v>51.336701069999989</v>
      </c>
      <c r="CK55" s="45">
        <v>40.220306049999984</v>
      </c>
      <c r="CL55" s="45">
        <f t="shared" si="5"/>
        <v>524.71992083999987</v>
      </c>
      <c r="CM55" s="45">
        <v>524.70776499999999</v>
      </c>
      <c r="CN55" s="45">
        <v>46.072524940000015</v>
      </c>
      <c r="CO55" s="45">
        <v>44.860209909999995</v>
      </c>
      <c r="CP55" s="45">
        <v>50.24559764</v>
      </c>
      <c r="CQ55" s="45">
        <v>53.316684180000003</v>
      </c>
      <c r="CR55" s="45">
        <v>44.780050269999997</v>
      </c>
      <c r="CS55" s="45">
        <v>95.349324549999992</v>
      </c>
      <c r="CT55" s="45">
        <v>26.952636989999995</v>
      </c>
      <c r="CU55" s="45">
        <v>15.945737100000002</v>
      </c>
      <c r="CV55" s="45">
        <v>27.384032299999994</v>
      </c>
      <c r="CW55" s="45">
        <v>72.003212239999996</v>
      </c>
      <c r="CX55" s="45">
        <v>48.314203750000004</v>
      </c>
      <c r="CY55" s="45">
        <v>41.429253440000011</v>
      </c>
      <c r="CZ55" s="45">
        <f t="shared" si="6"/>
        <v>566.65346731</v>
      </c>
      <c r="DA55" s="45">
        <v>565.76399299999991</v>
      </c>
      <c r="DB55" s="45">
        <v>48.80526554999998</v>
      </c>
      <c r="DC55" s="45">
        <v>45.370502789999989</v>
      </c>
      <c r="DD55" s="45">
        <v>48.861492150000004</v>
      </c>
      <c r="DE55" s="45">
        <v>52.571650909999981</v>
      </c>
      <c r="DF55" s="45">
        <v>45.584593039999994</v>
      </c>
      <c r="DG55" s="45">
        <v>95.897949200000014</v>
      </c>
      <c r="DH55" s="45">
        <v>34.620689570000017</v>
      </c>
      <c r="DI55" s="45">
        <v>19.333677830000003</v>
      </c>
      <c r="DJ55" s="45">
        <v>44.685489710000013</v>
      </c>
      <c r="DK55" s="45">
        <v>67.347805040000026</v>
      </c>
      <c r="DL55" s="45">
        <v>51.100231229999999</v>
      </c>
      <c r="DM55" s="45">
        <v>58.655942689999996</v>
      </c>
      <c r="DN55" s="45">
        <f t="shared" si="7"/>
        <v>612.83528970999998</v>
      </c>
      <c r="DO55" s="45">
        <v>611.74409700000001</v>
      </c>
      <c r="DP55" s="45">
        <v>64.173964040000001</v>
      </c>
      <c r="DQ55" s="45">
        <v>54.183765449999996</v>
      </c>
      <c r="DR55" s="45">
        <v>57.218263989999997</v>
      </c>
      <c r="DS55" s="45">
        <v>60.936107500000006</v>
      </c>
      <c r="DT55" s="45">
        <v>57.884494140000001</v>
      </c>
      <c r="DU55" s="45">
        <v>102.42654605999999</v>
      </c>
      <c r="DV55" s="45">
        <v>42.951999570000005</v>
      </c>
      <c r="DW55" s="45">
        <v>23.885817349999993</v>
      </c>
      <c r="DX55" s="45">
        <v>56.922627190000007</v>
      </c>
      <c r="DY55" s="45">
        <v>67.078119649999991</v>
      </c>
      <c r="DZ55" s="45">
        <v>54.702195479999993</v>
      </c>
      <c r="EA55" s="45">
        <v>52.49154936</v>
      </c>
      <c r="EB55" s="45">
        <f t="shared" si="10"/>
        <v>694.85544977999996</v>
      </c>
      <c r="EC55" s="45">
        <f>651.817438+40.29512</f>
        <v>692.11255800000004</v>
      </c>
      <c r="ED55" s="45">
        <v>67.735781619999969</v>
      </c>
      <c r="EE55" s="45">
        <v>59.994169770000006</v>
      </c>
      <c r="EF55" s="45">
        <v>62.139617939999987</v>
      </c>
      <c r="EG55" s="45">
        <v>67.748985899999994</v>
      </c>
      <c r="EH55" s="45">
        <v>58.262554559999998</v>
      </c>
      <c r="EI55" s="45">
        <v>104.33609843000001</v>
      </c>
      <c r="EJ55" s="45">
        <v>45.548655569999994</v>
      </c>
      <c r="EK55" s="45">
        <v>33.345388999999997</v>
      </c>
      <c r="EL55" s="45">
        <v>63.281583920000003</v>
      </c>
      <c r="EM55" s="45">
        <v>68.676724899999982</v>
      </c>
      <c r="EN55" s="45">
        <v>60.233781660000005</v>
      </c>
      <c r="EO55" s="45">
        <v>58.783373000000005</v>
      </c>
      <c r="EP55" s="45">
        <f t="shared" si="11"/>
        <v>750.0867162699999</v>
      </c>
      <c r="EQ55" s="45">
        <v>747.69036199999994</v>
      </c>
      <c r="ER55" s="45">
        <v>62.725130679999999</v>
      </c>
      <c r="ES55" s="42">
        <v>77.626161650000014</v>
      </c>
      <c r="ET55" s="45">
        <v>73.757433959999972</v>
      </c>
      <c r="EU55" s="42">
        <v>72.109760570000034</v>
      </c>
      <c r="EV55" s="42">
        <v>60.173218039999995</v>
      </c>
      <c r="EW55" s="42">
        <v>124.84033385999999</v>
      </c>
      <c r="EX55" s="42">
        <v>27.580870999999998</v>
      </c>
      <c r="EY55" s="42">
        <v>28.024605730000001</v>
      </c>
      <c r="EZ55" s="42">
        <v>56.53242924000002</v>
      </c>
      <c r="FA55" s="42">
        <v>82.973915000000005</v>
      </c>
      <c r="FB55" s="42">
        <v>61.964522910000014</v>
      </c>
      <c r="FC55" s="42">
        <v>66.680474770000004</v>
      </c>
      <c r="FD55" s="45">
        <f t="shared" si="12"/>
        <v>794.98885741000015</v>
      </c>
      <c r="FE55" s="45">
        <v>791.03346299999998</v>
      </c>
      <c r="FF55" s="45">
        <v>76.533365969999963</v>
      </c>
      <c r="FG55" s="45">
        <v>61.442199650000006</v>
      </c>
      <c r="FH55" s="45">
        <v>71.374697389999994</v>
      </c>
      <c r="FI55" s="45">
        <v>83.634531110000012</v>
      </c>
      <c r="FJ55" s="45">
        <v>64.657059979999985</v>
      </c>
      <c r="FK55" s="45">
        <v>138.46091675</v>
      </c>
      <c r="FL55" s="45">
        <v>54.181793040000024</v>
      </c>
      <c r="FM55" s="45">
        <v>37.86935290000001</v>
      </c>
      <c r="FN55" s="45">
        <v>80.030803739999968</v>
      </c>
      <c r="FO55" s="45">
        <v>101.71471344999996</v>
      </c>
      <c r="FP55" s="45">
        <v>72.308583999999996</v>
      </c>
      <c r="FQ55" s="45">
        <v>80.306925000000007</v>
      </c>
      <c r="FR55" s="45">
        <f t="shared" si="13"/>
        <v>922.51494297999989</v>
      </c>
      <c r="FS55" s="45">
        <v>912.60914199999991</v>
      </c>
      <c r="FT55" s="45">
        <v>82.830257169999996</v>
      </c>
      <c r="FU55" s="45">
        <v>68.558009740000003</v>
      </c>
      <c r="FV55" s="45">
        <v>67.250833999999998</v>
      </c>
      <c r="FW55" s="45">
        <v>94.987200999999999</v>
      </c>
      <c r="FX55" s="45">
        <v>66.055406390000002</v>
      </c>
      <c r="FY55" s="45">
        <v>164.39718200000002</v>
      </c>
      <c r="FZ55" s="45">
        <v>42.673694900000008</v>
      </c>
      <c r="GA55" s="45">
        <v>25.180987460000008</v>
      </c>
      <c r="GB55" s="45">
        <v>57.452602110000008</v>
      </c>
      <c r="GC55" s="45">
        <v>110.97449933</v>
      </c>
      <c r="GD55" s="45">
        <v>71.313458529999963</v>
      </c>
      <c r="GE55" s="45">
        <v>77.416046260000016</v>
      </c>
      <c r="GF55" s="45">
        <f t="shared" si="14"/>
        <v>929.09017888999995</v>
      </c>
      <c r="GG55" s="45">
        <v>904.67598899999996</v>
      </c>
      <c r="GH55" s="45">
        <v>92.101284929999977</v>
      </c>
      <c r="GI55" s="45">
        <v>75.168223859999969</v>
      </c>
      <c r="GJ55" s="45">
        <v>80.395476739999978</v>
      </c>
      <c r="GK55" s="45">
        <v>106.16429594000004</v>
      </c>
      <c r="GL55" s="45">
        <v>69.874555079999993</v>
      </c>
      <c r="GM55" s="45">
        <v>178.89882936000006</v>
      </c>
      <c r="GN55" s="45">
        <v>34.832094000000005</v>
      </c>
      <c r="GO55" s="45">
        <v>18.267910930000003</v>
      </c>
      <c r="GP55" s="45">
        <v>57.25680984000001</v>
      </c>
      <c r="GQ55" s="45">
        <v>107.80767</v>
      </c>
      <c r="GR55" s="45">
        <v>77.17590982000003</v>
      </c>
      <c r="GS55" s="45">
        <v>71.279421940000034</v>
      </c>
      <c r="GT55" s="45">
        <f t="shared" si="20"/>
        <v>969.22248244000002</v>
      </c>
      <c r="GU55" s="45">
        <v>967.56099300000005</v>
      </c>
      <c r="GV55" s="45">
        <v>110.44064775999996</v>
      </c>
      <c r="GW55" s="45">
        <v>80.540589739999973</v>
      </c>
      <c r="GX55" s="45">
        <v>82.922940520000026</v>
      </c>
      <c r="GY55" s="45">
        <v>107.030772</v>
      </c>
      <c r="GZ55" s="45">
        <v>83.931052250000022</v>
      </c>
      <c r="HA55" s="45">
        <v>183.84592793000002</v>
      </c>
      <c r="HB55" s="45">
        <v>45.95614994999999</v>
      </c>
      <c r="HC55" s="45">
        <v>27.285414019999994</v>
      </c>
      <c r="HD55" s="45">
        <v>114.10918837</v>
      </c>
      <c r="HE55" s="45">
        <v>82.905231040000018</v>
      </c>
      <c r="HF55" s="45">
        <v>79.979214370000022</v>
      </c>
      <c r="HG55" s="45">
        <v>82.417584000000005</v>
      </c>
      <c r="HH55" s="45">
        <f t="shared" si="15"/>
        <v>1081.3647119499999</v>
      </c>
      <c r="HI55" s="45">
        <v>113.59161483000003</v>
      </c>
      <c r="HJ55" s="45">
        <v>98.936014099999994</v>
      </c>
      <c r="HK55" s="45">
        <v>87.199252629999989</v>
      </c>
      <c r="HL55" s="45">
        <v>109.68945261999995</v>
      </c>
      <c r="HM55" s="45"/>
      <c r="HN55" s="45"/>
      <c r="HO55" s="45"/>
      <c r="HP55" s="45"/>
      <c r="HQ55" s="45"/>
      <c r="HR55" s="45"/>
      <c r="HS55" s="45"/>
      <c r="HT55" s="45"/>
      <c r="HU55" s="283">
        <f t="shared" si="16"/>
        <v>380.93495000000001</v>
      </c>
      <c r="HV55" s="283">
        <f t="shared" si="17"/>
        <v>409.41633400000001</v>
      </c>
      <c r="HW55" s="277">
        <f t="shared" si="30"/>
        <v>28.481383999999991</v>
      </c>
      <c r="HX55" s="277">
        <f>HV55/HU55*100-100</f>
        <v>7.4767054060017415</v>
      </c>
    </row>
    <row r="56" spans="1:232" s="12" customFormat="1" ht="20.5" hidden="1">
      <c r="A56" s="47" t="s">
        <v>108</v>
      </c>
      <c r="B56" s="13">
        <v>7800</v>
      </c>
      <c r="C56" s="47" t="s">
        <v>148</v>
      </c>
      <c r="D56" s="44" t="s">
        <v>46</v>
      </c>
      <c r="E56" s="44" t="s">
        <v>46</v>
      </c>
      <c r="F56" s="44" t="s">
        <v>46</v>
      </c>
      <c r="G56" s="44"/>
      <c r="H56" s="44"/>
      <c r="I56" s="44"/>
      <c r="J56" s="44">
        <v>1.2635360000002668E-2</v>
      </c>
      <c r="K56" s="44">
        <v>-6.8159700000062582E-3</v>
      </c>
      <c r="L56" s="44">
        <v>0.11888078000000528</v>
      </c>
      <c r="M56" s="44">
        <v>-0.12498505000000185</v>
      </c>
      <c r="N56" s="44">
        <v>2.8488000000586179E-4</v>
      </c>
      <c r="O56" s="44"/>
      <c r="P56" s="44">
        <v>-8.6468599999966096E-3</v>
      </c>
      <c r="Q56" s="44"/>
      <c r="R56" s="44">
        <v>-1.8477000000616681E-4</v>
      </c>
      <c r="S56" s="44">
        <v>2.7538999999926891E-3</v>
      </c>
      <c r="T56" s="44">
        <v>0</v>
      </c>
      <c r="U56" s="109"/>
      <c r="V56" s="44"/>
      <c r="W56" s="44"/>
      <c r="X56" s="44">
        <v>1.3803959999997737E-2</v>
      </c>
      <c r="Y56" s="44">
        <v>-1.3803959999999962E-2</v>
      </c>
      <c r="Z56" s="44"/>
      <c r="AA56" s="44"/>
      <c r="AB56" s="44"/>
      <c r="AC56" s="44"/>
      <c r="AD56" s="44"/>
      <c r="AE56" s="44"/>
      <c r="AF56" s="44"/>
      <c r="AG56" s="44"/>
      <c r="AH56" s="44">
        <v>0</v>
      </c>
      <c r="AI56" s="44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44" t="s">
        <v>46</v>
      </c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50"/>
      <c r="BK56" s="44"/>
      <c r="BL56" s="44"/>
      <c r="BM56" s="42">
        <v>-1.8626451492309569E-15</v>
      </c>
      <c r="BN56" s="42">
        <v>-1.3969838619232178E-15</v>
      </c>
      <c r="BO56" s="42">
        <v>1.0004441719502211E-16</v>
      </c>
      <c r="BP56" s="42">
        <v>1.6298145055770874E-15</v>
      </c>
      <c r="BQ56" s="42">
        <v>-3.9581209421157837E-15</v>
      </c>
      <c r="BR56" s="42">
        <v>-2.0954757928848267E-15</v>
      </c>
      <c r="BS56" s="42">
        <v>1.2769305612891913E-15</v>
      </c>
      <c r="BT56" s="42">
        <v>7.9307937994599347E-16</v>
      </c>
      <c r="BU56" s="42">
        <v>2.3283064365386962E-16</v>
      </c>
      <c r="BV56" s="42">
        <v>-3.2487150747328997E-15</v>
      </c>
      <c r="BW56" s="42">
        <v>1.6516423784196376E-15</v>
      </c>
      <c r="BX56" s="45">
        <f t="shared" si="4"/>
        <v>-6.8775989348068827E-15</v>
      </c>
      <c r="BY56" s="45">
        <v>1.2739130000000001</v>
      </c>
      <c r="BZ56" s="45">
        <v>3.5652192309498786E-16</v>
      </c>
      <c r="CA56" s="45">
        <v>1.3351382222026586E-15</v>
      </c>
      <c r="CB56" s="45">
        <v>-5.9662852436304093E-16</v>
      </c>
      <c r="CC56" s="45">
        <v>-9.0949470177292826E-16</v>
      </c>
      <c r="CD56" s="45">
        <v>-1.1505107977427543E-16</v>
      </c>
      <c r="CE56" s="45">
        <v>-2.1736923372372986E-16</v>
      </c>
      <c r="CF56" s="45">
        <v>-1.3969838619232178E-15</v>
      </c>
      <c r="CG56" s="45">
        <v>1.0477378964424134E-15</v>
      </c>
      <c r="CH56" s="45">
        <v>-6.1700120568275453E-15</v>
      </c>
      <c r="CI56" s="45">
        <v>1.3096723705530167E-15</v>
      </c>
      <c r="CJ56" s="45">
        <v>5.1295501179993157E-16</v>
      </c>
      <c r="CK56" s="45">
        <v>4.3000909499824051E-15</v>
      </c>
      <c r="CL56" s="45">
        <f t="shared" si="5"/>
        <v>-5.4342308430932378E-16</v>
      </c>
      <c r="CM56" s="45"/>
      <c r="CN56" s="45">
        <v>9.4871666078688572E-17</v>
      </c>
      <c r="CO56" s="45">
        <v>5.4133124649524687E-15</v>
      </c>
      <c r="CP56" s="45">
        <v>-4.6566128730773924E-16</v>
      </c>
      <c r="CQ56" s="45">
        <v>-5.8207660913467412E-16</v>
      </c>
      <c r="CR56" s="45">
        <v>0</v>
      </c>
      <c r="CS56" s="45">
        <v>-2.6020643417723475E-15</v>
      </c>
      <c r="CT56" s="45">
        <v>-1.0477378964424134E-15</v>
      </c>
      <c r="CU56" s="45">
        <v>1.1641532182693482E-15</v>
      </c>
      <c r="CV56" s="45">
        <v>1.8335413187742233E-15</v>
      </c>
      <c r="CW56" s="45">
        <v>-4.7039065975695852E-15</v>
      </c>
      <c r="CX56" s="45">
        <v>2.2258745957515202E-15</v>
      </c>
      <c r="CY56" s="45">
        <v>-1.3969838619232178E-15</v>
      </c>
      <c r="CZ56" s="45">
        <f t="shared" si="6"/>
        <v>-6.667733032372822E-17</v>
      </c>
      <c r="DA56" s="45">
        <v>0.88947299999999996</v>
      </c>
      <c r="DB56" s="45">
        <v>7.2759576141834256E-18</v>
      </c>
      <c r="DC56" s="45">
        <v>4.6493369154632094E-15</v>
      </c>
      <c r="DD56" s="45">
        <v>5.8207660913467412E-16</v>
      </c>
      <c r="DE56" s="45">
        <v>-2.9103830456733705E-15</v>
      </c>
      <c r="DF56" s="45">
        <v>2.5611370801925659E-15</v>
      </c>
      <c r="DG56" s="45">
        <v>-2.1827872842550278E-17</v>
      </c>
      <c r="DH56" s="45">
        <v>-1.3969838619232178E-15</v>
      </c>
      <c r="DI56" s="45">
        <v>2.2700987756252288E-15</v>
      </c>
      <c r="DJ56" s="45">
        <v>-2.5047484086826443E-15</v>
      </c>
      <c r="DK56" s="45">
        <v>-4.0599843487143517E-15</v>
      </c>
      <c r="DL56" s="45">
        <v>8.294591680169106E-16</v>
      </c>
      <c r="DM56" s="45">
        <v>-2.0954757928848267E-15</v>
      </c>
      <c r="DN56" s="45">
        <f t="shared" si="7"/>
        <v>-2.0900188246741884E-15</v>
      </c>
      <c r="DO56" s="45">
        <v>1.087631</v>
      </c>
      <c r="DP56" s="45">
        <v>-4.488356353249401E-16</v>
      </c>
      <c r="DQ56" s="45">
        <v>1.3242242857813836E-15</v>
      </c>
      <c r="DR56" s="45">
        <v>6.984919309616089E-16</v>
      </c>
      <c r="DS56" s="45">
        <v>-4.8021320253610611E-15</v>
      </c>
      <c r="DT56" s="45">
        <v>2.3283064365386962E-16</v>
      </c>
      <c r="DU56" s="45">
        <v>2.1827872842550278E-16</v>
      </c>
      <c r="DV56" s="45">
        <v>-4.3073669075965879E-15</v>
      </c>
      <c r="DW56" s="45">
        <v>3.4924596548080445E-16</v>
      </c>
      <c r="DX56" s="45">
        <v>-1.6661942936480046E-15</v>
      </c>
      <c r="DY56" s="45">
        <v>-5.1222741603851317E-15</v>
      </c>
      <c r="DZ56" s="45">
        <v>-1.7462298274040223E-16</v>
      </c>
      <c r="EA56" s="45">
        <v>6.984919309616089E-16</v>
      </c>
      <c r="EB56" s="45">
        <f t="shared" si="10"/>
        <v>-1.2999862519791349E-14</v>
      </c>
      <c r="EC56" s="45">
        <v>2.7417379999999998</v>
      </c>
      <c r="ED56" s="45">
        <v>0</v>
      </c>
      <c r="EE56" s="45">
        <v>-1.5716068446636199E-15</v>
      </c>
      <c r="EF56" s="45">
        <v>-8.1490725278854369E-16</v>
      </c>
      <c r="EG56" s="45">
        <v>1.3096723705530167E-15</v>
      </c>
      <c r="EH56" s="45">
        <v>-4.6566128730773924E-16</v>
      </c>
      <c r="EI56" s="45">
        <v>1.7462298274040223E-16</v>
      </c>
      <c r="EJ56" s="45"/>
      <c r="EK56" s="179"/>
      <c r="EL56" s="45">
        <v>2.9685907065868377E-15</v>
      </c>
      <c r="EM56" s="45">
        <v>5.0276867114007472E-15</v>
      </c>
      <c r="EN56" s="45">
        <v>-6.984919309616089E-16</v>
      </c>
      <c r="EO56" s="45">
        <v>-3.6416167858988044E-15</v>
      </c>
      <c r="EP56" s="45">
        <f t="shared" si="11"/>
        <v>2.2882886696606875E-15</v>
      </c>
      <c r="EQ56" s="96">
        <v>2.7166239999999999</v>
      </c>
      <c r="ER56" s="45">
        <v>1.4915713109076023E-16</v>
      </c>
      <c r="ES56" s="183"/>
      <c r="ET56" s="179"/>
      <c r="EU56" s="183"/>
      <c r="EV56" s="183"/>
      <c r="EW56" s="183"/>
      <c r="EX56" s="183"/>
      <c r="EY56" s="183"/>
      <c r="EZ56" s="183"/>
      <c r="FA56" s="183"/>
      <c r="FB56" s="183"/>
      <c r="FC56" s="183"/>
      <c r="FD56" s="45">
        <f t="shared" si="12"/>
        <v>1.4915713109076023E-16</v>
      </c>
      <c r="FE56" s="217">
        <v>3.9634870000000002</v>
      </c>
      <c r="FF56" s="196"/>
      <c r="FG56" s="196"/>
      <c r="FH56" s="196"/>
      <c r="FI56" s="196"/>
      <c r="FJ56" s="196"/>
      <c r="FK56" s="45"/>
      <c r="FL56" s="196"/>
      <c r="FM56" s="196"/>
      <c r="FN56" s="196"/>
      <c r="FO56" s="196"/>
      <c r="FP56" s="196"/>
      <c r="FQ56" s="196"/>
      <c r="FR56" s="45">
        <f t="shared" si="13"/>
        <v>0</v>
      </c>
      <c r="FS56" s="217">
        <v>9.920731</v>
      </c>
      <c r="FT56" s="196"/>
      <c r="FU56" s="196"/>
      <c r="FV56" s="196"/>
      <c r="FW56" s="196"/>
      <c r="FX56" s="196"/>
      <c r="FY56" s="196"/>
      <c r="FZ56" s="196"/>
      <c r="GA56" s="196"/>
      <c r="GB56" s="196"/>
      <c r="GC56" s="196"/>
      <c r="GD56" s="196"/>
      <c r="GE56" s="196"/>
      <c r="GF56" s="45">
        <f t="shared" si="14"/>
        <v>0</v>
      </c>
      <c r="GG56" s="217">
        <v>24.414193000000001</v>
      </c>
      <c r="GH56" s="196"/>
      <c r="GI56" s="196"/>
      <c r="GJ56" s="196"/>
      <c r="GK56" s="196"/>
      <c r="GL56" s="196"/>
      <c r="GM56" s="196"/>
      <c r="GN56" s="196"/>
      <c r="GO56" s="196"/>
      <c r="GP56" s="196"/>
      <c r="GQ56" s="196"/>
      <c r="GR56" s="196"/>
      <c r="GS56" s="196">
        <v>-4.9916999995708463E-4</v>
      </c>
      <c r="GT56" s="45">
        <f t="shared" si="20"/>
        <v>-4.9916999995708463E-4</v>
      </c>
      <c r="GU56" s="217">
        <v>1.66099</v>
      </c>
      <c r="GV56" s="196"/>
      <c r="GW56" s="196"/>
      <c r="GX56" s="196"/>
      <c r="GY56" s="196"/>
      <c r="GZ56" s="196"/>
      <c r="HA56" s="196"/>
      <c r="HB56" s="196"/>
      <c r="HC56" s="196"/>
      <c r="HD56" s="196"/>
      <c r="HE56" s="196"/>
      <c r="HF56" s="196"/>
      <c r="HG56" s="196"/>
      <c r="HH56" s="269"/>
      <c r="HI56" s="196"/>
      <c r="HJ56" s="196"/>
      <c r="HK56" s="196"/>
      <c r="HL56" s="196"/>
      <c r="HM56" s="196"/>
      <c r="HN56" s="196"/>
      <c r="HO56" s="196"/>
      <c r="HP56" s="196"/>
      <c r="HQ56" s="196"/>
      <c r="HR56" s="196"/>
      <c r="HS56" s="196"/>
      <c r="HT56" s="196"/>
      <c r="HU56" s="285">
        <f t="shared" si="16"/>
        <v>0</v>
      </c>
      <c r="HV56" s="285">
        <f t="shared" si="17"/>
        <v>0</v>
      </c>
      <c r="HW56" s="277">
        <f t="shared" si="30"/>
        <v>0</v>
      </c>
      <c r="HX56" s="277"/>
    </row>
    <row r="57" spans="1:232" s="12" customFormat="1" ht="18.75" customHeight="1">
      <c r="A57" s="46" t="s">
        <v>150</v>
      </c>
      <c r="B57" s="13">
        <v>6000</v>
      </c>
      <c r="C57" s="46" t="s">
        <v>151</v>
      </c>
      <c r="D57" s="42">
        <v>1486.8477882880577</v>
      </c>
      <c r="E57" s="42">
        <v>1887.5464425358991</v>
      </c>
      <c r="F57" s="42">
        <v>2268.3257764611471</v>
      </c>
      <c r="G57" s="42">
        <v>2358.3519886056429</v>
      </c>
      <c r="H57" s="42">
        <v>171.34443469302963</v>
      </c>
      <c r="I57" s="42">
        <v>182.97974637309977</v>
      </c>
      <c r="J57" s="42">
        <v>188.50181780411037</v>
      </c>
      <c r="K57" s="42">
        <v>182.5574264659848</v>
      </c>
      <c r="L57" s="42">
        <v>181.14780724071008</v>
      </c>
      <c r="M57" s="42">
        <v>181.19579373481085</v>
      </c>
      <c r="N57" s="42">
        <v>174.20098064325191</v>
      </c>
      <c r="O57" s="42">
        <v>183.5179993284045</v>
      </c>
      <c r="P57" s="42">
        <v>177.17372837946283</v>
      </c>
      <c r="Q57" s="42">
        <v>175.4554217534334</v>
      </c>
      <c r="R57" s="42">
        <v>186.58019834833041</v>
      </c>
      <c r="S57" s="42">
        <v>174.90307180949455</v>
      </c>
      <c r="T57" s="42">
        <v>2159.5584265741231</v>
      </c>
      <c r="U57" s="42">
        <v>2158.9112042617858</v>
      </c>
      <c r="V57" s="42">
        <v>189.32919704497982</v>
      </c>
      <c r="W57" s="42">
        <v>182.22936272417348</v>
      </c>
      <c r="X57" s="42">
        <v>204.92222737776106</v>
      </c>
      <c r="Y57" s="42">
        <v>194.27230250539267</v>
      </c>
      <c r="Z57" s="42">
        <v>162.07922917342529</v>
      </c>
      <c r="AA57" s="42">
        <v>165.62850524470551</v>
      </c>
      <c r="AB57" s="42">
        <v>183.61333600833234</v>
      </c>
      <c r="AC57" s="42">
        <v>179.61356651356564</v>
      </c>
      <c r="AD57" s="42">
        <v>175.78048645141462</v>
      </c>
      <c r="AE57" s="42">
        <v>187.24018604048925</v>
      </c>
      <c r="AF57" s="42">
        <v>182.58764178917596</v>
      </c>
      <c r="AG57" s="42">
        <v>183.32275001280587</v>
      </c>
      <c r="AH57" s="42">
        <v>2190.6187908862216</v>
      </c>
      <c r="AI57" s="42">
        <v>2189.9725755687218</v>
      </c>
      <c r="AJ57" s="42">
        <v>184.97285302872496</v>
      </c>
      <c r="AK57" s="42">
        <v>187.05258791924919</v>
      </c>
      <c r="AL57" s="42">
        <v>191.09840294022234</v>
      </c>
      <c r="AM57" s="42">
        <v>212.52234798037571</v>
      </c>
      <c r="AN57" s="42">
        <v>166.77245007142815</v>
      </c>
      <c r="AO57" s="42">
        <v>183.4331368347363</v>
      </c>
      <c r="AP57" s="42">
        <v>191.41758299611271</v>
      </c>
      <c r="AQ57" s="42">
        <v>182.34707604111529</v>
      </c>
      <c r="AR57" s="42">
        <v>192.66605056317269</v>
      </c>
      <c r="AS57" s="42">
        <v>195.33804873051375</v>
      </c>
      <c r="AT57" s="42">
        <v>202.32223493321041</v>
      </c>
      <c r="AU57" s="42">
        <v>222.61729159196591</v>
      </c>
      <c r="AV57" s="42">
        <v>2312.5600636308277</v>
      </c>
      <c r="AW57" s="42">
        <v>2311.9296332974768</v>
      </c>
      <c r="AX57" s="42">
        <f>AX58+AX59</f>
        <v>157.90171100000001</v>
      </c>
      <c r="AY57" s="42">
        <f>AY58+AY59</f>
        <v>196.37712500000001</v>
      </c>
      <c r="AZ57" s="42">
        <f t="shared" ref="AZ57:BG57" si="37">AZ58+AZ59</f>
        <v>194.04522747000001</v>
      </c>
      <c r="BA57" s="42">
        <f t="shared" si="37"/>
        <v>237.63482163999998</v>
      </c>
      <c r="BB57" s="42">
        <f t="shared" si="37"/>
        <v>153.25875642</v>
      </c>
      <c r="BC57" s="42">
        <f t="shared" si="37"/>
        <v>198.26398953</v>
      </c>
      <c r="BD57" s="42">
        <f t="shared" si="37"/>
        <v>196.94279453999999</v>
      </c>
      <c r="BE57" s="42">
        <f t="shared" si="37"/>
        <v>188.41057824000001</v>
      </c>
      <c r="BF57" s="42">
        <f t="shared" si="37"/>
        <v>204.24587398</v>
      </c>
      <c r="BG57" s="42">
        <f t="shared" si="37"/>
        <v>199.74148396000001</v>
      </c>
      <c r="BH57" s="42">
        <f>BH58+BH59</f>
        <v>195.20063914999997</v>
      </c>
      <c r="BI57" s="42">
        <f>BI58+BI59</f>
        <v>242.11569890999999</v>
      </c>
      <c r="BJ57" s="45">
        <f t="shared" si="28"/>
        <v>2364.1386998399998</v>
      </c>
      <c r="BK57" s="42">
        <f>BK58+BK59</f>
        <v>2363.5187329999999</v>
      </c>
      <c r="BL57" s="42">
        <f>BL58+BL59</f>
        <v>169.35382441000002</v>
      </c>
      <c r="BM57" s="42">
        <v>209.56068508000004</v>
      </c>
      <c r="BN57" s="42">
        <v>248.83397137</v>
      </c>
      <c r="BO57" s="42">
        <v>210.69169689</v>
      </c>
      <c r="BP57" s="42">
        <v>168.74520070000003</v>
      </c>
      <c r="BQ57" s="42">
        <v>230.19248034999998</v>
      </c>
      <c r="BR57" s="42">
        <v>207.67803067999998</v>
      </c>
      <c r="BS57" s="42">
        <v>192.86366411</v>
      </c>
      <c r="BT57" s="42">
        <v>228.78244777999993</v>
      </c>
      <c r="BU57" s="42">
        <v>195.94298100000003</v>
      </c>
      <c r="BV57" s="42">
        <v>213.88160755000001</v>
      </c>
      <c r="BW57" s="42">
        <v>236.10612677</v>
      </c>
      <c r="BX57" s="45">
        <f t="shared" si="4"/>
        <v>2512.6327166900001</v>
      </c>
      <c r="BY57" s="45">
        <f>BY58+BY59</f>
        <v>2512.0521779999999</v>
      </c>
      <c r="BZ57" s="45">
        <v>195.70152429000001</v>
      </c>
      <c r="CA57" s="45">
        <v>220.78447268000005</v>
      </c>
      <c r="CB57" s="45">
        <v>237.92922208999994</v>
      </c>
      <c r="CC57" s="45">
        <v>221.56243991999997</v>
      </c>
      <c r="CD57" s="45">
        <v>217.19974178999999</v>
      </c>
      <c r="CE57" s="45">
        <v>219.33102643000004</v>
      </c>
      <c r="CF57" s="45">
        <v>196.80293672000002</v>
      </c>
      <c r="CG57" s="45">
        <v>235.5945629</v>
      </c>
      <c r="CH57" s="45">
        <v>221.35911387000002</v>
      </c>
      <c r="CI57" s="45">
        <v>202.98780798000001</v>
      </c>
      <c r="CJ57" s="45">
        <v>239.40680462999995</v>
      </c>
      <c r="CK57" s="45">
        <v>210.54518051999997</v>
      </c>
      <c r="CL57" s="45">
        <f t="shared" si="5"/>
        <v>2619.2048338200002</v>
      </c>
      <c r="CM57" s="45">
        <v>2618.6348589999998</v>
      </c>
      <c r="CN57" s="45">
        <v>241.32810777999998</v>
      </c>
      <c r="CO57" s="45">
        <v>225.79094658000002</v>
      </c>
      <c r="CP57" s="45">
        <v>232.53023654000003</v>
      </c>
      <c r="CQ57" s="45">
        <v>246.78347158</v>
      </c>
      <c r="CR57" s="45">
        <v>203.52621411999996</v>
      </c>
      <c r="CS57" s="45">
        <v>228.13875241000002</v>
      </c>
      <c r="CT57" s="45">
        <v>205.67686880999997</v>
      </c>
      <c r="CU57" s="45">
        <v>241.25222887999996</v>
      </c>
      <c r="CV57" s="45">
        <v>212.42808888000002</v>
      </c>
      <c r="CW57" s="45">
        <v>248.00287175000003</v>
      </c>
      <c r="CX57" s="45">
        <v>232.07817355999998</v>
      </c>
      <c r="CY57" s="45">
        <v>222.05725567999997</v>
      </c>
      <c r="CZ57" s="45">
        <f t="shared" si="6"/>
        <v>2739.5932165699996</v>
      </c>
      <c r="DA57" s="45">
        <v>2739.0222880000001</v>
      </c>
      <c r="DB57" s="45">
        <v>248.37118230000002</v>
      </c>
      <c r="DC57" s="45">
        <v>236.83286937999989</v>
      </c>
      <c r="DD57" s="45">
        <v>243.96095483999997</v>
      </c>
      <c r="DE57" s="45">
        <v>260.00706969999982</v>
      </c>
      <c r="DF57" s="45">
        <v>226.09445411999994</v>
      </c>
      <c r="DG57" s="45">
        <v>229.5074288699999</v>
      </c>
      <c r="DH57" s="45">
        <v>252.04824755999996</v>
      </c>
      <c r="DI57" s="45">
        <v>241.86959861000005</v>
      </c>
      <c r="DJ57" s="45">
        <v>226.29460158999996</v>
      </c>
      <c r="DK57" s="45">
        <v>271.42018752999996</v>
      </c>
      <c r="DL57" s="45">
        <v>255.67081954999992</v>
      </c>
      <c r="DM57" s="45">
        <v>276.15632933000018</v>
      </c>
      <c r="DN57" s="45">
        <f t="shared" si="7"/>
        <v>2968.2337433799999</v>
      </c>
      <c r="DO57" s="45">
        <v>2967.6166779999999</v>
      </c>
      <c r="DP57" s="45">
        <v>239.84966658000005</v>
      </c>
      <c r="DQ57" s="45">
        <v>258.51494672999996</v>
      </c>
      <c r="DR57" s="45">
        <v>245.22283241</v>
      </c>
      <c r="DS57" s="45">
        <v>292.23311326999999</v>
      </c>
      <c r="DT57" s="45">
        <v>240.48684757000007</v>
      </c>
      <c r="DU57" s="45">
        <v>240.77148868</v>
      </c>
      <c r="DV57" s="45">
        <v>273.10072348000011</v>
      </c>
      <c r="DW57" s="45">
        <v>238.3669987100001</v>
      </c>
      <c r="DX57" s="45">
        <v>263.96921643000002</v>
      </c>
      <c r="DY57" s="45">
        <v>292.29341426000008</v>
      </c>
      <c r="DZ57" s="45">
        <v>258.46895663999999</v>
      </c>
      <c r="EA57" s="45">
        <v>314.78687315999997</v>
      </c>
      <c r="EB57" s="45">
        <f t="shared" si="10"/>
        <v>3158.0650779200005</v>
      </c>
      <c r="EC57" s="45">
        <v>3157.4339399999999</v>
      </c>
      <c r="ED57" s="45">
        <v>269.67929335000002</v>
      </c>
      <c r="EE57" s="45">
        <v>262.836838</v>
      </c>
      <c r="EF57" s="45">
        <v>304.97884633000001</v>
      </c>
      <c r="EG57" s="45">
        <v>310.98802596000007</v>
      </c>
      <c r="EH57" s="45">
        <v>273.97532596999991</v>
      </c>
      <c r="EI57" s="45">
        <v>327.50985157999992</v>
      </c>
      <c r="EJ57" s="45">
        <v>292.61140808000005</v>
      </c>
      <c r="EK57" s="45">
        <v>264.54264481000007</v>
      </c>
      <c r="EL57" s="45">
        <v>304.58862949000002</v>
      </c>
      <c r="EM57" s="45">
        <v>273.54240075999991</v>
      </c>
      <c r="EN57" s="45">
        <v>294.36870400000004</v>
      </c>
      <c r="EO57" s="45">
        <v>329.69365855000007</v>
      </c>
      <c r="EP57" s="45">
        <f t="shared" si="11"/>
        <v>3509.3156268800003</v>
      </c>
      <c r="EQ57" s="45">
        <v>3508.3355580000002</v>
      </c>
      <c r="ER57" s="45">
        <v>316.60539176000015</v>
      </c>
      <c r="ES57" s="42">
        <v>364.68241151000007</v>
      </c>
      <c r="ET57" s="45">
        <v>676.0588918699998</v>
      </c>
      <c r="EU57" s="45">
        <v>531.3335178000001</v>
      </c>
      <c r="EV57" s="42">
        <v>368.69127929000013</v>
      </c>
      <c r="EW57" s="42">
        <v>448.25640952999998</v>
      </c>
      <c r="EX57" s="42">
        <v>351.39118917000002</v>
      </c>
      <c r="EY57" s="42">
        <v>325.40043660000009</v>
      </c>
      <c r="EZ57" s="42">
        <v>299.97441499999979</v>
      </c>
      <c r="FA57" s="42">
        <v>287.89279215999971</v>
      </c>
      <c r="FB57" s="42">
        <v>330.50748800999997</v>
      </c>
      <c r="FC57" s="42">
        <v>-143.63566833999664</v>
      </c>
      <c r="FD57" s="45">
        <f t="shared" si="12"/>
        <v>4157.1585543600031</v>
      </c>
      <c r="FE57" s="45">
        <v>4155.4469980000003</v>
      </c>
      <c r="FF57" s="45">
        <v>372.15324732999994</v>
      </c>
      <c r="FG57" s="45">
        <v>397.55570117000002</v>
      </c>
      <c r="FH57" s="45">
        <v>410.27006344</v>
      </c>
      <c r="FI57" s="45">
        <v>374.22611634000003</v>
      </c>
      <c r="FJ57" s="45">
        <v>331.75832553999999</v>
      </c>
      <c r="FK57" s="45">
        <v>266.68740434000006</v>
      </c>
      <c r="FL57" s="45">
        <v>292.60666698000011</v>
      </c>
      <c r="FM57" s="45">
        <v>346.25762152999994</v>
      </c>
      <c r="FN57" s="45">
        <v>416.13060354999993</v>
      </c>
      <c r="FO57" s="45">
        <v>344.84760438000006</v>
      </c>
      <c r="FP57" s="45">
        <v>409.60082699999992</v>
      </c>
      <c r="FQ57" s="45">
        <v>362.88984638999989</v>
      </c>
      <c r="FR57" s="45">
        <f t="shared" si="13"/>
        <v>4324.98402799</v>
      </c>
      <c r="FS57" s="45">
        <v>4323.7825149999999</v>
      </c>
      <c r="FT57" s="45">
        <v>414.85391057000004</v>
      </c>
      <c r="FU57" s="45">
        <v>387.85938027999998</v>
      </c>
      <c r="FV57" s="45">
        <v>396.45156900000001</v>
      </c>
      <c r="FW57" s="45">
        <v>398.13888100999998</v>
      </c>
      <c r="FX57" s="45">
        <v>358.61678165999996</v>
      </c>
      <c r="FY57" s="45">
        <v>377.27933410000003</v>
      </c>
      <c r="FZ57" s="45">
        <v>336.75662653999996</v>
      </c>
      <c r="GA57" s="45">
        <v>401.91274162999997</v>
      </c>
      <c r="GB57" s="45">
        <v>343.55311678999999</v>
      </c>
      <c r="GC57" s="45">
        <v>429.46866118000003</v>
      </c>
      <c r="GD57" s="45">
        <v>398.77191830000004</v>
      </c>
      <c r="GE57" s="45">
        <v>367.27013444000011</v>
      </c>
      <c r="GF57" s="45">
        <f t="shared" si="14"/>
        <v>4610.9330554999997</v>
      </c>
      <c r="GG57" s="45">
        <v>4609.7144369999996</v>
      </c>
      <c r="GH57" s="45">
        <v>436.43875859000002</v>
      </c>
      <c r="GI57" s="45">
        <v>404.71208390999999</v>
      </c>
      <c r="GJ57" s="45">
        <v>377.70285253000003</v>
      </c>
      <c r="GK57" s="45">
        <v>433.52317463999998</v>
      </c>
      <c r="GL57" s="45">
        <v>399.73405188000004</v>
      </c>
      <c r="GM57" s="45">
        <v>397.51262379999997</v>
      </c>
      <c r="GN57" s="45">
        <v>421.24286419000003</v>
      </c>
      <c r="GO57" s="45">
        <v>397.19963764999989</v>
      </c>
      <c r="GP57" s="45">
        <v>406.15462627000005</v>
      </c>
      <c r="GQ57" s="45">
        <v>448.28976931000011</v>
      </c>
      <c r="GR57" s="45">
        <v>425.5440418</v>
      </c>
      <c r="GS57" s="45">
        <v>430.70382444999996</v>
      </c>
      <c r="GT57" s="45">
        <f t="shared" si="20"/>
        <v>4978.7583090199996</v>
      </c>
      <c r="GU57" s="45">
        <v>4977.5634369999998</v>
      </c>
      <c r="GV57" s="45">
        <v>455.98331300000001</v>
      </c>
      <c r="GW57" s="45">
        <v>437.2623422100001</v>
      </c>
      <c r="GX57" s="45">
        <v>437.08330100000001</v>
      </c>
      <c r="GY57" s="45">
        <v>503.95012000000003</v>
      </c>
      <c r="GZ57" s="45">
        <v>367.32844993000003</v>
      </c>
      <c r="HA57" s="45">
        <v>428.70524019999993</v>
      </c>
      <c r="HB57" s="45">
        <v>434.69494728999996</v>
      </c>
      <c r="HC57" s="45">
        <v>426.87907785999994</v>
      </c>
      <c r="HD57" s="45">
        <v>453.25004256</v>
      </c>
      <c r="HE57" s="45">
        <v>461.46833053999995</v>
      </c>
      <c r="HF57" s="45">
        <v>455.45154620000011</v>
      </c>
      <c r="HG57" s="45">
        <v>519.81801793000011</v>
      </c>
      <c r="HH57" s="45">
        <f t="shared" si="15"/>
        <v>5381.8747287200003</v>
      </c>
      <c r="HI57" s="45">
        <v>415.07060718999992</v>
      </c>
      <c r="HJ57" s="45">
        <v>475.40716693999991</v>
      </c>
      <c r="HK57" s="45">
        <v>491.02505873000001</v>
      </c>
      <c r="HL57" s="45">
        <v>539.19474163999996</v>
      </c>
      <c r="HM57" s="45"/>
      <c r="HN57" s="45"/>
      <c r="HO57" s="45"/>
      <c r="HP57" s="45"/>
      <c r="HQ57" s="45"/>
      <c r="HR57" s="45"/>
      <c r="HS57" s="45"/>
      <c r="HT57" s="45"/>
      <c r="HU57" s="283">
        <f t="shared" si="16"/>
        <v>1834.279076</v>
      </c>
      <c r="HV57" s="283">
        <f t="shared" si="17"/>
        <v>1920.6975749999999</v>
      </c>
      <c r="HW57" s="280">
        <f t="shared" si="30"/>
        <v>86.418498999999883</v>
      </c>
      <c r="HX57" s="280">
        <f t="shared" ref="HX57:HX66" si="38">HV57/HU57*100-100</f>
        <v>4.7113059365236865</v>
      </c>
    </row>
    <row r="58" spans="1:232" s="12" customFormat="1" ht="20.5">
      <c r="A58" s="47" t="s">
        <v>152</v>
      </c>
      <c r="B58" s="13">
        <v>6210</v>
      </c>
      <c r="C58" s="47" t="s">
        <v>153</v>
      </c>
      <c r="D58" s="44" t="s">
        <v>46</v>
      </c>
      <c r="E58" s="44" t="s">
        <v>46</v>
      </c>
      <c r="F58" s="42">
        <v>1541.1808114353362</v>
      </c>
      <c r="G58" s="42">
        <v>1781.787109749052</v>
      </c>
      <c r="H58" s="42">
        <v>131.49712052008812</v>
      </c>
      <c r="I58" s="42">
        <v>143.50769723849041</v>
      </c>
      <c r="J58" s="42">
        <v>147.7444700940803</v>
      </c>
      <c r="K58" s="42">
        <v>144.08225249144854</v>
      </c>
      <c r="L58" s="42">
        <v>143.10195851190375</v>
      </c>
      <c r="M58" s="42">
        <v>145.50947182998391</v>
      </c>
      <c r="N58" s="42">
        <v>138.90044703786546</v>
      </c>
      <c r="O58" s="42">
        <v>149.87080323959452</v>
      </c>
      <c r="P58" s="42">
        <v>143.85406419143885</v>
      </c>
      <c r="Q58" s="42">
        <v>141.85108064268275</v>
      </c>
      <c r="R58" s="42">
        <v>149.69103479775299</v>
      </c>
      <c r="S58" s="42">
        <v>137.11132079498694</v>
      </c>
      <c r="T58" s="42">
        <v>1716.7217213903164</v>
      </c>
      <c r="U58" s="42">
        <v>1716.7217204227638</v>
      </c>
      <c r="V58" s="42">
        <v>152.36899240755602</v>
      </c>
      <c r="W58" s="42">
        <v>145.98012460088444</v>
      </c>
      <c r="X58" s="42">
        <v>165.92116174637596</v>
      </c>
      <c r="Y58" s="42">
        <v>157.76351904656207</v>
      </c>
      <c r="Z58" s="42">
        <v>126.044602051212</v>
      </c>
      <c r="AA58" s="42">
        <v>131.48883241984962</v>
      </c>
      <c r="AB58" s="42">
        <v>149.82205528141557</v>
      </c>
      <c r="AC58" s="42">
        <v>146.1674537282087</v>
      </c>
      <c r="AD58" s="42">
        <v>142.93974302935101</v>
      </c>
      <c r="AE58" s="42">
        <v>150.56165135656599</v>
      </c>
      <c r="AF58" s="42">
        <v>146.64915108622034</v>
      </c>
      <c r="AG58" s="42">
        <v>147.780386693872</v>
      </c>
      <c r="AH58" s="42">
        <v>1763.4876734480738</v>
      </c>
      <c r="AI58" s="44">
        <v>1763.4876722386327</v>
      </c>
      <c r="AJ58" s="44">
        <v>145.74215713057981</v>
      </c>
      <c r="AK58" s="44">
        <v>146.44861255769746</v>
      </c>
      <c r="AL58" s="44">
        <v>146.64903865088985</v>
      </c>
      <c r="AM58" s="44">
        <v>167.93486724606007</v>
      </c>
      <c r="AN58" s="44">
        <v>126.09768662386669</v>
      </c>
      <c r="AO58" s="44">
        <v>144.85803107267461</v>
      </c>
      <c r="AP58" s="44">
        <v>149.80393037034509</v>
      </c>
      <c r="AQ58" s="44">
        <v>143.01765011297601</v>
      </c>
      <c r="AR58" s="44">
        <v>153.74238686746236</v>
      </c>
      <c r="AS58" s="44">
        <v>152.20759685488414</v>
      </c>
      <c r="AT58" s="44">
        <v>160.52144028776161</v>
      </c>
      <c r="AU58" s="44">
        <v>179.43229590326749</v>
      </c>
      <c r="AV58" s="44">
        <v>1816.4556936784652</v>
      </c>
      <c r="AW58" s="44">
        <v>1816.4556931946888</v>
      </c>
      <c r="AX58" s="44">
        <v>113.727723</v>
      </c>
      <c r="AY58" s="44">
        <v>150.502601</v>
      </c>
      <c r="AZ58" s="44">
        <v>150.636965</v>
      </c>
      <c r="BA58" s="44">
        <v>189.25725800000001</v>
      </c>
      <c r="BB58" s="44">
        <v>109.37343300000001</v>
      </c>
      <c r="BC58" s="44">
        <v>154.53280599999999</v>
      </c>
      <c r="BD58" s="44">
        <v>150.95038099999999</v>
      </c>
      <c r="BE58" s="44">
        <v>146.68552600000001</v>
      </c>
      <c r="BF58" s="44">
        <v>156.22581936</v>
      </c>
      <c r="BG58" s="44">
        <v>153.34734967000003</v>
      </c>
      <c r="BH58" s="44">
        <v>150.30949533999998</v>
      </c>
      <c r="BI58" s="44">
        <v>190.71731797999999</v>
      </c>
      <c r="BJ58" s="50">
        <f t="shared" si="28"/>
        <v>1816.2666753500002</v>
      </c>
      <c r="BK58" s="42">
        <v>1816.2666750000001</v>
      </c>
      <c r="BL58" s="44">
        <v>118.36564506000001</v>
      </c>
      <c r="BM58" s="42">
        <v>153.18288352000002</v>
      </c>
      <c r="BN58" s="42">
        <v>189.05526725000001</v>
      </c>
      <c r="BO58" s="42">
        <v>153.86502927000001</v>
      </c>
      <c r="BP58" s="42">
        <v>116.59076707000001</v>
      </c>
      <c r="BQ58" s="42">
        <v>171.06360339</v>
      </c>
      <c r="BR58" s="42">
        <v>152.05444046</v>
      </c>
      <c r="BS58" s="42">
        <v>139.38955684000001</v>
      </c>
      <c r="BT58" s="42">
        <v>168.81656106999995</v>
      </c>
      <c r="BU58" s="42">
        <v>139.60458032000003</v>
      </c>
      <c r="BV58" s="42">
        <v>157.22323426</v>
      </c>
      <c r="BW58" s="42">
        <v>173.59575143999999</v>
      </c>
      <c r="BX58" s="45">
        <f t="shared" si="4"/>
        <v>1832.8073199500002</v>
      </c>
      <c r="BY58" s="45">
        <v>1832.807319</v>
      </c>
      <c r="BZ58" s="45">
        <v>137.51502657</v>
      </c>
      <c r="CA58" s="45">
        <v>156.80738157000005</v>
      </c>
      <c r="CB58" s="45">
        <v>170.23337070999997</v>
      </c>
      <c r="CC58" s="45">
        <v>155.81369693999997</v>
      </c>
      <c r="CD58" s="45">
        <v>153.36068569</v>
      </c>
      <c r="CE58" s="45">
        <v>158.54984250000004</v>
      </c>
      <c r="CF58" s="45">
        <v>140.04310183000001</v>
      </c>
      <c r="CG58" s="45">
        <v>169.93364151000003</v>
      </c>
      <c r="CH58" s="45">
        <v>158.31431421000002</v>
      </c>
      <c r="CI58" s="45">
        <v>144.19861784</v>
      </c>
      <c r="CJ58" s="45">
        <v>171.77720649</v>
      </c>
      <c r="CK58" s="45">
        <v>146.68195935999998</v>
      </c>
      <c r="CL58" s="45">
        <f t="shared" si="5"/>
        <v>1863.2288452200003</v>
      </c>
      <c r="CM58" s="45">
        <v>1863.2288450000001</v>
      </c>
      <c r="CN58" s="45">
        <v>172.15440140000001</v>
      </c>
      <c r="CO58" s="45">
        <v>158.42221799000001</v>
      </c>
      <c r="CP58" s="45">
        <v>162.82428309000002</v>
      </c>
      <c r="CQ58" s="45">
        <v>179.18626571999999</v>
      </c>
      <c r="CR58" s="45">
        <v>138.56122580999997</v>
      </c>
      <c r="CS58" s="45">
        <v>162.98145506000003</v>
      </c>
      <c r="CT58" s="45">
        <v>145.39972759</v>
      </c>
      <c r="CU58" s="45">
        <v>173.91594258999999</v>
      </c>
      <c r="CV58" s="45">
        <v>148.13273993999999</v>
      </c>
      <c r="CW58" s="45">
        <v>180.67511696000003</v>
      </c>
      <c r="CX58" s="45">
        <v>166.05210149000001</v>
      </c>
      <c r="CY58" s="45">
        <v>156.62854138</v>
      </c>
      <c r="CZ58" s="45">
        <f t="shared" si="6"/>
        <v>1944.9340190200001</v>
      </c>
      <c r="DA58" s="45">
        <v>1944.934019</v>
      </c>
      <c r="DB58" s="45">
        <v>178.52012210000004</v>
      </c>
      <c r="DC58" s="45">
        <v>167.34412675999997</v>
      </c>
      <c r="DD58" s="45">
        <v>172.60340416999998</v>
      </c>
      <c r="DE58" s="45">
        <v>181.12404145999997</v>
      </c>
      <c r="DF58" s="45">
        <v>152.00645030999993</v>
      </c>
      <c r="DG58" s="45">
        <v>159.15544714999999</v>
      </c>
      <c r="DH58" s="45">
        <v>181.54897006999997</v>
      </c>
      <c r="DI58" s="45">
        <v>170.48161776000003</v>
      </c>
      <c r="DJ58" s="45">
        <v>158.38820873</v>
      </c>
      <c r="DK58" s="45">
        <v>196.32062838000002</v>
      </c>
      <c r="DL58" s="45">
        <v>180.63245975000001</v>
      </c>
      <c r="DM58" s="45">
        <v>204.05592655999999</v>
      </c>
      <c r="DN58" s="45">
        <f t="shared" si="7"/>
        <v>2102.1814031999997</v>
      </c>
      <c r="DO58" s="45">
        <v>2102.1806259999998</v>
      </c>
      <c r="DP58" s="45">
        <v>159.70138733999997</v>
      </c>
      <c r="DQ58" s="45">
        <v>179.98774150000003</v>
      </c>
      <c r="DR58" s="45">
        <v>167.60477601000002</v>
      </c>
      <c r="DS58" s="45">
        <v>210.53240745000002</v>
      </c>
      <c r="DT58" s="45">
        <v>163.80145772999995</v>
      </c>
      <c r="DU58" s="45">
        <v>167.98831148000002</v>
      </c>
      <c r="DV58" s="45">
        <v>194.88897958999999</v>
      </c>
      <c r="DW58" s="45">
        <v>164.20660804000002</v>
      </c>
      <c r="DX58" s="45">
        <v>186.01768200000001</v>
      </c>
      <c r="DY58" s="45">
        <v>210.06659807</v>
      </c>
      <c r="DZ58" s="45">
        <v>178.96145187999997</v>
      </c>
      <c r="EA58" s="45">
        <v>229.92414064000002</v>
      </c>
      <c r="EB58" s="45">
        <f t="shared" si="10"/>
        <v>2213.6815417299999</v>
      </c>
      <c r="EC58" s="45">
        <f>60.639248+2153.041778</f>
        <v>2213.6810259999997</v>
      </c>
      <c r="ED58" s="45">
        <v>180.70021393000002</v>
      </c>
      <c r="EE58" s="45">
        <v>178.97542181</v>
      </c>
      <c r="EF58" s="45">
        <v>215.37651894000004</v>
      </c>
      <c r="EG58" s="45">
        <v>211.28037897000002</v>
      </c>
      <c r="EH58" s="45">
        <v>161.18190477999997</v>
      </c>
      <c r="EI58" s="45">
        <v>214.58503568999996</v>
      </c>
      <c r="EJ58" s="45">
        <v>194.67006347</v>
      </c>
      <c r="EK58" s="45">
        <v>181.02515662000005</v>
      </c>
      <c r="EL58" s="45">
        <v>214.49989727999997</v>
      </c>
      <c r="EM58" s="45">
        <v>187.31181210000003</v>
      </c>
      <c r="EN58" s="45">
        <v>206.87406327000002</v>
      </c>
      <c r="EO58" s="45">
        <v>226.33440849000002</v>
      </c>
      <c r="EP58" s="45">
        <f t="shared" si="11"/>
        <v>2372.81487535</v>
      </c>
      <c r="EQ58" s="45">
        <v>2372.8148759999999</v>
      </c>
      <c r="ER58" s="45">
        <v>183.67904076000002</v>
      </c>
      <c r="ES58" s="42">
        <v>203.92760779</v>
      </c>
      <c r="ET58" s="45">
        <v>239.96976933999997</v>
      </c>
      <c r="EU58" s="45">
        <v>206.53383371000001</v>
      </c>
      <c r="EV58" s="42">
        <v>190.60127035999997</v>
      </c>
      <c r="EW58" s="42">
        <v>226.52784395</v>
      </c>
      <c r="EX58" s="42">
        <v>190.82006145</v>
      </c>
      <c r="EY58" s="42">
        <v>225.84752624000001</v>
      </c>
      <c r="EZ58" s="42">
        <v>213.42840064999999</v>
      </c>
      <c r="FA58" s="42">
        <v>200.11591919999998</v>
      </c>
      <c r="FB58" s="42">
        <v>227.46014859000002</v>
      </c>
      <c r="FC58" s="42">
        <v>230.98521169999998</v>
      </c>
      <c r="FD58" s="45">
        <f t="shared" si="12"/>
        <v>2539.8966337399997</v>
      </c>
      <c r="FE58" s="45">
        <v>2539.8966337399997</v>
      </c>
      <c r="FF58" s="45">
        <v>199.67506903999998</v>
      </c>
      <c r="FG58" s="45">
        <v>236.80471292999999</v>
      </c>
      <c r="FH58" s="45">
        <v>234.55484083999997</v>
      </c>
      <c r="FI58" s="45">
        <v>211.95786282999998</v>
      </c>
      <c r="FJ58" s="45">
        <v>207.59215391000001</v>
      </c>
      <c r="FK58" s="45">
        <v>219.51086128000003</v>
      </c>
      <c r="FL58" s="45">
        <v>198.59049376000002</v>
      </c>
      <c r="FM58" s="45">
        <v>244.93774289999999</v>
      </c>
      <c r="FN58" s="45">
        <v>310.94625744000001</v>
      </c>
      <c r="FO58" s="45">
        <v>241.72581769999999</v>
      </c>
      <c r="FP58" s="45">
        <v>289.07714670000001</v>
      </c>
      <c r="FQ58" s="45">
        <v>247.96113253999999</v>
      </c>
      <c r="FR58" s="45">
        <f t="shared" si="13"/>
        <v>2843.3340918700001</v>
      </c>
      <c r="FS58" s="45">
        <v>2843.3340918700001</v>
      </c>
      <c r="FT58" s="45">
        <v>296.69633961</v>
      </c>
      <c r="FU58" s="45">
        <v>273.84795714000001</v>
      </c>
      <c r="FV58" s="45">
        <v>281.94971131</v>
      </c>
      <c r="FW58" s="45">
        <v>287.89347168</v>
      </c>
      <c r="FX58" s="45">
        <v>252.09700933999997</v>
      </c>
      <c r="FY58" s="45">
        <v>270.45872860000003</v>
      </c>
      <c r="FZ58" s="45">
        <v>236.94962819</v>
      </c>
      <c r="GA58" s="45">
        <v>292.96864664000003</v>
      </c>
      <c r="GB58" s="45">
        <v>238.09099056999997</v>
      </c>
      <c r="GC58" s="45">
        <v>268.91763724999998</v>
      </c>
      <c r="GD58" s="45">
        <v>284.56140607999998</v>
      </c>
      <c r="GE58" s="45">
        <v>258.47236467000005</v>
      </c>
      <c r="GF58" s="45">
        <f t="shared" si="14"/>
        <v>3242.90389108</v>
      </c>
      <c r="GG58" s="96">
        <v>3242.9038909999999</v>
      </c>
      <c r="GH58" s="45">
        <v>309.85686454</v>
      </c>
      <c r="GI58" s="45">
        <v>284.15821564999999</v>
      </c>
      <c r="GJ58" s="45">
        <v>257.99201388</v>
      </c>
      <c r="GK58" s="45">
        <v>287.60255996999996</v>
      </c>
      <c r="GL58" s="45">
        <v>280.41298405999999</v>
      </c>
      <c r="GM58" s="45">
        <v>284.58720986999998</v>
      </c>
      <c r="GN58" s="45">
        <v>286.38148494999996</v>
      </c>
      <c r="GO58" s="45">
        <v>284.37171117000003</v>
      </c>
      <c r="GP58" s="45">
        <v>290.84282946000002</v>
      </c>
      <c r="GQ58" s="45">
        <v>307.91938995999999</v>
      </c>
      <c r="GR58" s="45">
        <v>307.91416902000003</v>
      </c>
      <c r="GS58" s="45">
        <v>318.03117877</v>
      </c>
      <c r="GT58" s="45">
        <f t="shared" si="20"/>
        <v>3500.0706112999997</v>
      </c>
      <c r="GU58" s="45">
        <v>3500.0706110000001</v>
      </c>
      <c r="GV58" s="45">
        <v>305.52805554999998</v>
      </c>
      <c r="GW58" s="45">
        <v>312.79030360000007</v>
      </c>
      <c r="GX58" s="45">
        <v>307.27332147999994</v>
      </c>
      <c r="GY58" s="45">
        <v>372.95501451000007</v>
      </c>
      <c r="GZ58" s="45">
        <v>245.96428803000003</v>
      </c>
      <c r="HA58" s="45">
        <v>311.14307095999999</v>
      </c>
      <c r="HB58" s="45">
        <v>311.08047534000002</v>
      </c>
      <c r="HC58" s="45">
        <v>311.37348753999999</v>
      </c>
      <c r="HD58" s="45">
        <v>326.77358941</v>
      </c>
      <c r="HE58" s="45">
        <v>334.68245585999995</v>
      </c>
      <c r="HF58" s="45">
        <v>336.07625160999999</v>
      </c>
      <c r="HG58" s="45">
        <v>396.81330215000003</v>
      </c>
      <c r="HH58" s="45">
        <f t="shared" si="15"/>
        <v>3872.4536160400003</v>
      </c>
      <c r="HI58" s="45">
        <v>279.12545592999999</v>
      </c>
      <c r="HJ58" s="45">
        <v>342.08152014000001</v>
      </c>
      <c r="HK58" s="45">
        <v>349.55276898</v>
      </c>
      <c r="HL58" s="45">
        <v>393.17787674000004</v>
      </c>
      <c r="HM58" s="45"/>
      <c r="HN58" s="45"/>
      <c r="HO58" s="45"/>
      <c r="HP58" s="45"/>
      <c r="HQ58" s="45"/>
      <c r="HR58" s="45"/>
      <c r="HS58" s="45"/>
      <c r="HT58" s="45"/>
      <c r="HU58" s="283">
        <f t="shared" si="16"/>
        <v>1298.546695</v>
      </c>
      <c r="HV58" s="283">
        <f t="shared" si="17"/>
        <v>1363.9376219999999</v>
      </c>
      <c r="HW58" s="277">
        <f t="shared" si="30"/>
        <v>65.39092699999992</v>
      </c>
      <c r="HX58" s="277">
        <f t="shared" si="38"/>
        <v>5.0357008532527061</v>
      </c>
    </row>
    <row r="59" spans="1:232" s="12" customFormat="1" ht="20.5">
      <c r="A59" s="47" t="s">
        <v>154</v>
      </c>
      <c r="B59" s="13"/>
      <c r="C59" s="47" t="s">
        <v>155</v>
      </c>
      <c r="D59" s="44" t="s">
        <v>46</v>
      </c>
      <c r="E59" s="44" t="s">
        <v>46</v>
      </c>
      <c r="F59" s="42">
        <v>727.14496502581108</v>
      </c>
      <c r="G59" s="42">
        <v>576.56487885659089</v>
      </c>
      <c r="H59" s="42">
        <v>39.84731417294153</v>
      </c>
      <c r="I59" s="42">
        <v>39.472049134609371</v>
      </c>
      <c r="J59" s="42">
        <v>40.757347710030096</v>
      </c>
      <c r="K59" s="42">
        <v>38.475173974536276</v>
      </c>
      <c r="L59" s="42">
        <v>38.045848728806327</v>
      </c>
      <c r="M59" s="42">
        <v>35.686321904826947</v>
      </c>
      <c r="N59" s="42">
        <v>35.30053360538642</v>
      </c>
      <c r="O59" s="42">
        <v>33.64719608880997</v>
      </c>
      <c r="P59" s="42">
        <v>33.319664188023971</v>
      </c>
      <c r="Q59" s="42">
        <v>33.604341110750653</v>
      </c>
      <c r="R59" s="42">
        <v>36.8891635505774</v>
      </c>
      <c r="S59" s="42">
        <v>37.791751014507604</v>
      </c>
      <c r="T59" s="42">
        <v>442.83670518380654</v>
      </c>
      <c r="U59" s="42">
        <v>442.18948383902199</v>
      </c>
      <c r="V59" s="42">
        <v>36.9602046374238</v>
      </c>
      <c r="W59" s="42">
        <v>36.249238123289025</v>
      </c>
      <c r="X59" s="42">
        <v>39.001065631385117</v>
      </c>
      <c r="Y59" s="42">
        <v>36.508783458830621</v>
      </c>
      <c r="Z59" s="42">
        <v>36.034627122213301</v>
      </c>
      <c r="AA59" s="42">
        <v>34.139672824855872</v>
      </c>
      <c r="AB59" s="42">
        <v>33.791280726916753</v>
      </c>
      <c r="AC59" s="42">
        <v>33.446112785356959</v>
      </c>
      <c r="AD59" s="42">
        <v>32.840743422063639</v>
      </c>
      <c r="AE59" s="42">
        <v>36.678534683923267</v>
      </c>
      <c r="AF59" s="42">
        <v>35.93849070295559</v>
      </c>
      <c r="AG59" s="42">
        <v>35.542363318933873</v>
      </c>
      <c r="AH59" s="42">
        <v>427.13111743814773</v>
      </c>
      <c r="AI59" s="44">
        <f>AI57-AI58</f>
        <v>426.48490333008908</v>
      </c>
      <c r="AJ59" s="44">
        <v>39.230695898145129</v>
      </c>
      <c r="AK59" s="44">
        <v>40.603975361551733</v>
      </c>
      <c r="AL59" s="44">
        <v>44.449364289332465</v>
      </c>
      <c r="AM59" s="44">
        <v>44.58748073431569</v>
      </c>
      <c r="AN59" s="44">
        <v>40.674763447561475</v>
      </c>
      <c r="AO59" s="44">
        <v>38.575105762061682</v>
      </c>
      <c r="AP59" s="44">
        <v>41.613652625767635</v>
      </c>
      <c r="AQ59" s="44">
        <v>39.32942592813928</v>
      </c>
      <c r="AR59" s="44">
        <v>38.923663695710317</v>
      </c>
      <c r="AS59" s="44">
        <v>43.130451875629618</v>
      </c>
      <c r="AT59" s="44">
        <v>41.800794645448811</v>
      </c>
      <c r="AU59" s="44">
        <v>43.184995688698407</v>
      </c>
      <c r="AV59" s="44">
        <v>496.10436995236222</v>
      </c>
      <c r="AW59" s="44">
        <v>495.47394010278828</v>
      </c>
      <c r="AX59" s="44">
        <v>44.173988000000001</v>
      </c>
      <c r="AY59" s="44">
        <v>45.874524000000001</v>
      </c>
      <c r="AZ59" s="44">
        <v>43.408262470000004</v>
      </c>
      <c r="BA59" s="44">
        <v>48.377563639999991</v>
      </c>
      <c r="BB59" s="44">
        <v>43.885323419999999</v>
      </c>
      <c r="BC59" s="44">
        <v>43.731183530000003</v>
      </c>
      <c r="BD59" s="44">
        <v>45.992413540000001</v>
      </c>
      <c r="BE59" s="44">
        <v>41.725052240000004</v>
      </c>
      <c r="BF59" s="44">
        <v>48.020054619999996</v>
      </c>
      <c r="BG59" s="44">
        <v>46.39413428999999</v>
      </c>
      <c r="BH59" s="44">
        <v>44.891143809999996</v>
      </c>
      <c r="BI59" s="44">
        <v>51.398380930000016</v>
      </c>
      <c r="BJ59" s="50">
        <f t="shared" si="28"/>
        <v>547.87202448999994</v>
      </c>
      <c r="BK59" s="44">
        <v>547.25205800000003</v>
      </c>
      <c r="BL59" s="44">
        <v>50.988179349999996</v>
      </c>
      <c r="BM59" s="42">
        <v>56.377801560000009</v>
      </c>
      <c r="BN59" s="42">
        <v>59.778704119999993</v>
      </c>
      <c r="BO59" s="42">
        <v>56.826667620000009</v>
      </c>
      <c r="BP59" s="42">
        <v>52.154433630000021</v>
      </c>
      <c r="BQ59" s="42">
        <v>59.128876959999992</v>
      </c>
      <c r="BR59" s="42">
        <v>55.623590219999983</v>
      </c>
      <c r="BS59" s="42">
        <v>53.474107270000005</v>
      </c>
      <c r="BT59" s="42">
        <v>59.965886709999978</v>
      </c>
      <c r="BU59" s="42">
        <v>56.338400679999999</v>
      </c>
      <c r="BV59" s="42">
        <v>56.658373290000007</v>
      </c>
      <c r="BW59" s="42">
        <v>62.510375330000016</v>
      </c>
      <c r="BX59" s="45">
        <f t="shared" si="4"/>
        <v>679.82539673999997</v>
      </c>
      <c r="BY59" s="45">
        <v>679.24485900000002</v>
      </c>
      <c r="BZ59" s="45">
        <v>58.186497719999991</v>
      </c>
      <c r="CA59" s="45">
        <v>63.977091109999996</v>
      </c>
      <c r="CB59" s="45">
        <v>67.695851379999979</v>
      </c>
      <c r="CC59" s="45">
        <v>65.748742979999989</v>
      </c>
      <c r="CD59" s="45">
        <v>63.839056099999993</v>
      </c>
      <c r="CE59" s="45">
        <v>60.78118392999999</v>
      </c>
      <c r="CF59" s="45">
        <v>56.759834890000008</v>
      </c>
      <c r="CG59" s="45">
        <v>65.66092138999997</v>
      </c>
      <c r="CH59" s="45">
        <v>63.044799659999995</v>
      </c>
      <c r="CI59" s="45">
        <v>58.789190140000002</v>
      </c>
      <c r="CJ59" s="45">
        <v>67.62959813999997</v>
      </c>
      <c r="CK59" s="45">
        <v>63.863221159999981</v>
      </c>
      <c r="CL59" s="45">
        <f t="shared" si="5"/>
        <v>755.97598859999982</v>
      </c>
      <c r="CM59" s="45">
        <f>CM57-CM58</f>
        <v>755.40601399999969</v>
      </c>
      <c r="CN59" s="45">
        <v>69.173706379999985</v>
      </c>
      <c r="CO59" s="45">
        <v>67.368728590000003</v>
      </c>
      <c r="CP59" s="45">
        <v>69.705953450000024</v>
      </c>
      <c r="CQ59" s="45">
        <v>67.597205860000003</v>
      </c>
      <c r="CR59" s="45">
        <v>64.964988309999995</v>
      </c>
      <c r="CS59" s="45">
        <v>65.157297349999993</v>
      </c>
      <c r="CT59" s="45">
        <v>60.277141219999983</v>
      </c>
      <c r="CU59" s="45">
        <v>67.336286289999975</v>
      </c>
      <c r="CV59" s="45">
        <v>64.295348940000011</v>
      </c>
      <c r="CW59" s="45">
        <v>67.32775479</v>
      </c>
      <c r="CX59" s="45">
        <v>66.026072069999984</v>
      </c>
      <c r="CY59" s="45">
        <v>65.428714299999982</v>
      </c>
      <c r="CZ59" s="45">
        <f t="shared" si="6"/>
        <v>794.65919754999993</v>
      </c>
      <c r="DA59" s="45">
        <f>DA57-DA58</f>
        <v>794.08826900000008</v>
      </c>
      <c r="DB59" s="45">
        <v>69.85106020000002</v>
      </c>
      <c r="DC59" s="45">
        <v>69.488742619999954</v>
      </c>
      <c r="DD59" s="45">
        <v>71.357550669999966</v>
      </c>
      <c r="DE59" s="45">
        <v>78.883028240000016</v>
      </c>
      <c r="DF59" s="45">
        <v>74.088003810000018</v>
      </c>
      <c r="DG59" s="45">
        <v>70.351981720000026</v>
      </c>
      <c r="DH59" s="45">
        <v>70.499277490000054</v>
      </c>
      <c r="DI59" s="45">
        <v>71.387980849999991</v>
      </c>
      <c r="DJ59" s="45">
        <v>67.906392860000011</v>
      </c>
      <c r="DK59" s="45">
        <v>75.099559150000047</v>
      </c>
      <c r="DL59" s="45">
        <v>75.038359800000023</v>
      </c>
      <c r="DM59" s="45">
        <v>72.100402770000002</v>
      </c>
      <c r="DN59" s="45">
        <f t="shared" si="7"/>
        <v>866.05234017999999</v>
      </c>
      <c r="DO59" s="45">
        <f>DO57-DO58</f>
        <v>865.43605200000002</v>
      </c>
      <c r="DP59" s="45">
        <v>80.148279240000008</v>
      </c>
      <c r="DQ59" s="45">
        <v>78.527205230000007</v>
      </c>
      <c r="DR59" s="45">
        <v>77.6180564</v>
      </c>
      <c r="DS59" s="45">
        <v>81.70070582000001</v>
      </c>
      <c r="DT59" s="45">
        <v>76.685389839999942</v>
      </c>
      <c r="DU59" s="45">
        <v>72.783177199999983</v>
      </c>
      <c r="DV59" s="45">
        <v>78.211743889999994</v>
      </c>
      <c r="DW59" s="45">
        <v>74.160390670000027</v>
      </c>
      <c r="DX59" s="45">
        <v>77.951534429999995</v>
      </c>
      <c r="DY59" s="45">
        <v>82.226816189999965</v>
      </c>
      <c r="DZ59" s="45">
        <v>79.507504759999989</v>
      </c>
      <c r="EA59" s="45">
        <v>84.862732520000023</v>
      </c>
      <c r="EB59" s="45">
        <f t="shared" si="10"/>
        <v>944.38353618999975</v>
      </c>
      <c r="EC59" s="45">
        <f>EC57-EC58</f>
        <v>943.75291400000015</v>
      </c>
      <c r="ED59" s="45">
        <v>88.979079420000048</v>
      </c>
      <c r="EE59" s="45">
        <v>83.861416189999957</v>
      </c>
      <c r="EF59" s="45">
        <v>89.602327389999957</v>
      </c>
      <c r="EG59" s="45">
        <v>99.707646989999986</v>
      </c>
      <c r="EH59" s="45">
        <v>112.79342119000005</v>
      </c>
      <c r="EI59" s="45">
        <v>112.92481589000005</v>
      </c>
      <c r="EJ59" s="45">
        <v>97.941344610000016</v>
      </c>
      <c r="EK59" s="45">
        <v>83.51748818999998</v>
      </c>
      <c r="EL59" s="45">
        <v>90.088732209999975</v>
      </c>
      <c r="EM59" s="45">
        <v>86.230588660000009</v>
      </c>
      <c r="EN59" s="45">
        <v>87.49464073</v>
      </c>
      <c r="EO59" s="45">
        <v>103.35925006000002</v>
      </c>
      <c r="EP59" s="45">
        <f t="shared" si="11"/>
        <v>1136.5007515299999</v>
      </c>
      <c r="EQ59" s="45">
        <f>EQ57-EQ58</f>
        <v>1135.5206820000003</v>
      </c>
      <c r="ER59" s="45">
        <v>132.92635100000001</v>
      </c>
      <c r="ES59" s="45">
        <v>160.75480372000004</v>
      </c>
      <c r="ET59" s="45">
        <v>436.08912253</v>
      </c>
      <c r="EU59" s="45">
        <v>324.79968408999986</v>
      </c>
      <c r="EV59" s="45">
        <v>178.09000892999998</v>
      </c>
      <c r="EW59" s="45">
        <v>221.73682071999988</v>
      </c>
      <c r="EX59" s="42">
        <v>160.57112771999996</v>
      </c>
      <c r="EY59" s="45">
        <v>99.552910360000013</v>
      </c>
      <c r="EZ59" s="42">
        <v>86.546014349999965</v>
      </c>
      <c r="FA59" s="42">
        <v>87.776872960000006</v>
      </c>
      <c r="FB59" s="42">
        <v>103.04733942000001</v>
      </c>
      <c r="FC59" s="42">
        <v>-374.62088003999679</v>
      </c>
      <c r="FD59" s="45">
        <f t="shared" si="12"/>
        <v>1617.2701757600032</v>
      </c>
      <c r="FE59" s="45">
        <f>FE57-FE58</f>
        <v>1615.5503642600006</v>
      </c>
      <c r="FF59" s="45">
        <v>172.47817828999996</v>
      </c>
      <c r="FG59" s="45">
        <v>160.75098824</v>
      </c>
      <c r="FH59" s="45">
        <v>175.7152226</v>
      </c>
      <c r="FI59" s="45">
        <v>162.26825350999999</v>
      </c>
      <c r="FJ59" s="45">
        <v>124.16617163000008</v>
      </c>
      <c r="FK59" s="45">
        <v>47.176543060000014</v>
      </c>
      <c r="FL59" s="45">
        <v>94.016173220000027</v>
      </c>
      <c r="FM59" s="45">
        <v>101.31987862999998</v>
      </c>
      <c r="FN59" s="45">
        <v>105.18434611000001</v>
      </c>
      <c r="FO59" s="45">
        <v>103.12178668000003</v>
      </c>
      <c r="FP59" s="45">
        <v>120.5236803</v>
      </c>
      <c r="FQ59" s="45">
        <v>114.92871384999997</v>
      </c>
      <c r="FR59" s="45">
        <f t="shared" si="13"/>
        <v>1481.6499361199999</v>
      </c>
      <c r="FS59" s="45">
        <f>FS57-FS58</f>
        <v>1480.4484231299998</v>
      </c>
      <c r="FT59" s="45">
        <v>118.15757095999997</v>
      </c>
      <c r="FU59" s="45">
        <v>114.01142314000001</v>
      </c>
      <c r="FV59" s="45">
        <v>114.50185769000008</v>
      </c>
      <c r="FW59" s="45">
        <v>110.24540933000002</v>
      </c>
      <c r="FX59" s="45">
        <v>106.51977232</v>
      </c>
      <c r="FY59" s="45">
        <v>106.8206055</v>
      </c>
      <c r="FZ59" s="45">
        <v>99.806998349999972</v>
      </c>
      <c r="GA59" s="45">
        <v>108.94409498999998</v>
      </c>
      <c r="GB59" s="45">
        <v>105.46212622000002</v>
      </c>
      <c r="GC59" s="45">
        <v>160.55102393000007</v>
      </c>
      <c r="GD59" s="45">
        <v>114.21051222000003</v>
      </c>
      <c r="GE59" s="45">
        <v>108.79776977000002</v>
      </c>
      <c r="GF59" s="45">
        <f t="shared" si="14"/>
        <v>1368.0291644200004</v>
      </c>
      <c r="GG59" s="45">
        <f>GG57-GG58</f>
        <v>1366.8105459999997</v>
      </c>
      <c r="GH59" s="45">
        <v>126.58189405</v>
      </c>
      <c r="GI59" s="45">
        <v>120.55386826000002</v>
      </c>
      <c r="GJ59" s="45">
        <v>119.71083864999999</v>
      </c>
      <c r="GK59" s="45">
        <v>145.92061466999999</v>
      </c>
      <c r="GL59" s="45">
        <v>119.32106782000001</v>
      </c>
      <c r="GM59" s="45">
        <v>112.92541393</v>
      </c>
      <c r="GN59" s="45">
        <v>134.86137924000002</v>
      </c>
      <c r="GO59" s="45">
        <v>112.82792647999999</v>
      </c>
      <c r="GP59" s="45">
        <v>115.31179680999999</v>
      </c>
      <c r="GQ59" s="45">
        <v>140.37037935000001</v>
      </c>
      <c r="GR59" s="45">
        <v>117.62987278</v>
      </c>
      <c r="GS59" s="45">
        <v>112.67264567999997</v>
      </c>
      <c r="GT59" s="45">
        <f t="shared" si="20"/>
        <v>1478.6876977199997</v>
      </c>
      <c r="GU59" s="45">
        <f>GU57-GU58</f>
        <v>1477.4928259999997</v>
      </c>
      <c r="GV59" s="45">
        <v>150.45525744999995</v>
      </c>
      <c r="GW59" s="45">
        <v>124.47203861000001</v>
      </c>
      <c r="GX59" s="45">
        <v>129.80997951999998</v>
      </c>
      <c r="GY59" s="45">
        <v>130.99510548999999</v>
      </c>
      <c r="GZ59" s="45">
        <v>121.36416190000004</v>
      </c>
      <c r="HA59" s="45">
        <v>117.56216924</v>
      </c>
      <c r="HB59" s="45">
        <v>123.61447195000002</v>
      </c>
      <c r="HC59" s="45">
        <v>115.50559031999998</v>
      </c>
      <c r="HD59" s="45">
        <v>126.47645315000003</v>
      </c>
      <c r="HE59" s="45">
        <v>126.78587467999999</v>
      </c>
      <c r="HF59" s="45">
        <v>119.37529459000004</v>
      </c>
      <c r="HG59" s="45">
        <v>123.00471578000001</v>
      </c>
      <c r="HH59" s="45">
        <f t="shared" si="15"/>
        <v>1509.4211126800001</v>
      </c>
      <c r="HI59" s="45">
        <v>135.94515126000002</v>
      </c>
      <c r="HJ59" s="45">
        <v>133.32564679999999</v>
      </c>
      <c r="HK59" s="45">
        <v>141.47228974999999</v>
      </c>
      <c r="HL59" s="45">
        <v>146.01686490000003</v>
      </c>
      <c r="HM59" s="45"/>
      <c r="HN59" s="45"/>
      <c r="HO59" s="45"/>
      <c r="HP59" s="45"/>
      <c r="HQ59" s="45"/>
      <c r="HR59" s="45"/>
      <c r="HS59" s="45"/>
      <c r="HT59" s="45"/>
      <c r="HU59" s="283">
        <f t="shared" si="16"/>
        <v>535.73238100000003</v>
      </c>
      <c r="HV59" s="283">
        <f t="shared" si="17"/>
        <v>556.759953</v>
      </c>
      <c r="HW59" s="277">
        <f t="shared" si="30"/>
        <v>21.027571999999964</v>
      </c>
      <c r="HX59" s="277">
        <f t="shared" si="38"/>
        <v>3.925014194727197</v>
      </c>
    </row>
    <row r="60" spans="1:232" s="12" customFormat="1" ht="21.65" customHeight="1">
      <c r="A60" s="46" t="s">
        <v>156</v>
      </c>
      <c r="B60" s="13">
        <v>7700</v>
      </c>
      <c r="C60" s="46" t="s">
        <v>157</v>
      </c>
      <c r="D60" s="42">
        <v>16.247396144586542</v>
      </c>
      <c r="E60" s="42">
        <v>17.000653098161081</v>
      </c>
      <c r="F60" s="42">
        <v>18.630071826569001</v>
      </c>
      <c r="G60" s="42">
        <v>19.691236817092676</v>
      </c>
      <c r="H60" s="42">
        <v>2.8534998804787679</v>
      </c>
      <c r="I60" s="42">
        <v>2.422786594840098</v>
      </c>
      <c r="J60" s="42">
        <v>2.2969988360908591</v>
      </c>
      <c r="K60" s="42">
        <v>1.5052199475244874</v>
      </c>
      <c r="L60" s="42">
        <v>1.1632446315046585</v>
      </c>
      <c r="M60" s="42">
        <v>0.31326547657668485</v>
      </c>
      <c r="N60" s="42">
        <v>2.8918272662079318</v>
      </c>
      <c r="O60" s="42">
        <v>0.97828697616974303</v>
      </c>
      <c r="P60" s="42">
        <v>2.8905953864804412</v>
      </c>
      <c r="Q60" s="42">
        <v>0.44965340265564802</v>
      </c>
      <c r="R60" s="42">
        <v>1.4150360555716817</v>
      </c>
      <c r="S60" s="42">
        <v>5.7190035770997323</v>
      </c>
      <c r="T60" s="42">
        <v>24.899418031200739</v>
      </c>
      <c r="U60" s="42">
        <v>24.903344317903713</v>
      </c>
      <c r="V60" s="42">
        <v>4.0528212702261222</v>
      </c>
      <c r="W60" s="42">
        <v>3.1218974280169149</v>
      </c>
      <c r="X60" s="42">
        <v>2.5426391995492339</v>
      </c>
      <c r="Y60" s="42">
        <v>1.8819430168297278</v>
      </c>
      <c r="Z60" s="42">
        <v>0.56096002583935212</v>
      </c>
      <c r="AA60" s="42">
        <v>1.9502905504237311</v>
      </c>
      <c r="AB60" s="42">
        <v>1.4848691811657304</v>
      </c>
      <c r="AC60" s="42">
        <v>3.6607617486525408</v>
      </c>
      <c r="AD60" s="42">
        <v>4.7698661362200561</v>
      </c>
      <c r="AE60" s="42">
        <v>1.1699910785937473</v>
      </c>
      <c r="AF60" s="42">
        <v>8.2367729836483576</v>
      </c>
      <c r="AG60" s="42">
        <v>4.3344474419610588</v>
      </c>
      <c r="AH60" s="42">
        <v>37.767260061126578</v>
      </c>
      <c r="AI60" s="42">
        <v>37.763468904559453</v>
      </c>
      <c r="AJ60" s="42">
        <v>4.2284150346327003</v>
      </c>
      <c r="AK60" s="42">
        <v>1.7136214364175502</v>
      </c>
      <c r="AL60" s="42">
        <v>1.0484872026909351</v>
      </c>
      <c r="AM60" s="42">
        <v>1.8399285006915158</v>
      </c>
      <c r="AN60" s="42">
        <v>3.7467019538875705</v>
      </c>
      <c r="AO60" s="42">
        <v>2.8353766199395563</v>
      </c>
      <c r="AP60" s="42">
        <v>4.3625335086311399</v>
      </c>
      <c r="AQ60" s="42">
        <v>1.7527711139947979</v>
      </c>
      <c r="AR60" s="42">
        <v>7.2422012396059214</v>
      </c>
      <c r="AS60" s="42">
        <v>1.2388674509536088</v>
      </c>
      <c r="AT60" s="42">
        <v>7.1472771925031733</v>
      </c>
      <c r="AU60" s="42">
        <v>7.0835410726176864</v>
      </c>
      <c r="AV60" s="42">
        <v>44.239722326566159</v>
      </c>
      <c r="AW60" s="42">
        <v>44.239668527782996</v>
      </c>
      <c r="AX60" s="42">
        <v>4.4148560000000003</v>
      </c>
      <c r="AY60" s="42">
        <v>1.1024860000000001</v>
      </c>
      <c r="AZ60" s="42">
        <v>2.0541216099999997</v>
      </c>
      <c r="BA60" s="42">
        <v>1.7015151199999998</v>
      </c>
      <c r="BB60" s="42">
        <v>2.9744281800000003</v>
      </c>
      <c r="BC60" s="42">
        <v>7.4747515800000004</v>
      </c>
      <c r="BD60" s="42">
        <v>1.8122294299999999</v>
      </c>
      <c r="BE60" s="42">
        <v>1.5670317</v>
      </c>
      <c r="BF60" s="42">
        <v>1.25931006</v>
      </c>
      <c r="BG60" s="42">
        <v>2.4787096000000002</v>
      </c>
      <c r="BH60" s="42">
        <v>5.1581592399999989</v>
      </c>
      <c r="BI60" s="42">
        <v>6.8157459799999991</v>
      </c>
      <c r="BJ60" s="45">
        <f t="shared" si="28"/>
        <v>38.813344499999999</v>
      </c>
      <c r="BK60" s="42">
        <v>38.810271999999998</v>
      </c>
      <c r="BL60" s="42">
        <v>4.6654243800000001</v>
      </c>
      <c r="BM60" s="42">
        <v>1.17352254</v>
      </c>
      <c r="BN60" s="42">
        <v>3.7340589699999991</v>
      </c>
      <c r="BO60" s="42">
        <v>1.1985719000000001</v>
      </c>
      <c r="BP60" s="42">
        <v>1.8587333699999999</v>
      </c>
      <c r="BQ60" s="42">
        <v>4.1245525299999999</v>
      </c>
      <c r="BR60" s="42">
        <v>2.2844142599999997</v>
      </c>
      <c r="BS60" s="42">
        <v>1.3482860600000004</v>
      </c>
      <c r="BT60" s="42">
        <v>3.9132367500000003</v>
      </c>
      <c r="BU60" s="42">
        <v>2.4443546299999999</v>
      </c>
      <c r="BV60" s="42">
        <v>2.48425042</v>
      </c>
      <c r="BW60" s="42">
        <v>7.5879947999999997</v>
      </c>
      <c r="BX60" s="45">
        <f t="shared" si="4"/>
        <v>36.817400609999993</v>
      </c>
      <c r="BY60" s="45">
        <v>36.817919000000003</v>
      </c>
      <c r="BZ60" s="45">
        <v>5.2883234999999988</v>
      </c>
      <c r="CA60" s="45">
        <v>1.75459703</v>
      </c>
      <c r="CB60" s="45">
        <v>1.8818776800000001</v>
      </c>
      <c r="CC60" s="45">
        <v>1.39463582</v>
      </c>
      <c r="CD60" s="45">
        <v>0.55830745000000004</v>
      </c>
      <c r="CE60" s="45">
        <v>1.0562593499999999</v>
      </c>
      <c r="CF60" s="45">
        <v>5.1125963299999997</v>
      </c>
      <c r="CG60" s="45">
        <v>1.7800144599999999</v>
      </c>
      <c r="CH60" s="45">
        <v>2.07256295</v>
      </c>
      <c r="CI60" s="45">
        <v>2.6392010399999997</v>
      </c>
      <c r="CJ60" s="45">
        <v>1.4097137800000001</v>
      </c>
      <c r="CK60" s="45">
        <v>6.8069258100000019</v>
      </c>
      <c r="CL60" s="45">
        <f t="shared" si="5"/>
        <v>31.755015200000003</v>
      </c>
      <c r="CM60" s="45">
        <v>31.824356999999999</v>
      </c>
      <c r="CN60" s="45">
        <v>5.6986227500000011</v>
      </c>
      <c r="CO60" s="45">
        <v>2.57578021</v>
      </c>
      <c r="CP60" s="45">
        <v>3.6357540199999998</v>
      </c>
      <c r="CQ60" s="45">
        <v>1.8148887499999997</v>
      </c>
      <c r="CR60" s="45">
        <v>1.7437416499999998</v>
      </c>
      <c r="CS60" s="45">
        <v>2.86559103</v>
      </c>
      <c r="CT60" s="45">
        <v>2.5804286400000001</v>
      </c>
      <c r="CU60" s="45">
        <v>1.2072986400000001</v>
      </c>
      <c r="CV60" s="45">
        <v>1.8174912899999998</v>
      </c>
      <c r="CW60" s="45">
        <v>0.60729785000000003</v>
      </c>
      <c r="CX60" s="45">
        <v>3.43595973</v>
      </c>
      <c r="CY60" s="45">
        <v>3.6024049800000006</v>
      </c>
      <c r="CZ60" s="45">
        <f t="shared" si="6"/>
        <v>31.585259540000003</v>
      </c>
      <c r="DA60" s="45">
        <v>31.586860999999999</v>
      </c>
      <c r="DB60" s="45">
        <v>6.6270536299999998</v>
      </c>
      <c r="DC60" s="45">
        <v>2.7903765599999999</v>
      </c>
      <c r="DD60" s="45">
        <v>4.9524201000000003</v>
      </c>
      <c r="DE60" s="45">
        <v>2.33971062</v>
      </c>
      <c r="DF60" s="45">
        <v>1.7063695999999999</v>
      </c>
      <c r="DG60" s="45">
        <v>1.2505892299999999</v>
      </c>
      <c r="DH60" s="45">
        <v>5.2506778100000009</v>
      </c>
      <c r="DI60" s="45">
        <v>2.1258584299999996</v>
      </c>
      <c r="DJ60" s="45">
        <v>1.6664454799999999</v>
      </c>
      <c r="DK60" s="45">
        <v>2.4337478700000004</v>
      </c>
      <c r="DL60" s="45">
        <v>4.0518474599999994</v>
      </c>
      <c r="DM60" s="45">
        <v>12.183140559999998</v>
      </c>
      <c r="DN60" s="45">
        <f t="shared" si="7"/>
        <v>47.378237349999999</v>
      </c>
      <c r="DO60" s="45">
        <v>47.378233000000002</v>
      </c>
      <c r="DP60" s="45">
        <v>10.441541040000001</v>
      </c>
      <c r="DQ60" s="45">
        <v>4.2717653400000009</v>
      </c>
      <c r="DR60" s="45">
        <v>1.8149722200000002</v>
      </c>
      <c r="DS60" s="45">
        <v>2.3674652899999997</v>
      </c>
      <c r="DT60" s="45">
        <v>1.9274473400000001</v>
      </c>
      <c r="DU60" s="45">
        <v>0.92850768999999977</v>
      </c>
      <c r="DV60" s="45">
        <v>7.3542630999999998</v>
      </c>
      <c r="DW60" s="45">
        <v>3.3611274900000003</v>
      </c>
      <c r="DX60" s="45">
        <v>-4.7841209999999967E-2</v>
      </c>
      <c r="DY60" s="45">
        <v>2.7019997899999999</v>
      </c>
      <c r="DZ60" s="45">
        <v>5.3384514200000002</v>
      </c>
      <c r="EA60" s="45">
        <v>12.795163070000003</v>
      </c>
      <c r="EB60" s="45">
        <f t="shared" si="10"/>
        <v>53.254862580000001</v>
      </c>
      <c r="EC60" s="45">
        <v>53.254860999999998</v>
      </c>
      <c r="ED60" s="45">
        <v>7.5533691499999991</v>
      </c>
      <c r="EE60" s="45">
        <v>1.8071543699999997</v>
      </c>
      <c r="EF60" s="45">
        <v>2.3865840699999996</v>
      </c>
      <c r="EG60" s="45">
        <v>1.8391913900000001</v>
      </c>
      <c r="EH60" s="45">
        <v>2.04536775</v>
      </c>
      <c r="EI60" s="45">
        <v>2.0123811199999997</v>
      </c>
      <c r="EJ60" s="45">
        <v>7.2177643899999993</v>
      </c>
      <c r="EK60" s="45">
        <v>1.3922985499999998</v>
      </c>
      <c r="EL60" s="45">
        <v>1.95792101</v>
      </c>
      <c r="EM60" s="45">
        <v>7.3539577600000001</v>
      </c>
      <c r="EN60" s="45">
        <v>4.6494994999999992</v>
      </c>
      <c r="EO60" s="45">
        <v>6.7372583600000002</v>
      </c>
      <c r="EP60" s="45">
        <f t="shared" si="11"/>
        <v>46.952747419999994</v>
      </c>
      <c r="EQ60" s="45">
        <v>46.952658999999997</v>
      </c>
      <c r="ER60" s="45">
        <v>9.2089120599999994</v>
      </c>
      <c r="ES60" s="45">
        <v>1.4891771599999999</v>
      </c>
      <c r="ET60" s="45">
        <v>1.9268878699999996</v>
      </c>
      <c r="EU60" s="45">
        <v>5.7360647800000004</v>
      </c>
      <c r="EV60" s="45">
        <v>0.86331683000000004</v>
      </c>
      <c r="EW60" s="45">
        <v>3.4651886900000006</v>
      </c>
      <c r="EX60" s="45">
        <v>3.7024595800000006</v>
      </c>
      <c r="EY60" s="45">
        <v>3.1807787099999993</v>
      </c>
      <c r="EZ60" s="45">
        <v>5.5202626299999995</v>
      </c>
      <c r="FA60" s="45">
        <v>2.4968630800000002</v>
      </c>
      <c r="FB60" s="45">
        <v>4.2961220299999994</v>
      </c>
      <c r="FC60" s="45">
        <v>13.211782329999998</v>
      </c>
      <c r="FD60" s="45">
        <f t="shared" si="12"/>
        <v>55.097815749999995</v>
      </c>
      <c r="FE60" s="45">
        <v>55.097814</v>
      </c>
      <c r="FF60" s="45">
        <v>8.7784744999999997</v>
      </c>
      <c r="FG60" s="45">
        <v>2.9949899900000001</v>
      </c>
      <c r="FH60" s="45">
        <v>9.1804134399999988</v>
      </c>
      <c r="FI60" s="45">
        <v>4.1110159200000016</v>
      </c>
      <c r="FJ60" s="45">
        <v>1.1309130300000001</v>
      </c>
      <c r="FK60" s="45">
        <v>3.4884549899999997</v>
      </c>
      <c r="FL60" s="45">
        <v>3.9320095600000005</v>
      </c>
      <c r="FM60" s="45">
        <v>5.8313075899999998</v>
      </c>
      <c r="FN60" s="45">
        <v>1.0948869699999999</v>
      </c>
      <c r="FO60" s="45">
        <v>3.1496706699999999</v>
      </c>
      <c r="FP60" s="45">
        <v>4.0040118699999994</v>
      </c>
      <c r="FQ60" s="45">
        <v>8.0546621199999997</v>
      </c>
      <c r="FR60" s="45">
        <f t="shared" si="13"/>
        <v>55.750810649999991</v>
      </c>
      <c r="FS60" s="45">
        <v>55.750849000000002</v>
      </c>
      <c r="FT60" s="45">
        <v>7.3132614400000007</v>
      </c>
      <c r="FU60" s="45">
        <v>2.4072277799999999</v>
      </c>
      <c r="FV60" s="45">
        <v>5.5411953200000017</v>
      </c>
      <c r="FW60" s="45">
        <v>5.2039654599999992</v>
      </c>
      <c r="FX60" s="45">
        <v>2.2889695100000003</v>
      </c>
      <c r="FY60" s="45">
        <v>12.323214839999997</v>
      </c>
      <c r="FZ60" s="45">
        <v>7.6367437799999998</v>
      </c>
      <c r="GA60" s="45">
        <v>4.2093570999999992</v>
      </c>
      <c r="GB60" s="45">
        <v>3.02025027</v>
      </c>
      <c r="GC60" s="45">
        <v>5.4200550899999991</v>
      </c>
      <c r="GD60" s="45">
        <v>21.13858965</v>
      </c>
      <c r="GE60" s="45">
        <v>27.943702720000001</v>
      </c>
      <c r="GF60" s="45">
        <f t="shared" si="14"/>
        <v>104.44653296000001</v>
      </c>
      <c r="GG60" s="45">
        <v>104.46698600000001</v>
      </c>
      <c r="GH60" s="45">
        <v>12.200780690000002</v>
      </c>
      <c r="GI60" s="45">
        <v>4.32978255</v>
      </c>
      <c r="GJ60" s="45">
        <v>5.8853599700000006</v>
      </c>
      <c r="GK60" s="45">
        <v>4.9227459199999997</v>
      </c>
      <c r="GL60" s="45">
        <v>3.8107898899999997</v>
      </c>
      <c r="GM60" s="45">
        <v>7.313207939999999</v>
      </c>
      <c r="GN60" s="45">
        <v>20.741246</v>
      </c>
      <c r="GO60" s="45">
        <v>2.37318308</v>
      </c>
      <c r="GP60" s="45">
        <v>2.5850505899999994</v>
      </c>
      <c r="GQ60" s="45">
        <v>13.454857709999999</v>
      </c>
      <c r="GR60" s="45">
        <v>11.995663520000001</v>
      </c>
      <c r="GS60" s="45">
        <v>25.599605999999991</v>
      </c>
      <c r="GT60" s="45">
        <f t="shared" si="20"/>
        <v>115.21227385999998</v>
      </c>
      <c r="GU60" s="45">
        <v>115.207448</v>
      </c>
      <c r="GV60" s="45">
        <v>9.5095434500000007</v>
      </c>
      <c r="GW60" s="45">
        <v>2.6257445999999995</v>
      </c>
      <c r="GX60" s="45">
        <v>6.3115440000000014</v>
      </c>
      <c r="GY60" s="45">
        <v>5.0139060000000004</v>
      </c>
      <c r="GZ60" s="45">
        <v>8.4581511299999992</v>
      </c>
      <c r="HA60" s="45">
        <v>2.5512761000000004</v>
      </c>
      <c r="HB60" s="45">
        <v>4.0096914999999997</v>
      </c>
      <c r="HC60" s="45">
        <v>11.288528410000001</v>
      </c>
      <c r="HD60" s="45">
        <v>12.396905240000001</v>
      </c>
      <c r="HE60" s="45">
        <v>15.411370980000001</v>
      </c>
      <c r="HF60" s="45">
        <v>8.0847297100000013</v>
      </c>
      <c r="HG60" s="45">
        <v>60.767836459999998</v>
      </c>
      <c r="HH60" s="45">
        <f t="shared" si="15"/>
        <v>146.42922758000003</v>
      </c>
      <c r="HI60" s="45">
        <v>12.370466220000003</v>
      </c>
      <c r="HJ60" s="45">
        <v>4.64875492</v>
      </c>
      <c r="HK60" s="45">
        <v>20.279599440000005</v>
      </c>
      <c r="HL60" s="45">
        <v>8.2089325199999976</v>
      </c>
      <c r="HM60" s="45"/>
      <c r="HN60" s="45"/>
      <c r="HO60" s="45"/>
      <c r="HP60" s="45"/>
      <c r="HQ60" s="45"/>
      <c r="HR60" s="45"/>
      <c r="HS60" s="45"/>
      <c r="HT60" s="45"/>
      <c r="HU60" s="283">
        <f t="shared" si="16"/>
        <v>23.460737999999999</v>
      </c>
      <c r="HV60" s="283">
        <f t="shared" si="17"/>
        <v>45.507753000000001</v>
      </c>
      <c r="HW60" s="280">
        <f t="shared" si="30"/>
        <v>22.047015000000002</v>
      </c>
      <c r="HX60" s="280">
        <f t="shared" si="38"/>
        <v>93.974089817634905</v>
      </c>
    </row>
    <row r="61" spans="1:232" s="12" customFormat="1" ht="20.5">
      <c r="A61" s="46" t="s">
        <v>158</v>
      </c>
      <c r="B61" s="13">
        <v>7600</v>
      </c>
      <c r="C61" s="46" t="s">
        <v>159</v>
      </c>
      <c r="D61" s="42">
        <v>197.93325735197865</v>
      </c>
      <c r="E61" s="42">
        <v>218.457659603531</v>
      </c>
      <c r="F61" s="42">
        <v>210.83014894622113</v>
      </c>
      <c r="G61" s="42">
        <v>172.60785226037416</v>
      </c>
      <c r="H61" s="42">
        <v>15.355727898532166</v>
      </c>
      <c r="I61" s="42">
        <v>37.450145758988278</v>
      </c>
      <c r="J61" s="42">
        <v>10.18009483440618</v>
      </c>
      <c r="K61" s="42">
        <v>8.3203798071724115</v>
      </c>
      <c r="L61" s="42">
        <v>11.983943418079578</v>
      </c>
      <c r="M61" s="42">
        <v>9.6647327135303769</v>
      </c>
      <c r="N61" s="42">
        <v>13.907997379070121</v>
      </c>
      <c r="O61" s="42">
        <v>10.646339519979966</v>
      </c>
      <c r="P61" s="42">
        <v>15.088919528061878</v>
      </c>
      <c r="Q61" s="42">
        <v>14.802682682511765</v>
      </c>
      <c r="R61" s="42">
        <v>22.066234682784959</v>
      </c>
      <c r="S61" s="42">
        <v>17.303421195667642</v>
      </c>
      <c r="T61" s="42">
        <v>186.77061941878534</v>
      </c>
      <c r="U61" s="42">
        <v>186.77062025827968</v>
      </c>
      <c r="V61" s="42">
        <v>15.121375234062414</v>
      </c>
      <c r="W61" s="42">
        <v>43.666034911582749</v>
      </c>
      <c r="X61" s="42">
        <v>16.022526906505938</v>
      </c>
      <c r="Y61" s="42">
        <v>16.280462362194868</v>
      </c>
      <c r="Z61" s="42">
        <v>14.669210761464079</v>
      </c>
      <c r="AA61" s="42">
        <v>8.7231902493440554</v>
      </c>
      <c r="AB61" s="42">
        <v>9.0387704110961238</v>
      </c>
      <c r="AC61" s="42">
        <v>14.143526502410346</v>
      </c>
      <c r="AD61" s="42">
        <v>15.650098747303657</v>
      </c>
      <c r="AE61" s="42">
        <v>13.273209216225291</v>
      </c>
      <c r="AF61" s="42">
        <v>10.628626188809397</v>
      </c>
      <c r="AG61" s="42">
        <v>43.576588920950933</v>
      </c>
      <c r="AH61" s="42">
        <v>220.79362041194986</v>
      </c>
      <c r="AI61" s="42">
        <v>220.7936209810986</v>
      </c>
      <c r="AJ61" s="42">
        <v>29.837213504760928</v>
      </c>
      <c r="AK61" s="42">
        <v>44.589605352274603</v>
      </c>
      <c r="AL61" s="42">
        <v>18.136367194836684</v>
      </c>
      <c r="AM61" s="42">
        <v>17.924134737423238</v>
      </c>
      <c r="AN61" s="42">
        <v>17.973253823256556</v>
      </c>
      <c r="AO61" s="42">
        <v>17.896895606740998</v>
      </c>
      <c r="AP61" s="42">
        <v>17.856578790103644</v>
      </c>
      <c r="AQ61" s="42">
        <v>17.777242844377664</v>
      </c>
      <c r="AR61" s="42">
        <v>17.918613155303614</v>
      </c>
      <c r="AS61" s="42">
        <v>11.525162065099233</v>
      </c>
      <c r="AT61" s="42">
        <v>10.304671003579946</v>
      </c>
      <c r="AU61" s="42">
        <v>47.543053255246136</v>
      </c>
      <c r="AV61" s="42">
        <v>269.28279133300322</v>
      </c>
      <c r="AW61" s="42">
        <v>269.282790080876</v>
      </c>
      <c r="AX61" s="42">
        <v>31.457446000000001</v>
      </c>
      <c r="AY61" s="42">
        <v>54.498998999999998</v>
      </c>
      <c r="AZ61" s="42">
        <v>20.91582365</v>
      </c>
      <c r="BA61" s="42">
        <v>20.939420940000002</v>
      </c>
      <c r="BB61" s="42">
        <v>21.143403579999998</v>
      </c>
      <c r="BC61" s="42">
        <v>19.159150440000001</v>
      </c>
      <c r="BD61" s="42">
        <v>15.552700310000001</v>
      </c>
      <c r="BE61" s="42">
        <v>13.173210559999999</v>
      </c>
      <c r="BF61" s="42">
        <v>9.8155298799999997</v>
      </c>
      <c r="BG61" s="42">
        <v>11.85181397</v>
      </c>
      <c r="BH61" s="42">
        <v>19.325406869999998</v>
      </c>
      <c r="BI61" s="42">
        <v>47.724524629999998</v>
      </c>
      <c r="BJ61" s="45">
        <f t="shared" si="28"/>
        <v>285.55742982999999</v>
      </c>
      <c r="BK61" s="42">
        <v>285.55743100000001</v>
      </c>
      <c r="BL61" s="42">
        <v>22.438066980000002</v>
      </c>
      <c r="BM61" s="42">
        <v>55.751819850000004</v>
      </c>
      <c r="BN61" s="42">
        <v>22.794104300000001</v>
      </c>
      <c r="BO61" s="42">
        <v>22.704341979999999</v>
      </c>
      <c r="BP61" s="42">
        <v>22.98824471</v>
      </c>
      <c r="BQ61" s="42">
        <v>16.42724458</v>
      </c>
      <c r="BR61" s="42">
        <v>10.23774976</v>
      </c>
      <c r="BS61" s="42">
        <v>16.580263850000001</v>
      </c>
      <c r="BT61" s="42">
        <v>9.9608090600000008</v>
      </c>
      <c r="BU61" s="42">
        <v>18.52952367</v>
      </c>
      <c r="BV61" s="42">
        <v>6.1270363800000007</v>
      </c>
      <c r="BW61" s="42">
        <v>21.749183070000001</v>
      </c>
      <c r="BX61" s="45">
        <f t="shared" si="4"/>
        <v>246.28838818999998</v>
      </c>
      <c r="BY61" s="45">
        <v>246.288387</v>
      </c>
      <c r="BZ61" s="45">
        <v>5.4521731400000002</v>
      </c>
      <c r="CA61" s="45">
        <v>46.2386117</v>
      </c>
      <c r="CB61" s="45">
        <v>20.890251920000001</v>
      </c>
      <c r="CC61" s="45">
        <v>12.22498083</v>
      </c>
      <c r="CD61" s="45">
        <v>18.080635280000003</v>
      </c>
      <c r="CE61" s="45">
        <v>11.6065972</v>
      </c>
      <c r="CF61" s="45">
        <v>19.287550479999997</v>
      </c>
      <c r="CG61" s="45">
        <v>19.810887089999998</v>
      </c>
      <c r="CH61" s="45">
        <v>21.638975719999994</v>
      </c>
      <c r="CI61" s="45">
        <v>21.611418440000001</v>
      </c>
      <c r="CJ61" s="45">
        <v>21.707204670000003</v>
      </c>
      <c r="CK61" s="45">
        <v>40.045397319999992</v>
      </c>
      <c r="CL61" s="45">
        <f t="shared" si="5"/>
        <v>258.59468378999998</v>
      </c>
      <c r="CM61" s="45">
        <v>258.59468500000003</v>
      </c>
      <c r="CN61" s="45">
        <v>5.7427615099999993</v>
      </c>
      <c r="CO61" s="45">
        <v>23.843085840000004</v>
      </c>
      <c r="CP61" s="45">
        <v>16.871223959999998</v>
      </c>
      <c r="CQ61" s="45">
        <v>20.733724420000001</v>
      </c>
      <c r="CR61" s="45">
        <v>22.336788049999996</v>
      </c>
      <c r="CS61" s="45">
        <v>19.041685480000002</v>
      </c>
      <c r="CT61" s="45">
        <v>20.771252570000001</v>
      </c>
      <c r="CU61" s="45">
        <v>13.51284776</v>
      </c>
      <c r="CV61" s="45">
        <v>20.611636109999999</v>
      </c>
      <c r="CW61" s="45">
        <v>20.36057254</v>
      </c>
      <c r="CX61" s="45">
        <v>20.590417930000001</v>
      </c>
      <c r="CY61" s="45">
        <v>21.001171839999998</v>
      </c>
      <c r="CZ61" s="45">
        <f t="shared" si="6"/>
        <v>225.41716801000001</v>
      </c>
      <c r="DA61" s="45">
        <v>225.41716600000001</v>
      </c>
      <c r="DB61" s="45">
        <v>3.3117478300000003</v>
      </c>
      <c r="DC61" s="45">
        <v>36.978075109999999</v>
      </c>
      <c r="DD61" s="45">
        <v>22.912808740000006</v>
      </c>
      <c r="DE61" s="45">
        <v>21.10680198</v>
      </c>
      <c r="DF61" s="45">
        <v>16.923801099999999</v>
      </c>
      <c r="DG61" s="45">
        <v>13.375346260000002</v>
      </c>
      <c r="DH61" s="45">
        <v>21.196015619999997</v>
      </c>
      <c r="DI61" s="45">
        <v>22.203527049999998</v>
      </c>
      <c r="DJ61" s="45">
        <v>22.535592810000001</v>
      </c>
      <c r="DK61" s="45">
        <v>23.908485089999999</v>
      </c>
      <c r="DL61" s="45">
        <v>23.202270400000003</v>
      </c>
      <c r="DM61" s="45">
        <v>30.90882925</v>
      </c>
      <c r="DN61" s="45">
        <f t="shared" si="7"/>
        <v>258.56330123999999</v>
      </c>
      <c r="DO61" s="45">
        <v>258.56330200000002</v>
      </c>
      <c r="DP61" s="45">
        <v>24.956088350000002</v>
      </c>
      <c r="DQ61" s="45">
        <v>59.878525079999996</v>
      </c>
      <c r="DR61" s="45">
        <v>24.798974759999997</v>
      </c>
      <c r="DS61" s="45">
        <v>17.83487573</v>
      </c>
      <c r="DT61" s="45">
        <v>16.146069900000001</v>
      </c>
      <c r="DU61" s="45">
        <v>21.434251360000001</v>
      </c>
      <c r="DV61" s="45">
        <v>24.202757460000001</v>
      </c>
      <c r="DW61" s="45">
        <v>24.334049300000004</v>
      </c>
      <c r="DX61" s="45">
        <v>26.050291539999996</v>
      </c>
      <c r="DY61" s="45">
        <v>25.497658659999995</v>
      </c>
      <c r="DZ61" s="45">
        <v>12.323131010000001</v>
      </c>
      <c r="EA61" s="45">
        <v>14.431545119999999</v>
      </c>
      <c r="EB61" s="45">
        <f t="shared" si="10"/>
        <v>291.88821826999998</v>
      </c>
      <c r="EC61" s="45">
        <v>291.88821899999999</v>
      </c>
      <c r="ED61" s="45">
        <v>48.433049400000002</v>
      </c>
      <c r="EE61" s="45">
        <v>29.964908259999998</v>
      </c>
      <c r="EF61" s="45">
        <v>17.15666826</v>
      </c>
      <c r="EG61" s="45">
        <v>25.905971089999998</v>
      </c>
      <c r="EH61" s="45">
        <v>37.998668359999996</v>
      </c>
      <c r="EI61" s="45">
        <v>19.607424689999998</v>
      </c>
      <c r="EJ61" s="45">
        <v>16.88417565</v>
      </c>
      <c r="EK61" s="45">
        <v>13.63102301</v>
      </c>
      <c r="EL61" s="45">
        <v>21.237409890000002</v>
      </c>
      <c r="EM61" s="45">
        <v>25.977500520000003</v>
      </c>
      <c r="EN61" s="45">
        <v>36.78361847</v>
      </c>
      <c r="EO61" s="45">
        <v>27.992020290000003</v>
      </c>
      <c r="EP61" s="45">
        <f t="shared" si="11"/>
        <v>321.57243789000006</v>
      </c>
      <c r="EQ61" s="45">
        <v>321.57243799999998</v>
      </c>
      <c r="ER61" s="45">
        <v>41.927839440000007</v>
      </c>
      <c r="ES61" s="45">
        <v>56.992398690000002</v>
      </c>
      <c r="ET61" s="45">
        <v>21.695020750000001</v>
      </c>
      <c r="EU61" s="45">
        <v>23.74911165</v>
      </c>
      <c r="EV61" s="42">
        <v>27.280129139999996</v>
      </c>
      <c r="EW61" s="42">
        <v>30.038526999999998</v>
      </c>
      <c r="EX61" s="42">
        <v>17.029966399999999</v>
      </c>
      <c r="EY61" s="42">
        <v>27.585813699999999</v>
      </c>
      <c r="EZ61" s="45">
        <v>30.128511170000003</v>
      </c>
      <c r="FA61" s="45">
        <v>33.468718330000002</v>
      </c>
      <c r="FB61" s="45">
        <v>41.653382610000001</v>
      </c>
      <c r="FC61" s="45">
        <v>46.872018059999995</v>
      </c>
      <c r="FD61" s="45">
        <f t="shared" si="12"/>
        <v>398.42143693999998</v>
      </c>
      <c r="FE61" s="45">
        <v>398.42143700000003</v>
      </c>
      <c r="FF61" s="45">
        <v>33.453234030000004</v>
      </c>
      <c r="FG61" s="45">
        <v>41.957182660000001</v>
      </c>
      <c r="FH61" s="45">
        <v>25.910527940000005</v>
      </c>
      <c r="FI61" s="45">
        <v>32.861477299999997</v>
      </c>
      <c r="FJ61" s="45">
        <v>33.893717500000001</v>
      </c>
      <c r="FK61" s="45">
        <v>33.005234989999998</v>
      </c>
      <c r="FL61" s="45">
        <v>34.479315039999996</v>
      </c>
      <c r="FM61" s="45">
        <v>34.069575919999998</v>
      </c>
      <c r="FN61" s="45">
        <v>32.03739152</v>
      </c>
      <c r="FO61" s="45">
        <v>26.119908169999999</v>
      </c>
      <c r="FP61" s="45">
        <v>31.475123</v>
      </c>
      <c r="FQ61" s="45">
        <v>32.657164999999999</v>
      </c>
      <c r="FR61" s="45">
        <f t="shared" si="13"/>
        <v>391.91985306999999</v>
      </c>
      <c r="FS61" s="45">
        <v>391.91985299999999</v>
      </c>
      <c r="FT61" s="45">
        <v>24.117836</v>
      </c>
      <c r="FU61" s="45">
        <v>39.743732999999999</v>
      </c>
      <c r="FV61" s="45">
        <v>26.797047000000006</v>
      </c>
      <c r="FW61" s="45">
        <v>28.575942000000001</v>
      </c>
      <c r="FX61" s="45">
        <v>28.053388000000002</v>
      </c>
      <c r="FY61" s="45">
        <v>30.463971000000001</v>
      </c>
      <c r="FZ61" s="45">
        <v>31.077442000000005</v>
      </c>
      <c r="GA61" s="45">
        <v>27.236025999999999</v>
      </c>
      <c r="GB61" s="45">
        <v>30.735962999999998</v>
      </c>
      <c r="GC61" s="45">
        <v>30.981662</v>
      </c>
      <c r="GD61" s="45">
        <v>30.554483999999999</v>
      </c>
      <c r="GE61" s="45">
        <v>56.655026000000014</v>
      </c>
      <c r="GF61" s="45">
        <f t="shared" si="14"/>
        <v>384.99252000000001</v>
      </c>
      <c r="GG61" s="45">
        <v>384.99252000000001</v>
      </c>
      <c r="GH61" s="45">
        <v>21.046340999999998</v>
      </c>
      <c r="GI61" s="45">
        <v>31.847451999999997</v>
      </c>
      <c r="GJ61" s="45">
        <v>46.343046999999991</v>
      </c>
      <c r="GK61" s="45">
        <v>26.930332</v>
      </c>
      <c r="GL61" s="45">
        <v>27.682043999999998</v>
      </c>
      <c r="GM61" s="45">
        <v>35.24388900000001</v>
      </c>
      <c r="GN61" s="45">
        <v>30.654565999999999</v>
      </c>
      <c r="GO61" s="45">
        <v>31.12448800000001</v>
      </c>
      <c r="GP61" s="45">
        <v>30.276744000000008</v>
      </c>
      <c r="GQ61" s="45">
        <v>30.036814</v>
      </c>
      <c r="GR61" s="45">
        <v>30.187743000000001</v>
      </c>
      <c r="GS61" s="45">
        <v>19.507985999999999</v>
      </c>
      <c r="GT61" s="45">
        <f t="shared" si="20"/>
        <v>360.88144600000004</v>
      </c>
      <c r="GU61" s="45">
        <v>360.88144599999998</v>
      </c>
      <c r="GV61" s="45">
        <v>32.570366969999995</v>
      </c>
      <c r="GW61" s="45">
        <v>32.385190609999995</v>
      </c>
      <c r="GX61" s="45">
        <v>41.437353280000004</v>
      </c>
      <c r="GY61" s="45">
        <v>31.875073340000004</v>
      </c>
      <c r="GZ61" s="45">
        <v>32.03267670999999</v>
      </c>
      <c r="HA61" s="45">
        <v>30.944794030000001</v>
      </c>
      <c r="HB61" s="45">
        <v>32.00811345000001</v>
      </c>
      <c r="HC61" s="45">
        <v>30.699220390000008</v>
      </c>
      <c r="HD61" s="45">
        <v>32.539105450000015</v>
      </c>
      <c r="HE61" s="45">
        <v>30.753405269999998</v>
      </c>
      <c r="HF61" s="45">
        <v>21.869126260000002</v>
      </c>
      <c r="HG61" s="45">
        <v>31.071342030000004</v>
      </c>
      <c r="HH61" s="45">
        <f t="shared" si="15"/>
        <v>380.18576779</v>
      </c>
      <c r="HI61" s="45">
        <v>37.757250039999995</v>
      </c>
      <c r="HJ61" s="45">
        <v>50.408987310000001</v>
      </c>
      <c r="HK61" s="45">
        <v>4.86075137</v>
      </c>
      <c r="HL61" s="45">
        <v>3.9296907499999998</v>
      </c>
      <c r="HM61" s="45"/>
      <c r="HN61" s="45"/>
      <c r="HO61" s="45"/>
      <c r="HP61" s="45"/>
      <c r="HQ61" s="45"/>
      <c r="HR61" s="45"/>
      <c r="HS61" s="45"/>
      <c r="HT61" s="45"/>
      <c r="HU61" s="283">
        <f t="shared" si="16"/>
        <v>138.26798400000001</v>
      </c>
      <c r="HV61" s="283">
        <f t="shared" si="17"/>
        <v>96.956678999999994</v>
      </c>
      <c r="HW61" s="280">
        <f t="shared" si="30"/>
        <v>-41.311305000000019</v>
      </c>
      <c r="HX61" s="280">
        <f t="shared" si="38"/>
        <v>-29.877708349316805</v>
      </c>
    </row>
    <row r="62" spans="1:232" s="12" customFormat="1" ht="20.5">
      <c r="A62" s="42" t="s">
        <v>160</v>
      </c>
      <c r="B62" s="13" t="s">
        <v>91</v>
      </c>
      <c r="C62" s="42" t="s">
        <v>161</v>
      </c>
      <c r="D62" s="42">
        <v>596.31786813962356</v>
      </c>
      <c r="E62" s="42">
        <v>500.99070295558937</v>
      </c>
      <c r="F62" s="42">
        <v>350.24674162355359</v>
      </c>
      <c r="G62" s="42">
        <v>322.88124569581282</v>
      </c>
      <c r="H62" s="42">
        <v>41.809330496126947</v>
      </c>
      <c r="I62" s="42">
        <v>11.968500976090061</v>
      </c>
      <c r="J62" s="42">
        <v>19.809456235308847</v>
      </c>
      <c r="K62" s="42">
        <v>22.586342365723592</v>
      </c>
      <c r="L62" s="42">
        <v>30.537428728351003</v>
      </c>
      <c r="M62" s="42">
        <v>32.099216396036439</v>
      </c>
      <c r="N62" s="42">
        <v>38.052022996454205</v>
      </c>
      <c r="O62" s="42">
        <v>45.465106914587857</v>
      </c>
      <c r="P62" s="42">
        <v>58.455152503400669</v>
      </c>
      <c r="Q62" s="42">
        <v>47.641468816341408</v>
      </c>
      <c r="R62" s="42">
        <v>44.481589276668885</v>
      </c>
      <c r="S62" s="42">
        <v>113.35899209452423</v>
      </c>
      <c r="T62" s="42">
        <v>506.26460779961417</v>
      </c>
      <c r="U62" s="42">
        <v>506.42512563958087</v>
      </c>
      <c r="V62" s="42">
        <v>24.264176882886268</v>
      </c>
      <c r="W62" s="42">
        <v>17.92857056875032</v>
      </c>
      <c r="X62" s="42">
        <v>26.619666521530061</v>
      </c>
      <c r="Y62" s="42">
        <v>21.781706336336434</v>
      </c>
      <c r="Z62" s="42">
        <v>25.701691268120275</v>
      </c>
      <c r="AA62" s="42">
        <v>35.7941872840792</v>
      </c>
      <c r="AB62" s="42">
        <v>40.657536098257836</v>
      </c>
      <c r="AC62" s="42">
        <v>45.772518369276938</v>
      </c>
      <c r="AD62" s="42">
        <v>60.949775470826431</v>
      </c>
      <c r="AE62" s="42">
        <v>55.208120855885852</v>
      </c>
      <c r="AF62" s="42">
        <v>49.964559108940755</v>
      </c>
      <c r="AG62" s="42">
        <v>85.56258359371887</v>
      </c>
      <c r="AH62" s="42">
        <v>490.20509235860925</v>
      </c>
      <c r="AI62" s="42">
        <v>490.86667406560014</v>
      </c>
      <c r="AJ62" s="42">
        <v>15.5585454835203</v>
      </c>
      <c r="AK62" s="42">
        <v>20.746343973568731</v>
      </c>
      <c r="AL62" s="42">
        <v>23.485659244967305</v>
      </c>
      <c r="AM62" s="42">
        <v>26.667480435512608</v>
      </c>
      <c r="AN62" s="42">
        <v>28.524367021246317</v>
      </c>
      <c r="AO62" s="42">
        <v>49.58334794622683</v>
      </c>
      <c r="AP62" s="42">
        <v>45.827027165468614</v>
      </c>
      <c r="AQ62" s="42">
        <v>52.735106203151936</v>
      </c>
      <c r="AR62" s="42">
        <v>49.797467003602712</v>
      </c>
      <c r="AS62" s="42">
        <v>51.355056317266268</v>
      </c>
      <c r="AT62" s="42">
        <v>53.064705095588536</v>
      </c>
      <c r="AU62" s="42">
        <v>84.800314170095788</v>
      </c>
      <c r="AV62" s="42">
        <v>502.14542006021594</v>
      </c>
      <c r="AW62" s="42">
        <v>502.13401318148448</v>
      </c>
      <c r="AX62" s="42">
        <f>AX63+AX66+AX70</f>
        <v>28.215609000000001</v>
      </c>
      <c r="AY62" s="42">
        <f>AY63+AY66+AY70</f>
        <v>19.781098999999998</v>
      </c>
      <c r="AZ62" s="42">
        <f t="shared" ref="AZ62:BG62" si="39">AZ63+AZ66+AZ70</f>
        <v>21.01827407</v>
      </c>
      <c r="BA62" s="42">
        <f t="shared" si="39"/>
        <v>29.263624059999998</v>
      </c>
      <c r="BB62" s="42">
        <f t="shared" si="39"/>
        <v>20.868626600000002</v>
      </c>
      <c r="BC62" s="42">
        <f t="shared" si="39"/>
        <v>32.271547310000003</v>
      </c>
      <c r="BD62" s="42">
        <f t="shared" si="39"/>
        <v>42.329758160000004</v>
      </c>
      <c r="BE62" s="42">
        <f t="shared" si="39"/>
        <v>55.302600690000006</v>
      </c>
      <c r="BF62" s="42">
        <f t="shared" si="39"/>
        <v>46.308138329999977</v>
      </c>
      <c r="BG62" s="42">
        <f t="shared" si="39"/>
        <v>60.603786770000006</v>
      </c>
      <c r="BH62" s="42">
        <f>BH63+BH66+BH70</f>
        <v>51.004265470000007</v>
      </c>
      <c r="BI62" s="42">
        <f>BI63+BI66+BI70</f>
        <v>107.32036572000004</v>
      </c>
      <c r="BJ62" s="45">
        <f t="shared" si="28"/>
        <v>514.28769518000001</v>
      </c>
      <c r="BK62" s="42">
        <f>BK63+BK66+BK70</f>
        <v>514.40988500000003</v>
      </c>
      <c r="BL62" s="42">
        <f>BL63+BL66+BL70</f>
        <v>26.014713439999994</v>
      </c>
      <c r="BM62" s="42">
        <v>26.519393460000007</v>
      </c>
      <c r="BN62" s="42">
        <v>23.727507989999999</v>
      </c>
      <c r="BO62" s="42">
        <v>23.600615530000002</v>
      </c>
      <c r="BP62" s="42">
        <v>35.323823359999992</v>
      </c>
      <c r="BQ62" s="42">
        <v>41.212280349999986</v>
      </c>
      <c r="BR62" s="42">
        <v>55.845605949999978</v>
      </c>
      <c r="BS62" s="42">
        <v>57.529853540000012</v>
      </c>
      <c r="BT62" s="42">
        <v>43.078855229999988</v>
      </c>
      <c r="BU62" s="42">
        <v>53.015218699999984</v>
      </c>
      <c r="BV62" s="42">
        <v>69.481923600000002</v>
      </c>
      <c r="BW62" s="42">
        <v>149.79939924999999</v>
      </c>
      <c r="BX62" s="45">
        <f t="shared" si="4"/>
        <v>605.14919039999995</v>
      </c>
      <c r="BY62" s="45">
        <f>BY63+BY66+BY70</f>
        <v>605.17134399999998</v>
      </c>
      <c r="BZ62" s="45">
        <v>19.788245959999998</v>
      </c>
      <c r="CA62" s="45">
        <v>13.95831562</v>
      </c>
      <c r="CB62" s="45">
        <v>14.84524661</v>
      </c>
      <c r="CC62" s="45">
        <v>15.504931390000003</v>
      </c>
      <c r="CD62" s="45">
        <v>20.520345450000001</v>
      </c>
      <c r="CE62" s="45">
        <v>22.05258997</v>
      </c>
      <c r="CF62" s="45">
        <v>30.095178060000002</v>
      </c>
      <c r="CG62" s="45">
        <v>50.158943129999997</v>
      </c>
      <c r="CH62" s="45">
        <v>38.271683189999983</v>
      </c>
      <c r="CI62" s="45">
        <v>47.849161150000029</v>
      </c>
      <c r="CJ62" s="45">
        <v>40.213320640000013</v>
      </c>
      <c r="CK62" s="45">
        <v>72.375482319999989</v>
      </c>
      <c r="CL62" s="45">
        <f t="shared" si="5"/>
        <v>385.63344349000005</v>
      </c>
      <c r="CM62" s="45">
        <f>CM63+CM66+CM70</f>
        <v>385.65599700000001</v>
      </c>
      <c r="CN62" s="45">
        <v>19.762802719999993</v>
      </c>
      <c r="CO62" s="45">
        <v>18.14033452</v>
      </c>
      <c r="CP62" s="45">
        <v>22.027471179999996</v>
      </c>
      <c r="CQ62" s="45">
        <v>24.60826703</v>
      </c>
      <c r="CR62" s="45">
        <v>37.01359123000001</v>
      </c>
      <c r="CS62" s="45">
        <v>39.326870060000005</v>
      </c>
      <c r="CT62" s="45">
        <v>45.36160435</v>
      </c>
      <c r="CU62" s="45">
        <v>62.130221509999991</v>
      </c>
      <c r="CV62" s="45">
        <v>59.408964039999994</v>
      </c>
      <c r="CW62" s="45">
        <v>53.878619119999982</v>
      </c>
      <c r="CX62" s="45">
        <v>54.073625760000013</v>
      </c>
      <c r="CY62" s="45">
        <v>118.58485743000007</v>
      </c>
      <c r="CZ62" s="45">
        <f t="shared" si="6"/>
        <v>554.31722895000007</v>
      </c>
      <c r="DA62" s="45">
        <f>DA63+DA66+DA70</f>
        <v>554.153415</v>
      </c>
      <c r="DB62" s="45">
        <v>25.909186590000001</v>
      </c>
      <c r="DC62" s="45">
        <v>25.306899780000013</v>
      </c>
      <c r="DD62" s="45">
        <v>34.396059440000002</v>
      </c>
      <c r="DE62" s="45">
        <v>32.071976329999998</v>
      </c>
      <c r="DF62" s="45">
        <v>38.628723070000014</v>
      </c>
      <c r="DG62" s="45">
        <v>66.431553499999993</v>
      </c>
      <c r="DH62" s="45">
        <v>69.840151140000003</v>
      </c>
      <c r="DI62" s="45">
        <v>73.551592960000022</v>
      </c>
      <c r="DJ62" s="45">
        <v>70.817363369999995</v>
      </c>
      <c r="DK62" s="45">
        <v>69.947585249999989</v>
      </c>
      <c r="DL62" s="45">
        <v>86.717630749999955</v>
      </c>
      <c r="DM62" s="45">
        <v>134.28710787999989</v>
      </c>
      <c r="DN62" s="45">
        <f t="shared" si="7"/>
        <v>727.90583005999986</v>
      </c>
      <c r="DO62" s="45">
        <f>DO63+DO66+DO70</f>
        <v>727.93551100000002</v>
      </c>
      <c r="DP62" s="45">
        <v>71.124077539999988</v>
      </c>
      <c r="DQ62" s="45">
        <v>44.988516189999999</v>
      </c>
      <c r="DR62" s="45">
        <v>47.215892820000008</v>
      </c>
      <c r="DS62" s="45">
        <v>35.481571209999991</v>
      </c>
      <c r="DT62" s="45">
        <v>43.436733710000006</v>
      </c>
      <c r="DU62" s="45">
        <v>49.719167449999979</v>
      </c>
      <c r="DV62" s="45">
        <v>72.736808859999982</v>
      </c>
      <c r="DW62" s="45">
        <v>74.030705470000001</v>
      </c>
      <c r="DX62" s="45">
        <v>60.036910490000004</v>
      </c>
      <c r="DY62" s="45">
        <v>60.140985350000015</v>
      </c>
      <c r="DZ62" s="45">
        <v>77.283327909999997</v>
      </c>
      <c r="EA62" s="45">
        <v>143.22178230000003</v>
      </c>
      <c r="EB62" s="45">
        <f t="shared" si="10"/>
        <v>779.41647929999999</v>
      </c>
      <c r="EC62" s="45">
        <f>EC63+EC66+EC70</f>
        <v>779.37079999999992</v>
      </c>
      <c r="ED62" s="45">
        <v>81.245346659999981</v>
      </c>
      <c r="EE62" s="45">
        <v>30.817381889999997</v>
      </c>
      <c r="EF62" s="45">
        <v>38.644558129999993</v>
      </c>
      <c r="EG62" s="45">
        <v>40.026847959999998</v>
      </c>
      <c r="EH62" s="45">
        <v>37.749073509999988</v>
      </c>
      <c r="EI62" s="45">
        <v>40.691241830000024</v>
      </c>
      <c r="EJ62" s="45">
        <v>77.760029790000033</v>
      </c>
      <c r="EK62" s="45">
        <v>59.362122839999905</v>
      </c>
      <c r="EL62" s="45">
        <v>76.800074799999962</v>
      </c>
      <c r="EM62" s="45">
        <v>87.51248059000001</v>
      </c>
      <c r="EN62" s="45">
        <v>66.24390003000002</v>
      </c>
      <c r="EO62" s="45">
        <v>184.67323986999983</v>
      </c>
      <c r="EP62" s="45">
        <f t="shared" si="11"/>
        <v>821.52629789999969</v>
      </c>
      <c r="EQ62" s="45">
        <f>EQ63+EQ66+EQ70</f>
        <v>821.44713400000001</v>
      </c>
      <c r="ER62" s="45">
        <v>43.083373660000014</v>
      </c>
      <c r="ES62" s="45">
        <v>39.764059000000017</v>
      </c>
      <c r="ET62" s="45">
        <v>31.230347649999999</v>
      </c>
      <c r="EU62" s="45">
        <v>36.83716007000001</v>
      </c>
      <c r="EV62" s="42">
        <v>42.42992999999997</v>
      </c>
      <c r="EW62" s="42">
        <v>59.995459649999994</v>
      </c>
      <c r="EX62" s="42">
        <v>91.952731999999997</v>
      </c>
      <c r="EY62" s="42">
        <v>82.716259999999991</v>
      </c>
      <c r="EZ62" s="42">
        <v>78.190623549999984</v>
      </c>
      <c r="FA62" s="42">
        <v>71.246329000000003</v>
      </c>
      <c r="FB62" s="42">
        <v>87.083098519999993</v>
      </c>
      <c r="FC62" s="42">
        <v>172.79738699999999</v>
      </c>
      <c r="FD62" s="45">
        <f t="shared" si="12"/>
        <v>837.32676009999989</v>
      </c>
      <c r="FE62" s="45">
        <v>837.20069799999999</v>
      </c>
      <c r="FF62" s="45">
        <v>34.672617000000002</v>
      </c>
      <c r="FG62" s="45">
        <v>29.584057999999999</v>
      </c>
      <c r="FH62" s="45">
        <v>47.591274999999975</v>
      </c>
      <c r="FI62" s="45">
        <v>49.464524000000004</v>
      </c>
      <c r="FJ62" s="45">
        <v>27.653427000000001</v>
      </c>
      <c r="FK62" s="45">
        <v>60.219246990000009</v>
      </c>
      <c r="FL62" s="45">
        <v>93.767359720000016</v>
      </c>
      <c r="FM62" s="45">
        <v>79.730201899999983</v>
      </c>
      <c r="FN62" s="45">
        <v>73.024650869999988</v>
      </c>
      <c r="FO62" s="45">
        <v>94.171995010000046</v>
      </c>
      <c r="FP62" s="45">
        <v>79.480943999999994</v>
      </c>
      <c r="FQ62" s="45">
        <v>209.30677629999988</v>
      </c>
      <c r="FR62" s="45">
        <f t="shared" si="13"/>
        <v>878.66707579000001</v>
      </c>
      <c r="FS62" s="45">
        <f>FS63+FS66+FS70</f>
        <v>878.58250899999996</v>
      </c>
      <c r="FT62" s="45">
        <v>73.299262640000009</v>
      </c>
      <c r="FU62" s="45">
        <v>36.774909590000007</v>
      </c>
      <c r="FV62" s="45">
        <v>46.552314200000005</v>
      </c>
      <c r="FW62" s="45">
        <v>68.331592029999996</v>
      </c>
      <c r="FX62" s="45">
        <v>62.062259270000034</v>
      </c>
      <c r="FY62" s="45">
        <v>102.14826014999998</v>
      </c>
      <c r="FZ62" s="45">
        <v>99.158512589999958</v>
      </c>
      <c r="GA62" s="45">
        <v>93.788739330000013</v>
      </c>
      <c r="GB62" s="45">
        <v>85.488686619999967</v>
      </c>
      <c r="GC62" s="45">
        <v>91.356247189999991</v>
      </c>
      <c r="GD62" s="45">
        <v>62.409902959999961</v>
      </c>
      <c r="GE62" s="45">
        <v>244.42693973000002</v>
      </c>
      <c r="GF62" s="45">
        <f t="shared" si="14"/>
        <v>1065.7976262999998</v>
      </c>
      <c r="GG62" s="45">
        <f>GG63+GG66+GG70</f>
        <v>1065.872042</v>
      </c>
      <c r="GH62" s="45">
        <v>53.023919909999989</v>
      </c>
      <c r="GI62" s="45">
        <v>178.55147352000003</v>
      </c>
      <c r="GJ62" s="45">
        <v>35.087341069999994</v>
      </c>
      <c r="GK62" s="45">
        <v>89.593424519999971</v>
      </c>
      <c r="GL62" s="45">
        <v>60.677598119999992</v>
      </c>
      <c r="GM62" s="45">
        <v>65.990213540000013</v>
      </c>
      <c r="GN62" s="45">
        <v>105.18182338</v>
      </c>
      <c r="GO62" s="45">
        <v>97.297156890000011</v>
      </c>
      <c r="GP62" s="45">
        <v>96.048821349999983</v>
      </c>
      <c r="GQ62" s="45">
        <v>123.35204899999999</v>
      </c>
      <c r="GR62" s="45">
        <v>85.850475180000032</v>
      </c>
      <c r="GS62" s="45">
        <v>208.33130475000013</v>
      </c>
      <c r="GT62" s="45">
        <f t="shared" si="20"/>
        <v>1198.9856012300002</v>
      </c>
      <c r="GU62" s="45">
        <f>GU63+GU66</f>
        <v>1198.99567</v>
      </c>
      <c r="GV62" s="45">
        <v>106.87235031999995</v>
      </c>
      <c r="GW62" s="45">
        <v>76.43855618000002</v>
      </c>
      <c r="GX62" s="45">
        <v>133.26424335999997</v>
      </c>
      <c r="GY62" s="45">
        <v>110.68832941000004</v>
      </c>
      <c r="GZ62" s="45">
        <v>77.08322868999997</v>
      </c>
      <c r="HA62" s="45">
        <v>157.07763511000002</v>
      </c>
      <c r="HB62" s="45">
        <v>113.25780832999995</v>
      </c>
      <c r="HC62" s="45">
        <v>104.78309143999998</v>
      </c>
      <c r="HD62" s="45">
        <v>111.96709306999996</v>
      </c>
      <c r="HE62" s="45">
        <v>144.30808300000001</v>
      </c>
      <c r="HF62" s="45">
        <v>107.25416219999997</v>
      </c>
      <c r="HG62" s="45">
        <v>256.705219</v>
      </c>
      <c r="HH62" s="45">
        <f t="shared" si="15"/>
        <v>1499.6998001099998</v>
      </c>
      <c r="HI62" s="45">
        <v>168.16326784999998</v>
      </c>
      <c r="HJ62" s="45">
        <v>145.77035342999994</v>
      </c>
      <c r="HK62" s="45">
        <v>164.65608662000002</v>
      </c>
      <c r="HL62" s="45">
        <v>67.355820740000013</v>
      </c>
      <c r="HM62" s="45"/>
      <c r="HN62" s="45"/>
      <c r="HO62" s="45"/>
      <c r="HP62" s="45"/>
      <c r="HQ62" s="45"/>
      <c r="HR62" s="45"/>
      <c r="HS62" s="45"/>
      <c r="HT62" s="45"/>
      <c r="HU62" s="283">
        <f t="shared" si="16"/>
        <v>427.26347900000002</v>
      </c>
      <c r="HV62" s="283">
        <f t="shared" si="17"/>
        <v>545.94552899999996</v>
      </c>
      <c r="HW62" s="280">
        <f t="shared" si="30"/>
        <v>118.68204999999995</v>
      </c>
      <c r="HX62" s="280">
        <f t="shared" si="38"/>
        <v>27.777251235647952</v>
      </c>
    </row>
    <row r="63" spans="1:232" s="12" customFormat="1" ht="20.5">
      <c r="A63" s="46" t="s">
        <v>162</v>
      </c>
      <c r="B63" s="13" t="s">
        <v>163</v>
      </c>
      <c r="C63" s="46" t="s">
        <v>164</v>
      </c>
      <c r="D63" s="42">
        <v>556.37584162867597</v>
      </c>
      <c r="E63" s="42">
        <v>446.31824662352517</v>
      </c>
      <c r="F63" s="42">
        <v>222.80464966050275</v>
      </c>
      <c r="G63" s="42">
        <v>174.82311426798935</v>
      </c>
      <c r="H63" s="42">
        <v>40.990398233362363</v>
      </c>
      <c r="I63" s="42">
        <v>8.5625386167409392</v>
      </c>
      <c r="J63" s="42">
        <v>11.530028756239293</v>
      </c>
      <c r="K63" s="42">
        <v>14.945219862152182</v>
      </c>
      <c r="L63" s="42">
        <v>23.071591026801212</v>
      </c>
      <c r="M63" s="42">
        <v>24.479468927325392</v>
      </c>
      <c r="N63" s="42">
        <v>25.535792297710319</v>
      </c>
      <c r="O63" s="42">
        <v>32.657674116823472</v>
      </c>
      <c r="P63" s="42">
        <v>40.305624327693074</v>
      </c>
      <c r="Q63" s="42">
        <v>37.084990523673746</v>
      </c>
      <c r="R63" s="42">
        <v>29.658785507766034</v>
      </c>
      <c r="S63" s="42">
        <v>75.239462823205329</v>
      </c>
      <c r="T63" s="42">
        <v>364.06157501949332</v>
      </c>
      <c r="U63" s="42">
        <v>364.22209036943445</v>
      </c>
      <c r="V63" s="42">
        <v>9.2283310851958706</v>
      </c>
      <c r="W63" s="42">
        <v>7.5338112475170886</v>
      </c>
      <c r="X63" s="42">
        <v>13.271046024207902</v>
      </c>
      <c r="Y63" s="42">
        <v>12.070984712668954</v>
      </c>
      <c r="Z63" s="42">
        <v>17.332838757320676</v>
      </c>
      <c r="AA63" s="42">
        <v>31.22466007592444</v>
      </c>
      <c r="AB63" s="42">
        <v>33.266604914030083</v>
      </c>
      <c r="AC63" s="42">
        <v>36.324850171600204</v>
      </c>
      <c r="AD63" s="42">
        <v>51.523965429904642</v>
      </c>
      <c r="AE63" s="42">
        <v>44.441488665403156</v>
      </c>
      <c r="AF63" s="42">
        <v>37.79912749500572</v>
      </c>
      <c r="AG63" s="42">
        <v>59.981141257021875</v>
      </c>
      <c r="AH63" s="42">
        <v>353.99884983580063</v>
      </c>
      <c r="AI63" s="42">
        <v>354.31605966955226</v>
      </c>
      <c r="AJ63" s="42">
        <v>12.387371158957549</v>
      </c>
      <c r="AK63" s="42">
        <v>12.627262181205571</v>
      </c>
      <c r="AL63" s="42">
        <v>15.01015382667145</v>
      </c>
      <c r="AM63" s="42">
        <v>15.218681054746417</v>
      </c>
      <c r="AN63" s="42">
        <v>14.749670235229166</v>
      </c>
      <c r="AO63" s="42">
        <v>27.413117924769921</v>
      </c>
      <c r="AP63" s="42">
        <v>37.345440549570014</v>
      </c>
      <c r="AQ63" s="42">
        <v>39.040834286657443</v>
      </c>
      <c r="AR63" s="42">
        <v>33.311230442626965</v>
      </c>
      <c r="AS63" s="42">
        <v>38.013548585380853</v>
      </c>
      <c r="AT63" s="42">
        <v>36.860939892203234</v>
      </c>
      <c r="AU63" s="42">
        <v>58.964729853558026</v>
      </c>
      <c r="AV63" s="42">
        <v>340.94297999157652</v>
      </c>
      <c r="AW63" s="42">
        <v>340.93157409462668</v>
      </c>
      <c r="AX63" s="42">
        <f>AX64+AX65</f>
        <v>17.913545000000003</v>
      </c>
      <c r="AY63" s="42">
        <f>AY64+AY65</f>
        <v>10.324321999999999</v>
      </c>
      <c r="AZ63" s="42">
        <f t="shared" ref="AZ63:BG63" si="40">AZ64+AZ65</f>
        <v>12.291595000000001</v>
      </c>
      <c r="BA63" s="42">
        <f t="shared" si="40"/>
        <v>19.962412999999998</v>
      </c>
      <c r="BB63" s="42">
        <f t="shared" si="40"/>
        <v>14.538782000000001</v>
      </c>
      <c r="BC63" s="42">
        <f t="shared" si="40"/>
        <v>24.43159</v>
      </c>
      <c r="BD63" s="42">
        <f t="shared" si="40"/>
        <v>34.644175000000004</v>
      </c>
      <c r="BE63" s="42">
        <f t="shared" si="40"/>
        <v>46.244635000000002</v>
      </c>
      <c r="BF63" s="42">
        <f t="shared" si="40"/>
        <v>36.840068259999981</v>
      </c>
      <c r="BG63" s="42">
        <f t="shared" si="40"/>
        <v>51.04319971000001</v>
      </c>
      <c r="BH63" s="42">
        <f>BH64+BH65</f>
        <v>39.532201220000005</v>
      </c>
      <c r="BI63" s="42">
        <f>BI64+BI65</f>
        <v>85.714020450000035</v>
      </c>
      <c r="BJ63" s="45">
        <f t="shared" si="28"/>
        <v>393.48054664</v>
      </c>
      <c r="BK63" s="42">
        <f>BK64+BK65</f>
        <v>393.60273599999999</v>
      </c>
      <c r="BL63" s="42">
        <f>BL64+BL65</f>
        <v>23.094912329999993</v>
      </c>
      <c r="BM63" s="42">
        <v>19.219774150000006</v>
      </c>
      <c r="BN63" s="42">
        <v>16.307663009999999</v>
      </c>
      <c r="BO63" s="42">
        <v>18.432766150000003</v>
      </c>
      <c r="BP63" s="42">
        <v>29.351863349999988</v>
      </c>
      <c r="BQ63" s="42">
        <v>37.625168249999987</v>
      </c>
      <c r="BR63" s="42">
        <v>50.638481529999979</v>
      </c>
      <c r="BS63" s="42">
        <v>53.521091110000015</v>
      </c>
      <c r="BT63" s="42">
        <v>37.914839489999984</v>
      </c>
      <c r="BU63" s="42">
        <v>47.988448909999981</v>
      </c>
      <c r="BV63" s="42">
        <v>63.857613430000008</v>
      </c>
      <c r="BW63" s="42">
        <v>128.5900168</v>
      </c>
      <c r="BX63" s="45">
        <f t="shared" si="4"/>
        <v>526.54263850999996</v>
      </c>
      <c r="BY63" s="45">
        <f>BY64+BY65</f>
        <v>526.56479200000001</v>
      </c>
      <c r="BZ63" s="45">
        <v>18.557590059999999</v>
      </c>
      <c r="CA63" s="45">
        <v>11.562970310000001</v>
      </c>
      <c r="CB63" s="45">
        <v>10.325175500000002</v>
      </c>
      <c r="CC63" s="45">
        <v>11.935819150000002</v>
      </c>
      <c r="CD63" s="45">
        <v>18.42246828</v>
      </c>
      <c r="CE63" s="45">
        <v>21.85858803</v>
      </c>
      <c r="CF63" s="45">
        <v>29.905945500000001</v>
      </c>
      <c r="CG63" s="45">
        <v>49.158120390000001</v>
      </c>
      <c r="CH63" s="45">
        <v>35.984379529999984</v>
      </c>
      <c r="CI63" s="45">
        <v>46.709780330000029</v>
      </c>
      <c r="CJ63" s="45">
        <v>39.439163380000011</v>
      </c>
      <c r="CK63" s="45">
        <v>59.436991719999988</v>
      </c>
      <c r="CL63" s="45">
        <f t="shared" si="5"/>
        <v>353.29699218000002</v>
      </c>
      <c r="CM63" s="45">
        <f>CM64+CM65</f>
        <v>353.319547</v>
      </c>
      <c r="CN63" s="45">
        <v>19.039879389999992</v>
      </c>
      <c r="CO63" s="45">
        <v>17.568158650000001</v>
      </c>
      <c r="CP63" s="45">
        <v>18.822029719999996</v>
      </c>
      <c r="CQ63" s="45">
        <v>17.674541260000002</v>
      </c>
      <c r="CR63" s="45">
        <v>24.306343600000009</v>
      </c>
      <c r="CS63" s="45">
        <v>29.869308020000002</v>
      </c>
      <c r="CT63" s="45">
        <v>35.91734151</v>
      </c>
      <c r="CU63" s="45">
        <v>51.095728019999989</v>
      </c>
      <c r="CV63" s="45">
        <v>46.700362979999994</v>
      </c>
      <c r="CW63" s="45">
        <v>42.792707179999987</v>
      </c>
      <c r="CX63" s="45">
        <v>45.191474280000008</v>
      </c>
      <c r="CY63" s="45">
        <v>97.051904260000072</v>
      </c>
      <c r="CZ63" s="45">
        <f t="shared" si="6"/>
        <v>446.02977887000009</v>
      </c>
      <c r="DA63" s="45">
        <f>DA64+DA65</f>
        <v>445.866264</v>
      </c>
      <c r="DB63" s="45">
        <v>17.699043499999995</v>
      </c>
      <c r="DC63" s="45">
        <v>14.99009076000001</v>
      </c>
      <c r="DD63" s="45">
        <v>21.926503600000004</v>
      </c>
      <c r="DE63" s="45">
        <v>18.444910049999997</v>
      </c>
      <c r="DF63" s="45">
        <v>23.322930480000004</v>
      </c>
      <c r="DG63" s="45">
        <v>48.423066589999998</v>
      </c>
      <c r="DH63" s="45">
        <v>46.472339569999995</v>
      </c>
      <c r="DI63" s="45">
        <v>55.334113730000027</v>
      </c>
      <c r="DJ63" s="45">
        <v>52.921799129999997</v>
      </c>
      <c r="DK63" s="45">
        <v>48.275149469999981</v>
      </c>
      <c r="DL63" s="45">
        <v>64.790155279999965</v>
      </c>
      <c r="DM63" s="45">
        <v>108.1924250899999</v>
      </c>
      <c r="DN63" s="45">
        <f t="shared" si="7"/>
        <v>520.79252724999981</v>
      </c>
      <c r="DO63" s="45">
        <f>DO64+DO65</f>
        <v>520.82220900000004</v>
      </c>
      <c r="DP63" s="45">
        <v>44.220962419999992</v>
      </c>
      <c r="DQ63" s="45">
        <v>22.477851300000001</v>
      </c>
      <c r="DR63" s="45">
        <v>21.534969610000005</v>
      </c>
      <c r="DS63" s="45">
        <v>23.549921629999996</v>
      </c>
      <c r="DT63" s="45">
        <v>26.608752220000007</v>
      </c>
      <c r="DU63" s="45">
        <v>32.436502059999988</v>
      </c>
      <c r="DV63" s="45">
        <v>50.563238189999979</v>
      </c>
      <c r="DW63" s="45">
        <v>57.507467169999984</v>
      </c>
      <c r="DX63" s="45">
        <v>46.785917420000011</v>
      </c>
      <c r="DY63" s="45">
        <v>42.009466470000014</v>
      </c>
      <c r="DZ63" s="45">
        <v>63.705095369999995</v>
      </c>
      <c r="EA63" s="45">
        <v>113.88898825000001</v>
      </c>
      <c r="EB63" s="45">
        <f t="shared" si="10"/>
        <v>545.28913210999997</v>
      </c>
      <c r="EC63" s="45">
        <f>EC64+EC65</f>
        <v>545.24345299999993</v>
      </c>
      <c r="ED63" s="45">
        <v>52.653852459999996</v>
      </c>
      <c r="EE63" s="45">
        <v>16.523216000000001</v>
      </c>
      <c r="EF63" s="45">
        <v>17.286180339999998</v>
      </c>
      <c r="EG63" s="45">
        <v>28.966194830000003</v>
      </c>
      <c r="EH63" s="45">
        <v>25.792865999999993</v>
      </c>
      <c r="EI63" s="45">
        <v>27.567250840000018</v>
      </c>
      <c r="EJ63" s="45">
        <v>55.351888380000034</v>
      </c>
      <c r="EK63" s="45">
        <v>46.382120179999902</v>
      </c>
      <c r="EL63" s="45">
        <v>64.624947269999979</v>
      </c>
      <c r="EM63" s="45">
        <v>81.260554000000013</v>
      </c>
      <c r="EN63" s="45">
        <v>55.582184760000011</v>
      </c>
      <c r="EO63" s="45">
        <v>154.53526899999983</v>
      </c>
      <c r="EP63" s="45">
        <f t="shared" si="11"/>
        <v>626.52652405999982</v>
      </c>
      <c r="EQ63" s="45">
        <f>EQ64+EQ65</f>
        <v>626.44736</v>
      </c>
      <c r="ER63" s="45">
        <v>32.30870706000001</v>
      </c>
      <c r="ES63" s="42">
        <v>24.092058310000013</v>
      </c>
      <c r="ET63" s="45">
        <v>21.713861559999994</v>
      </c>
      <c r="EU63" s="45">
        <v>20.638439350000006</v>
      </c>
      <c r="EV63" s="42">
        <v>24.465745359999975</v>
      </c>
      <c r="EW63" s="42">
        <v>33.636780399999999</v>
      </c>
      <c r="EX63" s="45">
        <v>64.206930310000018</v>
      </c>
      <c r="EY63" s="42">
        <v>70.78634074</v>
      </c>
      <c r="EZ63" s="42">
        <v>63.091907999999997</v>
      </c>
      <c r="FA63" s="42">
        <v>59.38755171999999</v>
      </c>
      <c r="FB63" s="42">
        <v>73.559079519999997</v>
      </c>
      <c r="FC63" s="42">
        <v>150.45053385000003</v>
      </c>
      <c r="FD63" s="45">
        <f t="shared" si="12"/>
        <v>638.33793618000004</v>
      </c>
      <c r="FE63" s="45">
        <v>638.21563500000002</v>
      </c>
      <c r="FF63" s="45">
        <v>20.430401240000002</v>
      </c>
      <c r="FG63" s="45">
        <v>20.508088000000001</v>
      </c>
      <c r="FH63" s="45">
        <v>34.298730779999985</v>
      </c>
      <c r="FI63" s="45">
        <v>36.400071999999994</v>
      </c>
      <c r="FJ63" s="45">
        <v>24.345017110000001</v>
      </c>
      <c r="FK63" s="45">
        <v>48.366076060000012</v>
      </c>
      <c r="FL63" s="45">
        <v>62.599710000000002</v>
      </c>
      <c r="FM63" s="45">
        <v>71.231560000000002</v>
      </c>
      <c r="FN63" s="45">
        <v>64.578310000000002</v>
      </c>
      <c r="FO63" s="45">
        <v>68.873705999999999</v>
      </c>
      <c r="FP63" s="45">
        <v>71.508868279999973</v>
      </c>
      <c r="FQ63" s="45">
        <v>198.59829636999993</v>
      </c>
      <c r="FR63" s="45">
        <f t="shared" si="13"/>
        <v>721.73883583999998</v>
      </c>
      <c r="FS63" s="45">
        <f>FS64+FS65</f>
        <v>721.65427099999999</v>
      </c>
      <c r="FT63" s="45">
        <v>56.537044669999993</v>
      </c>
      <c r="FU63" s="45">
        <v>31.6478778</v>
      </c>
      <c r="FV63" s="45">
        <v>36.602486989999996</v>
      </c>
      <c r="FW63" s="45">
        <v>56.209368830000003</v>
      </c>
      <c r="FX63" s="45">
        <v>50.779557970000035</v>
      </c>
      <c r="FY63" s="45">
        <v>80.19717473</v>
      </c>
      <c r="FZ63" s="45">
        <v>69.952225869999978</v>
      </c>
      <c r="GA63" s="45">
        <v>84.35412280000007</v>
      </c>
      <c r="GB63" s="45">
        <v>69.922868769999951</v>
      </c>
      <c r="GC63" s="45">
        <v>80.057483879999978</v>
      </c>
      <c r="GD63" s="45">
        <v>57.774399049999957</v>
      </c>
      <c r="GE63" s="45">
        <v>233.56466236999995</v>
      </c>
      <c r="GF63" s="45">
        <f t="shared" si="14"/>
        <v>907.59927372999994</v>
      </c>
      <c r="GG63" s="45">
        <f>GG64+GG65</f>
        <v>907.67369099999996</v>
      </c>
      <c r="GH63" s="45">
        <v>47.069846069999997</v>
      </c>
      <c r="GI63" s="45">
        <v>175.36871950000003</v>
      </c>
      <c r="GJ63" s="45">
        <v>30.04754436999999</v>
      </c>
      <c r="GK63" s="45">
        <v>70.322820459999974</v>
      </c>
      <c r="GL63" s="45">
        <v>56.120395650000013</v>
      </c>
      <c r="GM63" s="45">
        <v>59.544646920000019</v>
      </c>
      <c r="GN63" s="45">
        <v>85.854697259999995</v>
      </c>
      <c r="GO63" s="45">
        <v>72.115260160000005</v>
      </c>
      <c r="GP63" s="45">
        <v>88.137506830000007</v>
      </c>
      <c r="GQ63" s="45">
        <v>116.276639</v>
      </c>
      <c r="GR63" s="45">
        <v>78.657149640000043</v>
      </c>
      <c r="GS63" s="45">
        <v>187.49949826000011</v>
      </c>
      <c r="GT63" s="45">
        <f t="shared" si="20"/>
        <v>1067.0147241200002</v>
      </c>
      <c r="GU63" s="45">
        <f>GU64+GU65</f>
        <v>1067.0247910000001</v>
      </c>
      <c r="GV63" s="45">
        <v>67.875559159999966</v>
      </c>
      <c r="GW63" s="45">
        <v>62.603538390000018</v>
      </c>
      <c r="GX63" s="45">
        <v>125.006961</v>
      </c>
      <c r="GY63" s="45">
        <v>85.253874000000025</v>
      </c>
      <c r="GZ63" s="45">
        <v>63.288559969999987</v>
      </c>
      <c r="HA63" s="45">
        <v>121.46994110000001</v>
      </c>
      <c r="HB63" s="45">
        <v>87.189295699999931</v>
      </c>
      <c r="HC63" s="45">
        <v>81.308316269999992</v>
      </c>
      <c r="HD63" s="45">
        <v>99.900788879999979</v>
      </c>
      <c r="HE63" s="45">
        <v>99.396598999999995</v>
      </c>
      <c r="HF63" s="45">
        <v>94.935898419999987</v>
      </c>
      <c r="HG63" s="45">
        <v>239.71910872999985</v>
      </c>
      <c r="HH63" s="45">
        <f t="shared" si="15"/>
        <v>1227.9484406199997</v>
      </c>
      <c r="HI63" s="45">
        <v>142.97063349000001</v>
      </c>
      <c r="HJ63" s="45">
        <v>132.48007665000003</v>
      </c>
      <c r="HK63" s="45">
        <v>153.02619890000003</v>
      </c>
      <c r="HL63" s="45">
        <v>52.984100500000018</v>
      </c>
      <c r="HM63" s="45"/>
      <c r="HN63" s="45"/>
      <c r="HO63" s="45"/>
      <c r="HP63" s="45"/>
      <c r="HQ63" s="45"/>
      <c r="HR63" s="45"/>
      <c r="HS63" s="45"/>
      <c r="HT63" s="45"/>
      <c r="HU63" s="283">
        <f t="shared" si="16"/>
        <v>340.73993300000001</v>
      </c>
      <c r="HV63" s="283">
        <f t="shared" si="17"/>
        <v>481.46100999999999</v>
      </c>
      <c r="HW63" s="280">
        <f t="shared" si="30"/>
        <v>140.72107699999998</v>
      </c>
      <c r="HX63" s="280">
        <f t="shared" si="38"/>
        <v>41.298674845956498</v>
      </c>
    </row>
    <row r="64" spans="1:232" s="12" customFormat="1" ht="20.5">
      <c r="A64" s="47" t="s">
        <v>165</v>
      </c>
      <c r="B64" s="13">
        <v>5100</v>
      </c>
      <c r="C64" s="47" t="s">
        <v>166</v>
      </c>
      <c r="D64" s="42">
        <v>29.665144193829288</v>
      </c>
      <c r="E64" s="42">
        <v>43.021912225883746</v>
      </c>
      <c r="F64" s="42">
        <v>14.455444192121846</v>
      </c>
      <c r="G64" s="42">
        <v>14.474613121154691</v>
      </c>
      <c r="H64" s="42">
        <v>0.23441242508579918</v>
      </c>
      <c r="I64" s="42">
        <v>1.3463410424528033</v>
      </c>
      <c r="J64" s="42">
        <v>1.1166373412786494</v>
      </c>
      <c r="K64" s="42">
        <v>0.35456102981770166</v>
      </c>
      <c r="L64" s="42">
        <v>1.6772905390138639</v>
      </c>
      <c r="M64" s="42">
        <v>1.5961573497020507</v>
      </c>
      <c r="N64" s="42">
        <v>1.1169956346292849</v>
      </c>
      <c r="O64" s="42">
        <v>0.90277657779550702</v>
      </c>
      <c r="P64" s="42">
        <v>3.871951909768768</v>
      </c>
      <c r="Q64" s="42">
        <v>1.9714920944867043</v>
      </c>
      <c r="R64" s="42">
        <v>2.2446211888500449</v>
      </c>
      <c r="S64" s="42">
        <v>10.264499789423164</v>
      </c>
      <c r="T64" s="42">
        <v>26.648398756979184</v>
      </c>
      <c r="U64" s="42">
        <v>26.691834423253141</v>
      </c>
      <c r="V64" s="42">
        <v>0.86897627218968598</v>
      </c>
      <c r="W64" s="42">
        <v>0.64830735169407117</v>
      </c>
      <c r="X64" s="42">
        <v>1.8357383708650059</v>
      </c>
      <c r="Y64" s="42">
        <v>0.93524762238489045</v>
      </c>
      <c r="Z64" s="42">
        <v>1.9580124757400357</v>
      </c>
      <c r="AA64" s="42">
        <v>2.2358068536889375</v>
      </c>
      <c r="AB64" s="42">
        <v>1.4605480333065837</v>
      </c>
      <c r="AC64" s="42">
        <v>2.315456371906405</v>
      </c>
      <c r="AD64" s="42">
        <v>1.3109344852884885</v>
      </c>
      <c r="AE64" s="42">
        <v>2.3018010711378989</v>
      </c>
      <c r="AF64" s="42">
        <v>2.9789201541254746</v>
      </c>
      <c r="AG64" s="42">
        <v>8.0215408563411703</v>
      </c>
      <c r="AH64" s="42">
        <v>26.871289918668644</v>
      </c>
      <c r="AI64" s="42">
        <v>26.871093505443909</v>
      </c>
      <c r="AJ64" s="42">
        <v>1.7078303481482746</v>
      </c>
      <c r="AK64" s="42">
        <v>0.46363444146589955</v>
      </c>
      <c r="AL64" s="42">
        <v>2.2570741344670777</v>
      </c>
      <c r="AM64" s="42">
        <v>3.0313017427333935</v>
      </c>
      <c r="AN64" s="42">
        <v>1.6908999379627894</v>
      </c>
      <c r="AO64" s="42">
        <v>1.1254275729790952</v>
      </c>
      <c r="AP64" s="42">
        <v>2.419678886289776</v>
      </c>
      <c r="AQ64" s="42">
        <v>1.652698149128349</v>
      </c>
      <c r="AR64" s="42">
        <v>1.1877792385928367</v>
      </c>
      <c r="AS64" s="42">
        <v>2.4808566826597462</v>
      </c>
      <c r="AT64" s="42">
        <v>3.8430842738516002</v>
      </c>
      <c r="AU64" s="42">
        <v>9.583930939493797</v>
      </c>
      <c r="AV64" s="42">
        <v>31.444196347772639</v>
      </c>
      <c r="AW64" s="42">
        <v>31.488333874024626</v>
      </c>
      <c r="AX64" s="42">
        <v>0.59534799999999999</v>
      </c>
      <c r="AY64" s="42">
        <v>1.3003439999999999</v>
      </c>
      <c r="AZ64" s="42">
        <v>1.1673450000000001</v>
      </c>
      <c r="BA64" s="42">
        <v>0.67493300000000001</v>
      </c>
      <c r="BB64" s="42">
        <v>1.251682</v>
      </c>
      <c r="BC64" s="42">
        <v>1.2901260000000001</v>
      </c>
      <c r="BD64" s="42">
        <v>1.9153450000000001</v>
      </c>
      <c r="BE64" s="42">
        <v>1.6797660000000001</v>
      </c>
      <c r="BF64" s="42">
        <v>1.5218166499999999</v>
      </c>
      <c r="BG64" s="42">
        <v>1.6171203600000001</v>
      </c>
      <c r="BH64" s="42">
        <v>2.0897982499999999</v>
      </c>
      <c r="BI64" s="42">
        <v>15.134561209999996</v>
      </c>
      <c r="BJ64" s="45">
        <f t="shared" si="28"/>
        <v>30.238185469999994</v>
      </c>
      <c r="BK64" s="42">
        <v>30.187481999999999</v>
      </c>
      <c r="BL64" s="42">
        <v>1.6887689800000001</v>
      </c>
      <c r="BM64" s="42">
        <v>1.4449733599999997</v>
      </c>
      <c r="BN64" s="42">
        <v>1.0966854400000001</v>
      </c>
      <c r="BO64" s="42">
        <v>1.5240135099999998</v>
      </c>
      <c r="BP64" s="42">
        <v>1.8211592799999996</v>
      </c>
      <c r="BQ64" s="42">
        <v>2.4077128099999996</v>
      </c>
      <c r="BR64" s="42">
        <v>4.1294672499999994</v>
      </c>
      <c r="BS64" s="42">
        <v>1.1350766499999998</v>
      </c>
      <c r="BT64" s="42">
        <v>3.3303648900000002</v>
      </c>
      <c r="BU64" s="42">
        <v>2.4602612300000004</v>
      </c>
      <c r="BV64" s="42">
        <v>4.0628799799999999</v>
      </c>
      <c r="BW64" s="42">
        <v>13.460667339999997</v>
      </c>
      <c r="BX64" s="45">
        <f t="shared" si="4"/>
        <v>38.562030719999996</v>
      </c>
      <c r="BY64" s="45">
        <v>38.638280999999999</v>
      </c>
      <c r="BZ64" s="45">
        <v>0.27877544999999998</v>
      </c>
      <c r="CA64" s="45">
        <v>0.40958159999999999</v>
      </c>
      <c r="CB64" s="45">
        <v>0.75764608</v>
      </c>
      <c r="CC64" s="45">
        <v>1.72680905</v>
      </c>
      <c r="CD64" s="45">
        <v>2.3072227800000005</v>
      </c>
      <c r="CE64" s="45">
        <v>1.5369659499999999</v>
      </c>
      <c r="CF64" s="45">
        <v>0.86628868999999986</v>
      </c>
      <c r="CG64" s="45">
        <v>0.70550312000000015</v>
      </c>
      <c r="CH64" s="45">
        <v>1.4600444299999999</v>
      </c>
      <c r="CI64" s="45">
        <v>1.6860317099999997</v>
      </c>
      <c r="CJ64" s="45">
        <v>1.90453629</v>
      </c>
      <c r="CK64" s="45">
        <v>8.4274976299999977</v>
      </c>
      <c r="CL64" s="45">
        <f t="shared" si="5"/>
        <v>22.066902779999999</v>
      </c>
      <c r="CM64" s="45">
        <v>22.107194</v>
      </c>
      <c r="CN64" s="45">
        <v>0.75766986999999997</v>
      </c>
      <c r="CO64" s="45">
        <v>1.1557538900000002</v>
      </c>
      <c r="CP64" s="45">
        <v>0.92320240000000009</v>
      </c>
      <c r="CQ64" s="45">
        <v>2.6664849100000003</v>
      </c>
      <c r="CR64" s="45">
        <v>0.81112712999999992</v>
      </c>
      <c r="CS64" s="45">
        <v>2.1682753400000001</v>
      </c>
      <c r="CT64" s="45">
        <v>1.47056151</v>
      </c>
      <c r="CU64" s="45">
        <v>1.22266973</v>
      </c>
      <c r="CV64" s="45">
        <v>1.6084567200000004</v>
      </c>
      <c r="CW64" s="45">
        <v>2.4113074199999995</v>
      </c>
      <c r="CX64" s="45">
        <v>1.924438289999999</v>
      </c>
      <c r="CY64" s="45">
        <v>7.9490789200000025</v>
      </c>
      <c r="CZ64" s="45">
        <f t="shared" si="6"/>
        <v>25.069026130000001</v>
      </c>
      <c r="DA64" s="45">
        <v>25.084517999999999</v>
      </c>
      <c r="DB64" s="45">
        <v>1.84298498</v>
      </c>
      <c r="DC64" s="45">
        <v>0.73184735000000001</v>
      </c>
      <c r="DD64" s="45">
        <v>1.2336322900000001</v>
      </c>
      <c r="DE64" s="45">
        <v>2.1378320500000001</v>
      </c>
      <c r="DF64" s="45">
        <v>1.8018046799999998</v>
      </c>
      <c r="DG64" s="45">
        <v>2.9518251200000001</v>
      </c>
      <c r="DH64" s="45">
        <v>2.0135816200000005</v>
      </c>
      <c r="DI64" s="45">
        <v>1.6929919800000002</v>
      </c>
      <c r="DJ64" s="45">
        <v>2.9963208000000003</v>
      </c>
      <c r="DK64" s="45">
        <v>1.7622821800000001</v>
      </c>
      <c r="DL64" s="45">
        <v>2.1861296599999998</v>
      </c>
      <c r="DM64" s="45">
        <v>13.428300290000005</v>
      </c>
      <c r="DN64" s="45">
        <f t="shared" si="7"/>
        <v>34.779533000000008</v>
      </c>
      <c r="DO64" s="45">
        <v>34.722774000000001</v>
      </c>
      <c r="DP64" s="45">
        <v>1.0671733699999999</v>
      </c>
      <c r="DQ64" s="45">
        <v>1.0833518600000003</v>
      </c>
      <c r="DR64" s="45">
        <v>1.2047867700000001</v>
      </c>
      <c r="DS64" s="45">
        <v>1.5760312299999999</v>
      </c>
      <c r="DT64" s="45">
        <v>2.1178061400000003</v>
      </c>
      <c r="DU64" s="45">
        <v>2.3923718800000002</v>
      </c>
      <c r="DV64" s="45">
        <v>2.8775259299999987</v>
      </c>
      <c r="DW64" s="45">
        <v>2.5166558999999999</v>
      </c>
      <c r="DX64" s="45">
        <v>3.0056804799999997</v>
      </c>
      <c r="DY64" s="45">
        <v>2.8871973199999998</v>
      </c>
      <c r="DZ64" s="45">
        <v>3.1562430900000007</v>
      </c>
      <c r="EA64" s="45">
        <v>16.422419400000003</v>
      </c>
      <c r="EB64" s="45">
        <f t="shared" si="10"/>
        <v>40.307243370000002</v>
      </c>
      <c r="EC64" s="45">
        <v>40.269291000000003</v>
      </c>
      <c r="ED64" s="45">
        <v>1.3157751099999999</v>
      </c>
      <c r="EE64" s="45">
        <v>2.0265331800000004</v>
      </c>
      <c r="EF64" s="45">
        <v>2.3380537299999999</v>
      </c>
      <c r="EG64" s="45">
        <v>2.0198863900000004</v>
      </c>
      <c r="EH64" s="45">
        <v>1.0206420299999999</v>
      </c>
      <c r="EI64" s="45">
        <v>2.2528828600000002</v>
      </c>
      <c r="EJ64" s="45">
        <v>2.5098189</v>
      </c>
      <c r="EK64" s="45">
        <v>3.0216293299999997</v>
      </c>
      <c r="EL64" s="45">
        <v>5.6291238700000008</v>
      </c>
      <c r="EM64" s="45">
        <v>3.980105609999999</v>
      </c>
      <c r="EN64" s="45">
        <v>6.0202831600000009</v>
      </c>
      <c r="EO64" s="45">
        <v>16.386847789999994</v>
      </c>
      <c r="EP64" s="45">
        <f>SUM(ED64:EO64)</f>
        <v>48.521581959999992</v>
      </c>
      <c r="EQ64" s="45">
        <v>48.390937000000001</v>
      </c>
      <c r="ER64" s="45">
        <v>2.2779530599999998</v>
      </c>
      <c r="ES64" s="42">
        <v>1.53705161</v>
      </c>
      <c r="ET64" s="45">
        <v>2.1787405599999996</v>
      </c>
      <c r="EU64" s="45">
        <v>2.5795533499999985</v>
      </c>
      <c r="EV64" s="42">
        <v>1.7593020600000002</v>
      </c>
      <c r="EW64" s="42">
        <v>2.8608814000000007</v>
      </c>
      <c r="EX64" s="42">
        <v>6.3993784299999987</v>
      </c>
      <c r="EY64" s="42">
        <v>5.8349019300000009</v>
      </c>
      <c r="EZ64" s="42">
        <v>2.4511190999999997</v>
      </c>
      <c r="FA64" s="42">
        <v>3.2595681400000007</v>
      </c>
      <c r="FB64" s="42">
        <v>3.1980299899999998</v>
      </c>
      <c r="FC64" s="42">
        <v>18.062587399999998</v>
      </c>
      <c r="FD64" s="45">
        <f>SUM(ER64:FC64)</f>
        <v>52.399067029999998</v>
      </c>
      <c r="FE64" s="45">
        <v>52.301811000000001</v>
      </c>
      <c r="FF64" s="45">
        <v>1.8162932200000006</v>
      </c>
      <c r="FG64" s="45">
        <v>1.2631035899999998</v>
      </c>
      <c r="FH64" s="45">
        <v>2.6092402300000002</v>
      </c>
      <c r="FI64" s="45">
        <v>3.4358919999999995</v>
      </c>
      <c r="FJ64" s="45">
        <v>2.3223316399999998</v>
      </c>
      <c r="FK64" s="45">
        <v>2.2616396300000003</v>
      </c>
      <c r="FL64" s="45">
        <v>3.9062991500000006</v>
      </c>
      <c r="FM64" s="45">
        <v>4.3181867499999997</v>
      </c>
      <c r="FN64" s="45">
        <v>4.2568003899999995</v>
      </c>
      <c r="FO64" s="45">
        <v>6.8845855199999999</v>
      </c>
      <c r="FP64" s="45">
        <v>5.1702228099999985</v>
      </c>
      <c r="FQ64" s="45">
        <v>24.918314369999997</v>
      </c>
      <c r="FR64" s="45">
        <f>SUM(FF64:FQ64)</f>
        <v>63.162909299999995</v>
      </c>
      <c r="FS64" s="45">
        <v>63.135717</v>
      </c>
      <c r="FT64" s="45">
        <v>4.1107983400000006</v>
      </c>
      <c r="FU64" s="45">
        <v>1.73269652</v>
      </c>
      <c r="FV64" s="45">
        <v>2.0061501600000002</v>
      </c>
      <c r="FW64" s="45">
        <v>5.22414807</v>
      </c>
      <c r="FX64" s="45">
        <v>3.5819266000000001</v>
      </c>
      <c r="FY64" s="45">
        <v>4.4807742699999995</v>
      </c>
      <c r="FZ64" s="45">
        <v>3.8905498800000005</v>
      </c>
      <c r="GA64" s="45">
        <v>4.5786980699999988</v>
      </c>
      <c r="GB64" s="45">
        <v>4.381970009999999</v>
      </c>
      <c r="GC64" s="45">
        <v>9.5540723800000027</v>
      </c>
      <c r="GD64" s="45">
        <v>4.7159288699999991</v>
      </c>
      <c r="GE64" s="45">
        <v>39.926492380000013</v>
      </c>
      <c r="GF64" s="45">
        <f t="shared" si="14"/>
        <v>88.184205550000016</v>
      </c>
      <c r="GG64" s="45">
        <v>88.184269</v>
      </c>
      <c r="GH64" s="45">
        <v>2.6352307399999995</v>
      </c>
      <c r="GI64" s="45">
        <v>1.9017544200000001</v>
      </c>
      <c r="GJ64" s="45">
        <v>2.08045686</v>
      </c>
      <c r="GK64" s="45">
        <v>3.3411305699999994</v>
      </c>
      <c r="GL64" s="45">
        <v>5.1321263899999998</v>
      </c>
      <c r="GM64" s="45">
        <v>4.6001049799999993</v>
      </c>
      <c r="GN64" s="45">
        <v>5.3376729999999997</v>
      </c>
      <c r="GO64" s="45">
        <v>2.4331569100000006</v>
      </c>
      <c r="GP64" s="45">
        <v>3.7919342899999995</v>
      </c>
      <c r="GQ64" s="45">
        <v>4.1941883499999992</v>
      </c>
      <c r="GR64" s="45">
        <v>6.3093763100000002</v>
      </c>
      <c r="GS64" s="45">
        <v>33.761120119999994</v>
      </c>
      <c r="GT64" s="45">
        <f t="shared" si="20"/>
        <v>75.518252939999996</v>
      </c>
      <c r="GU64" s="45">
        <v>75.527452999999994</v>
      </c>
      <c r="GV64" s="45">
        <v>1.0971376200000003</v>
      </c>
      <c r="GW64" s="45">
        <v>2.0926842199999998</v>
      </c>
      <c r="GX64" s="45">
        <v>2.9827240000000002</v>
      </c>
      <c r="GY64" s="45">
        <v>2.537839</v>
      </c>
      <c r="GZ64" s="45">
        <v>3.8853819900000013</v>
      </c>
      <c r="HA64" s="45">
        <v>5.7121861099999984</v>
      </c>
      <c r="HB64" s="45">
        <v>4.5710165199999997</v>
      </c>
      <c r="HC64" s="45">
        <v>6.9532970499999998</v>
      </c>
      <c r="HD64" s="45">
        <v>5.9852032799999995</v>
      </c>
      <c r="HE64" s="45">
        <v>7.1373810000000004</v>
      </c>
      <c r="HF64" s="45">
        <v>5.7394670800000007</v>
      </c>
      <c r="HG64" s="45">
        <v>31.638393130000004</v>
      </c>
      <c r="HH64" s="45">
        <f t="shared" si="15"/>
        <v>80.332710999999989</v>
      </c>
      <c r="HI64" s="45">
        <v>1.6604181900000001</v>
      </c>
      <c r="HJ64" s="45">
        <v>2.0545593999999996</v>
      </c>
      <c r="HK64" s="45">
        <v>3.6391173200000004</v>
      </c>
      <c r="HL64" s="45">
        <v>7.7711718899999971</v>
      </c>
      <c r="HM64" s="45"/>
      <c r="HN64" s="45"/>
      <c r="HO64" s="45"/>
      <c r="HP64" s="45"/>
      <c r="HQ64" s="45"/>
      <c r="HR64" s="45"/>
      <c r="HS64" s="45"/>
      <c r="HT64" s="45"/>
      <c r="HU64" s="283">
        <f t="shared" si="16"/>
        <v>8.7103850000000005</v>
      </c>
      <c r="HV64" s="283">
        <f t="shared" si="17"/>
        <v>15.125266999999999</v>
      </c>
      <c r="HW64" s="280">
        <f t="shared" si="30"/>
        <v>6.4148819999999986</v>
      </c>
      <c r="HX64" s="280">
        <f t="shared" si="38"/>
        <v>73.646365803578135</v>
      </c>
    </row>
    <row r="65" spans="1:232" s="12" customFormat="1" ht="20.5">
      <c r="A65" s="47" t="s">
        <v>167</v>
      </c>
      <c r="B65" s="13">
        <v>5200</v>
      </c>
      <c r="C65" s="47" t="s">
        <v>168</v>
      </c>
      <c r="D65" s="42">
        <v>526.71069743484679</v>
      </c>
      <c r="E65" s="42">
        <v>291.41426201330671</v>
      </c>
      <c r="F65" s="42">
        <v>208.34920546838089</v>
      </c>
      <c r="G65" s="42">
        <v>160.34850114683468</v>
      </c>
      <c r="H65" s="42">
        <v>40.755985808276563</v>
      </c>
      <c r="I65" s="42">
        <v>7.2161975742881364</v>
      </c>
      <c r="J65" s="42">
        <v>10.413391414960643</v>
      </c>
      <c r="K65" s="42">
        <v>14.59065883233448</v>
      </c>
      <c r="L65" s="42">
        <v>21.394300487787348</v>
      </c>
      <c r="M65" s="42">
        <v>22.883311577623342</v>
      </c>
      <c r="N65" s="42">
        <v>24.418796663081032</v>
      </c>
      <c r="O65" s="42">
        <v>31.754897539027965</v>
      </c>
      <c r="P65" s="42">
        <v>36.433672417924306</v>
      </c>
      <c r="Q65" s="42">
        <v>35.11349842918704</v>
      </c>
      <c r="R65" s="42">
        <v>27.41416431891599</v>
      </c>
      <c r="S65" s="42">
        <v>64.97496303378216</v>
      </c>
      <c r="T65" s="42">
        <v>337.41317626251413</v>
      </c>
      <c r="U65" s="42">
        <v>337.53025594618128</v>
      </c>
      <c r="V65" s="42">
        <v>8.3593548130061865</v>
      </c>
      <c r="W65" s="42">
        <v>6.8855038958230175</v>
      </c>
      <c r="X65" s="42">
        <v>11.435307653342896</v>
      </c>
      <c r="Y65" s="42">
        <v>11.135737090284064</v>
      </c>
      <c r="Z65" s="42">
        <v>15.37482628158064</v>
      </c>
      <c r="AA65" s="42">
        <v>28.988853222235502</v>
      </c>
      <c r="AB65" s="42">
        <v>31.806056880723503</v>
      </c>
      <c r="AC65" s="42">
        <v>34.009393799693804</v>
      </c>
      <c r="AD65" s="42">
        <v>50.213030944616143</v>
      </c>
      <c r="AE65" s="42">
        <v>42.139687594265254</v>
      </c>
      <c r="AF65" s="42">
        <v>34.820207340880245</v>
      </c>
      <c r="AG65" s="42">
        <v>51.959600400680699</v>
      </c>
      <c r="AH65" s="42">
        <v>327.12755991713198</v>
      </c>
      <c r="AI65" s="42">
        <v>327.44496616410834</v>
      </c>
      <c r="AJ65" s="42">
        <v>10.679540810809273</v>
      </c>
      <c r="AK65" s="42">
        <v>12.163627739739674</v>
      </c>
      <c r="AL65" s="42">
        <v>12.753079692204372</v>
      </c>
      <c r="AM65" s="42">
        <v>12.187379312013023</v>
      </c>
      <c r="AN65" s="42">
        <v>13.058770297266378</v>
      </c>
      <c r="AO65" s="42">
        <v>26.287690351790825</v>
      </c>
      <c r="AP65" s="42">
        <v>34.925761663280241</v>
      </c>
      <c r="AQ65" s="42">
        <v>37.388136137529095</v>
      </c>
      <c r="AR65" s="42">
        <v>32.123451204034126</v>
      </c>
      <c r="AS65" s="42">
        <v>35.532691902721105</v>
      </c>
      <c r="AT65" s="42">
        <v>33.017855618351632</v>
      </c>
      <c r="AU65" s="42">
        <v>49.380798914064229</v>
      </c>
      <c r="AV65" s="42">
        <v>309.49878364380402</v>
      </c>
      <c r="AW65" s="42">
        <v>309.44324022060204</v>
      </c>
      <c r="AX65" s="42">
        <v>17.318197000000001</v>
      </c>
      <c r="AY65" s="42">
        <v>9.0239779999999996</v>
      </c>
      <c r="AZ65" s="42">
        <v>11.12425</v>
      </c>
      <c r="BA65" s="42">
        <v>19.287479999999999</v>
      </c>
      <c r="BB65" s="42">
        <v>13.287100000000001</v>
      </c>
      <c r="BC65" s="42">
        <v>23.141463999999999</v>
      </c>
      <c r="BD65" s="42">
        <v>32.728830000000002</v>
      </c>
      <c r="BE65" s="42">
        <v>44.564869000000002</v>
      </c>
      <c r="BF65" s="42">
        <v>35.318251609999983</v>
      </c>
      <c r="BG65" s="42">
        <v>49.426079350000009</v>
      </c>
      <c r="BH65" s="42">
        <v>37.442402970000003</v>
      </c>
      <c r="BI65" s="42">
        <v>70.579459240000034</v>
      </c>
      <c r="BJ65" s="45">
        <f t="shared" si="28"/>
        <v>363.24236116999998</v>
      </c>
      <c r="BK65" s="42">
        <v>363.415254</v>
      </c>
      <c r="BL65" s="42">
        <v>21.406143349999994</v>
      </c>
      <c r="BM65" s="42">
        <v>17.774800790000008</v>
      </c>
      <c r="BN65" s="42">
        <v>15.210977569999999</v>
      </c>
      <c r="BO65" s="42">
        <v>16.908752640000003</v>
      </c>
      <c r="BP65" s="42">
        <v>27.530704069999988</v>
      </c>
      <c r="BQ65" s="42">
        <v>35.217455439999988</v>
      </c>
      <c r="BR65" s="42">
        <v>46.509014279999981</v>
      </c>
      <c r="BS65" s="42">
        <v>52.386014460000013</v>
      </c>
      <c r="BT65" s="42">
        <v>34.584474599999986</v>
      </c>
      <c r="BU65" s="42">
        <v>45.528187679999981</v>
      </c>
      <c r="BV65" s="42">
        <v>59.79473345000001</v>
      </c>
      <c r="BW65" s="42">
        <v>115.12934946</v>
      </c>
      <c r="BX65" s="45">
        <f t="shared" si="4"/>
        <v>487.98060778999997</v>
      </c>
      <c r="BY65" s="45">
        <v>487.926511</v>
      </c>
      <c r="BZ65" s="45">
        <v>18.278814609999998</v>
      </c>
      <c r="CA65" s="45">
        <v>11.153388710000002</v>
      </c>
      <c r="CB65" s="45">
        <v>9.5675294200000014</v>
      </c>
      <c r="CC65" s="45">
        <v>10.209010100000002</v>
      </c>
      <c r="CD65" s="45">
        <v>16.1152455</v>
      </c>
      <c r="CE65" s="45">
        <v>20.321622080000001</v>
      </c>
      <c r="CF65" s="45">
        <v>29.03965681</v>
      </c>
      <c r="CG65" s="45">
        <v>48.452617269999998</v>
      </c>
      <c r="CH65" s="45">
        <v>34.524335099999988</v>
      </c>
      <c r="CI65" s="45">
        <v>45.023748620000028</v>
      </c>
      <c r="CJ65" s="45">
        <v>37.534627090000008</v>
      </c>
      <c r="CK65" s="45">
        <v>51.00949408999999</v>
      </c>
      <c r="CL65" s="45">
        <f t="shared" si="5"/>
        <v>331.23008939999994</v>
      </c>
      <c r="CM65" s="45">
        <v>331.21235300000001</v>
      </c>
      <c r="CN65" s="45">
        <v>18.282209519999991</v>
      </c>
      <c r="CO65" s="45">
        <v>16.412404760000001</v>
      </c>
      <c r="CP65" s="45">
        <v>17.898827319999995</v>
      </c>
      <c r="CQ65" s="45">
        <v>15.008056350000002</v>
      </c>
      <c r="CR65" s="45">
        <v>23.49521647000001</v>
      </c>
      <c r="CS65" s="45">
        <v>27.701032680000001</v>
      </c>
      <c r="CT65" s="45">
        <v>34.446779999999997</v>
      </c>
      <c r="CU65" s="45">
        <v>49.873058289999989</v>
      </c>
      <c r="CV65" s="45">
        <v>45.091906259999995</v>
      </c>
      <c r="CW65" s="45">
        <v>40.381399759999987</v>
      </c>
      <c r="CX65" s="45">
        <v>43.267035990000011</v>
      </c>
      <c r="CY65" s="45">
        <v>89.102825340000066</v>
      </c>
      <c r="CZ65" s="45">
        <f t="shared" si="6"/>
        <v>420.96075274000009</v>
      </c>
      <c r="DA65" s="45">
        <v>420.781746</v>
      </c>
      <c r="DB65" s="45">
        <v>15.856058519999998</v>
      </c>
      <c r="DC65" s="45">
        <v>14.258243410000009</v>
      </c>
      <c r="DD65" s="45">
        <v>20.692871310000001</v>
      </c>
      <c r="DE65" s="45">
        <v>16.307077999999994</v>
      </c>
      <c r="DF65" s="45">
        <v>21.521125799999993</v>
      </c>
      <c r="DG65" s="45">
        <v>45.471241469999974</v>
      </c>
      <c r="DH65" s="45">
        <v>44.458757949999985</v>
      </c>
      <c r="DI65" s="45">
        <v>53.641121750000025</v>
      </c>
      <c r="DJ65" s="45">
        <v>49.92547832999999</v>
      </c>
      <c r="DK65" s="45">
        <v>46.512867289999981</v>
      </c>
      <c r="DL65" s="45">
        <v>62.604025619999973</v>
      </c>
      <c r="DM65" s="45">
        <v>94.764124799999934</v>
      </c>
      <c r="DN65" s="45">
        <f t="shared" si="7"/>
        <v>486.01299424999985</v>
      </c>
      <c r="DO65" s="45">
        <v>486.09943500000003</v>
      </c>
      <c r="DP65" s="45">
        <v>43.15378905</v>
      </c>
      <c r="DQ65" s="45">
        <v>21.394499439999997</v>
      </c>
      <c r="DR65" s="45">
        <v>20.330182839999992</v>
      </c>
      <c r="DS65" s="45">
        <v>21.973890399999991</v>
      </c>
      <c r="DT65" s="45">
        <v>24.490946079999997</v>
      </c>
      <c r="DU65" s="45">
        <v>30.044130179999982</v>
      </c>
      <c r="DV65" s="45">
        <v>47.685712259999981</v>
      </c>
      <c r="DW65" s="45">
        <v>54.99081126999998</v>
      </c>
      <c r="DX65" s="45">
        <v>43.780236939999995</v>
      </c>
      <c r="DY65" s="45">
        <v>39.122269150000022</v>
      </c>
      <c r="DZ65" s="45">
        <v>60.548852280000006</v>
      </c>
      <c r="EA65" s="45">
        <v>97.466568849999987</v>
      </c>
      <c r="EB65" s="45">
        <f t="shared" si="10"/>
        <v>504.98188873999993</v>
      </c>
      <c r="EC65" s="45">
        <v>504.97416199999998</v>
      </c>
      <c r="ED65" s="45">
        <v>51.338077349999992</v>
      </c>
      <c r="EE65" s="45">
        <v>14.496682820000002</v>
      </c>
      <c r="EF65" s="45">
        <v>14.948126609999999</v>
      </c>
      <c r="EG65" s="45">
        <v>26.946308440000003</v>
      </c>
      <c r="EH65" s="45">
        <v>24.772223969999988</v>
      </c>
      <c r="EI65" s="45">
        <v>25.314367980000018</v>
      </c>
      <c r="EJ65" s="45">
        <v>52.842069480000013</v>
      </c>
      <c r="EK65" s="45">
        <v>43.360490849999891</v>
      </c>
      <c r="EL65" s="45">
        <v>58.995823399999971</v>
      </c>
      <c r="EM65" s="45">
        <v>77.280448390000018</v>
      </c>
      <c r="EN65" s="45">
        <v>49.561901600000006</v>
      </c>
      <c r="EO65" s="45">
        <v>138.14842120999992</v>
      </c>
      <c r="EP65" s="45">
        <f t="shared" si="11"/>
        <v>578.00494209999988</v>
      </c>
      <c r="EQ65" s="45">
        <v>578.056423</v>
      </c>
      <c r="ER65" s="45">
        <v>30.030754000000002</v>
      </c>
      <c r="ES65" s="42">
        <v>22.555006700000014</v>
      </c>
      <c r="ET65" s="45">
        <v>19.535120999999997</v>
      </c>
      <c r="EU65" s="42">
        <v>18.058886000000012</v>
      </c>
      <c r="EV65" s="42">
        <v>22.706443299999965</v>
      </c>
      <c r="EW65" s="42">
        <v>30.775899000000006</v>
      </c>
      <c r="EX65" s="42">
        <v>57.807551880000013</v>
      </c>
      <c r="EY65" s="42">
        <v>64.951438809999999</v>
      </c>
      <c r="EZ65" s="42">
        <v>60.640788900000004</v>
      </c>
      <c r="FA65" s="42">
        <v>56.127983579999992</v>
      </c>
      <c r="FB65" s="42">
        <v>70.361049530000003</v>
      </c>
      <c r="FC65" s="42">
        <v>132.3879464500001</v>
      </c>
      <c r="FD65" s="45">
        <f t="shared" si="12"/>
        <v>585.93886915000007</v>
      </c>
      <c r="FE65" s="45">
        <v>585.91382399999998</v>
      </c>
      <c r="FF65" s="45">
        <v>18.611827999999999</v>
      </c>
      <c r="FG65" s="45">
        <v>19.247264999999999</v>
      </c>
      <c r="FH65" s="45">
        <v>31.689490549999988</v>
      </c>
      <c r="FI65" s="45">
        <v>32.964179999999999</v>
      </c>
      <c r="FJ65" s="45">
        <v>22.022685470000013</v>
      </c>
      <c r="FK65" s="45">
        <v>46.104436429999993</v>
      </c>
      <c r="FL65" s="45">
        <v>58.693410850000006</v>
      </c>
      <c r="FM65" s="45">
        <v>66.913373249999964</v>
      </c>
      <c r="FN65" s="45">
        <v>60.321509610000014</v>
      </c>
      <c r="FO65" s="45">
        <v>61.989120480000018</v>
      </c>
      <c r="FP65" s="45">
        <v>66.338645469999975</v>
      </c>
      <c r="FQ65" s="45">
        <v>173.67998199999997</v>
      </c>
      <c r="FR65" s="45">
        <f t="shared" si="13"/>
        <v>658.57592710999995</v>
      </c>
      <c r="FS65" s="45">
        <v>658.51855399999999</v>
      </c>
      <c r="FT65" s="45">
        <v>52.426246330000005</v>
      </c>
      <c r="FU65" s="45">
        <v>29.915181279999999</v>
      </c>
      <c r="FV65" s="45">
        <v>34.596336829999998</v>
      </c>
      <c r="FW65" s="45">
        <v>50.985220759999997</v>
      </c>
      <c r="FX65" s="45">
        <v>47.197631370000018</v>
      </c>
      <c r="FY65" s="45">
        <v>75.716400460000003</v>
      </c>
      <c r="FZ65" s="45">
        <v>66.061675989999998</v>
      </c>
      <c r="GA65" s="45">
        <v>79.775424730000026</v>
      </c>
      <c r="GB65" s="45">
        <v>65.540898759999976</v>
      </c>
      <c r="GC65" s="45">
        <v>70.503411499999984</v>
      </c>
      <c r="GD65" s="45">
        <v>53.058470179999972</v>
      </c>
      <c r="GE65" s="45">
        <v>193.63816998999999</v>
      </c>
      <c r="GF65" s="45">
        <f t="shared" si="14"/>
        <v>819.41506817999993</v>
      </c>
      <c r="GG65" s="45">
        <v>819.48942199999999</v>
      </c>
      <c r="GH65" s="45">
        <v>44.434615329999993</v>
      </c>
      <c r="GI65" s="45">
        <v>173.46696508000002</v>
      </c>
      <c r="GJ65" s="45">
        <v>27.967087509999988</v>
      </c>
      <c r="GK65" s="45">
        <v>66.981689889999984</v>
      </c>
      <c r="GL65" s="45">
        <v>50.988269260000003</v>
      </c>
      <c r="GM65" s="45">
        <v>54.944541940000022</v>
      </c>
      <c r="GN65" s="45">
        <v>80.517022999999995</v>
      </c>
      <c r="GO65" s="45">
        <v>69.682103249999997</v>
      </c>
      <c r="GP65" s="45">
        <v>84.34557254000002</v>
      </c>
      <c r="GQ65" s="45">
        <v>112.08245194000003</v>
      </c>
      <c r="GR65" s="45">
        <v>72.34777333000001</v>
      </c>
      <c r="GS65" s="45">
        <v>153.73837814000012</v>
      </c>
      <c r="GT65" s="45">
        <f t="shared" si="20"/>
        <v>991.49647121000021</v>
      </c>
      <c r="GU65" s="45">
        <v>991.49733800000001</v>
      </c>
      <c r="GV65" s="45">
        <v>66.778421539999968</v>
      </c>
      <c r="GW65" s="45">
        <v>60.510854170000009</v>
      </c>
      <c r="GX65" s="45">
        <v>122.024237</v>
      </c>
      <c r="GY65" s="45">
        <v>82.716035000000005</v>
      </c>
      <c r="GZ65" s="45">
        <v>59.403177979999995</v>
      </c>
      <c r="HA65" s="45">
        <v>115.75775499</v>
      </c>
      <c r="HB65" s="45">
        <v>82.618279179999959</v>
      </c>
      <c r="HC65" s="45">
        <v>74.355019220000003</v>
      </c>
      <c r="HD65" s="45">
        <v>93.915585599999986</v>
      </c>
      <c r="HE65" s="45">
        <v>92.259218000000004</v>
      </c>
      <c r="HF65" s="45">
        <v>89.196431340000004</v>
      </c>
      <c r="HG65" s="45">
        <v>208.08071559999985</v>
      </c>
      <c r="HH65" s="45">
        <f t="shared" si="15"/>
        <v>1147.6157296199999</v>
      </c>
      <c r="HI65" s="45">
        <v>141.31021530000001</v>
      </c>
      <c r="HJ65" s="45">
        <v>130.42551724999998</v>
      </c>
      <c r="HK65" s="45">
        <v>149.38708158</v>
      </c>
      <c r="HL65" s="45">
        <v>45.212928610000006</v>
      </c>
      <c r="HM65" s="45"/>
      <c r="HN65" s="45"/>
      <c r="HO65" s="45"/>
      <c r="HP65" s="45"/>
      <c r="HQ65" s="45"/>
      <c r="HR65" s="45"/>
      <c r="HS65" s="45"/>
      <c r="HT65" s="45"/>
      <c r="HU65" s="283">
        <f t="shared" si="16"/>
        <v>332.02954799999998</v>
      </c>
      <c r="HV65" s="283">
        <f t="shared" si="17"/>
        <v>466.33574299999998</v>
      </c>
      <c r="HW65" s="280">
        <f t="shared" si="30"/>
        <v>134.306195</v>
      </c>
      <c r="HX65" s="280">
        <f t="shared" si="38"/>
        <v>40.450073136261977</v>
      </c>
    </row>
    <row r="66" spans="1:232" s="12" customFormat="1" ht="20.5">
      <c r="A66" s="46" t="s">
        <v>171</v>
      </c>
      <c r="B66" s="13" t="s">
        <v>172</v>
      </c>
      <c r="C66" s="46" t="s">
        <v>173</v>
      </c>
      <c r="D66" s="42">
        <v>39.942026510947578</v>
      </c>
      <c r="E66" s="42">
        <v>54.672456332064137</v>
      </c>
      <c r="F66" s="42">
        <v>127.44209196305087</v>
      </c>
      <c r="G66" s="42">
        <v>148.05813142782341</v>
      </c>
      <c r="H66" s="42">
        <v>0.81893226276458297</v>
      </c>
      <c r="I66" s="42">
        <v>3.4059623593491213</v>
      </c>
      <c r="J66" s="42">
        <v>8.2794274790695557</v>
      </c>
      <c r="K66" s="42">
        <v>7.6411225035714088</v>
      </c>
      <c r="L66" s="42">
        <v>7.4658377015497921</v>
      </c>
      <c r="M66" s="42">
        <v>7.619747468711048</v>
      </c>
      <c r="N66" s="42">
        <v>12.51623069874389</v>
      </c>
      <c r="O66" s="42">
        <v>12.807432797764385</v>
      </c>
      <c r="P66" s="42">
        <v>18.149528175707594</v>
      </c>
      <c r="Q66" s="42">
        <v>10.556478292667657</v>
      </c>
      <c r="R66" s="42">
        <v>14.822803768902853</v>
      </c>
      <c r="S66" s="42">
        <v>38.119529271318896</v>
      </c>
      <c r="T66" s="42">
        <v>142.20303278012079</v>
      </c>
      <c r="U66" s="42">
        <v>142.20303527014647</v>
      </c>
      <c r="V66" s="42">
        <v>15.035845797690396</v>
      </c>
      <c r="W66" s="42">
        <v>10.394759321233231</v>
      </c>
      <c r="X66" s="42">
        <v>13.348620497322155</v>
      </c>
      <c r="Y66" s="42">
        <v>9.7107216236674798</v>
      </c>
      <c r="Z66" s="42">
        <v>8.3688525107995968</v>
      </c>
      <c r="AA66" s="42">
        <v>4.5695272081547635</v>
      </c>
      <c r="AB66" s="42">
        <v>7.3909311842277505</v>
      </c>
      <c r="AC66" s="42">
        <v>9.4476681976767356</v>
      </c>
      <c r="AD66" s="42">
        <v>9.4258100409217924</v>
      </c>
      <c r="AE66" s="42">
        <v>10.766632190482694</v>
      </c>
      <c r="AF66" s="42">
        <v>12.165431613935034</v>
      </c>
      <c r="AG66" s="42">
        <v>25.581442336696995</v>
      </c>
      <c r="AH66" s="42">
        <v>136.20624252280862</v>
      </c>
      <c r="AI66" s="42">
        <v>136.55061439604782</v>
      </c>
      <c r="AJ66" s="42">
        <v>3.1711743245627515</v>
      </c>
      <c r="AK66" s="42">
        <v>8.1190817923631613</v>
      </c>
      <c r="AL66" s="42">
        <v>8.4755054182958549</v>
      </c>
      <c r="AM66" s="42">
        <v>11.448799380766189</v>
      </c>
      <c r="AN66" s="42">
        <v>13.774696786017154</v>
      </c>
      <c r="AO66" s="42">
        <v>22.170230021456909</v>
      </c>
      <c r="AP66" s="42">
        <v>8.4815866158986015</v>
      </c>
      <c r="AQ66" s="42">
        <v>13.6942719164945</v>
      </c>
      <c r="AR66" s="42">
        <v>16.486236560975748</v>
      </c>
      <c r="AS66" s="42">
        <v>13.341507731885418</v>
      </c>
      <c r="AT66" s="42">
        <v>16.203765203385299</v>
      </c>
      <c r="AU66" s="42">
        <v>25.835584316537755</v>
      </c>
      <c r="AV66" s="42">
        <v>161.20244006863933</v>
      </c>
      <c r="AW66" s="42">
        <v>161.20243908685779</v>
      </c>
      <c r="AX66" s="42">
        <f>AX67+AX69+AX68</f>
        <v>10.302064</v>
      </c>
      <c r="AY66" s="42">
        <f>AY67+AY69+AY68</f>
        <v>9.4567770000000007</v>
      </c>
      <c r="AZ66" s="42">
        <f t="shared" ref="AZ66:BG66" si="41">AZ67+AZ69+AZ68</f>
        <v>8.7266790699999994</v>
      </c>
      <c r="BA66" s="42">
        <f t="shared" si="41"/>
        <v>9.3012110599999982</v>
      </c>
      <c r="BB66" s="42">
        <f t="shared" si="41"/>
        <v>6.3298446000000013</v>
      </c>
      <c r="BC66" s="42">
        <f t="shared" si="41"/>
        <v>7.8399573100000008</v>
      </c>
      <c r="BD66" s="42">
        <f t="shared" si="41"/>
        <v>7.6855831599999984</v>
      </c>
      <c r="BE66" s="42">
        <f t="shared" si="41"/>
        <v>9.0579656900000014</v>
      </c>
      <c r="BF66" s="42">
        <f t="shared" si="41"/>
        <v>9.4680700699999996</v>
      </c>
      <c r="BG66" s="42">
        <f t="shared" si="41"/>
        <v>9.5605870599999978</v>
      </c>
      <c r="BH66" s="42">
        <f>BH67+BH69+BH68</f>
        <v>11.472064249999999</v>
      </c>
      <c r="BI66" s="42">
        <f>BI67+BI69+BI68</f>
        <v>21.606345269999998</v>
      </c>
      <c r="BJ66" s="45">
        <f t="shared" si="28"/>
        <v>120.80714854000001</v>
      </c>
      <c r="BK66" s="42">
        <f>BK67+BK69+BK68</f>
        <v>120.807149</v>
      </c>
      <c r="BL66" s="42">
        <f>BL67+BL69+BL68</f>
        <v>2.9198011100000003</v>
      </c>
      <c r="BM66" s="42">
        <v>7.2996193100000006</v>
      </c>
      <c r="BN66" s="42">
        <v>7.4198449799999997</v>
      </c>
      <c r="BO66" s="42">
        <v>5.1678493800000007</v>
      </c>
      <c r="BP66" s="42">
        <v>5.9719600100000001</v>
      </c>
      <c r="BQ66" s="42">
        <v>3.5871121000000006</v>
      </c>
      <c r="BR66" s="42">
        <v>5.2071244200000004</v>
      </c>
      <c r="BS66" s="42">
        <v>4.00876243</v>
      </c>
      <c r="BT66" s="42">
        <v>5.16401574</v>
      </c>
      <c r="BU66" s="42">
        <v>5.0267697900000012</v>
      </c>
      <c r="BV66" s="42">
        <v>5.6243101700000002</v>
      </c>
      <c r="BW66" s="42">
        <v>21.209382449999996</v>
      </c>
      <c r="BX66" s="45">
        <f t="shared" si="4"/>
        <v>78.606551889999992</v>
      </c>
      <c r="BY66" s="45">
        <f>BY67+BY69+BY68</f>
        <v>78.606551999999994</v>
      </c>
      <c r="BZ66" s="45">
        <v>1.2306559000000001</v>
      </c>
      <c r="CA66" s="45">
        <v>2.3953453100000002</v>
      </c>
      <c r="CB66" s="45">
        <v>4.5200711099999991</v>
      </c>
      <c r="CC66" s="45">
        <v>3.5691122399999999</v>
      </c>
      <c r="CD66" s="45">
        <v>2.0978771699999998</v>
      </c>
      <c r="CE66" s="45">
        <v>0.19400194000000001</v>
      </c>
      <c r="CF66" s="45">
        <v>0.18923255999999999</v>
      </c>
      <c r="CG66" s="45">
        <v>1.00082274</v>
      </c>
      <c r="CH66" s="45">
        <v>2.2873036600000001</v>
      </c>
      <c r="CI66" s="45">
        <v>1.13938082</v>
      </c>
      <c r="CJ66" s="45">
        <v>0.77415725999999996</v>
      </c>
      <c r="CK66" s="45">
        <v>12.9384906</v>
      </c>
      <c r="CL66" s="45">
        <f t="shared" si="5"/>
        <v>32.336451309999994</v>
      </c>
      <c r="CM66" s="45">
        <f>CM67+CM69+CM68</f>
        <v>32.336449999999999</v>
      </c>
      <c r="CN66" s="45">
        <v>0.72292333000000009</v>
      </c>
      <c r="CO66" s="45">
        <v>0.57217587000000003</v>
      </c>
      <c r="CP66" s="45">
        <v>3.2054414599999994</v>
      </c>
      <c r="CQ66" s="45">
        <v>6.9337257699999997</v>
      </c>
      <c r="CR66" s="45">
        <v>12.707247630000001</v>
      </c>
      <c r="CS66" s="45">
        <v>9.4575620399999991</v>
      </c>
      <c r="CT66" s="45">
        <v>9.4442628400000004</v>
      </c>
      <c r="CU66" s="45">
        <v>11.034493490000001</v>
      </c>
      <c r="CV66" s="45">
        <v>12.708601060000001</v>
      </c>
      <c r="CW66" s="45">
        <v>11.085911939999999</v>
      </c>
      <c r="CX66" s="45">
        <v>8.882151480000001</v>
      </c>
      <c r="CY66" s="45">
        <v>21.53265317</v>
      </c>
      <c r="CZ66" s="45">
        <f t="shared" si="6"/>
        <v>108.28715008000002</v>
      </c>
      <c r="DA66" s="45">
        <f>DA67+DA69+DA68</f>
        <v>108.28715100000001</v>
      </c>
      <c r="DB66" s="45">
        <v>8.2101430900000008</v>
      </c>
      <c r="DC66" s="45">
        <v>10.316809019999999</v>
      </c>
      <c r="DD66" s="45">
        <v>12.46955584</v>
      </c>
      <c r="DE66" s="45">
        <v>13.627066280000001</v>
      </c>
      <c r="DF66" s="45">
        <v>15.305792589999999</v>
      </c>
      <c r="DG66" s="45">
        <v>18.008486909999998</v>
      </c>
      <c r="DH66" s="45">
        <v>23.367811569999997</v>
      </c>
      <c r="DI66" s="45">
        <v>18.217479230000006</v>
      </c>
      <c r="DJ66" s="45">
        <v>17.895564240000002</v>
      </c>
      <c r="DK66" s="45">
        <v>21.672435780000001</v>
      </c>
      <c r="DL66" s="45">
        <v>21.927475469999997</v>
      </c>
      <c r="DM66" s="45">
        <v>26.09468279</v>
      </c>
      <c r="DN66" s="45">
        <f t="shared" si="7"/>
        <v>207.11330281000002</v>
      </c>
      <c r="DO66" s="45">
        <f>DO67+DO69+DO68</f>
        <v>207.113302</v>
      </c>
      <c r="DP66" s="45">
        <v>26.903115119999999</v>
      </c>
      <c r="DQ66" s="45">
        <v>22.510664890000001</v>
      </c>
      <c r="DR66" s="45">
        <v>25.68092321</v>
      </c>
      <c r="DS66" s="45">
        <v>11.93164958</v>
      </c>
      <c r="DT66" s="45">
        <v>16.827981489999999</v>
      </c>
      <c r="DU66" s="45">
        <v>17.282665390000002</v>
      </c>
      <c r="DV66" s="45">
        <v>22.17357067</v>
      </c>
      <c r="DW66" s="45">
        <v>16.523238299999999</v>
      </c>
      <c r="DX66" s="45">
        <v>13.250993069999998</v>
      </c>
      <c r="DY66" s="45">
        <v>18.131518880000002</v>
      </c>
      <c r="DZ66" s="45">
        <v>13.57823254</v>
      </c>
      <c r="EA66" s="45">
        <v>29.33279405</v>
      </c>
      <c r="EB66" s="45">
        <f t="shared" si="10"/>
        <v>234.12734718999999</v>
      </c>
      <c r="EC66" s="45">
        <f>EC67+EC69+EC68</f>
        <v>234.12734699999999</v>
      </c>
      <c r="ED66" s="45">
        <v>28.591494200000003</v>
      </c>
      <c r="EE66" s="45">
        <v>14.294165889999997</v>
      </c>
      <c r="EF66" s="45">
        <v>21.358377789999999</v>
      </c>
      <c r="EG66" s="45">
        <v>11.06065313</v>
      </c>
      <c r="EH66" s="45">
        <v>11.95620751</v>
      </c>
      <c r="EI66" s="45">
        <v>13.123990989999999</v>
      </c>
      <c r="EJ66" s="45">
        <v>22.408141409999999</v>
      </c>
      <c r="EK66" s="45">
        <v>12.98000266</v>
      </c>
      <c r="EL66" s="45">
        <v>12.175127530000001</v>
      </c>
      <c r="EM66" s="45">
        <v>6.2519265900000001</v>
      </c>
      <c r="EN66" s="45">
        <v>10.66171527</v>
      </c>
      <c r="EO66" s="45">
        <v>30.13797087</v>
      </c>
      <c r="EP66" s="45">
        <f t="shared" si="11"/>
        <v>194.99977384000002</v>
      </c>
      <c r="EQ66" s="45">
        <f>EQ67+EQ69+EQ68</f>
        <v>194.999774</v>
      </c>
      <c r="ER66" s="45">
        <v>10.774666600000002</v>
      </c>
      <c r="ES66" s="42">
        <v>15.672000689999997</v>
      </c>
      <c r="ET66" s="45">
        <v>9.516486089999999</v>
      </c>
      <c r="EU66" s="42">
        <v>16.198720719999997</v>
      </c>
      <c r="EV66" s="42">
        <v>17.964184639999999</v>
      </c>
      <c r="EW66" s="42">
        <v>26.358679250000002</v>
      </c>
      <c r="EX66" s="42">
        <v>27.74580169</v>
      </c>
      <c r="EY66" s="42">
        <v>11.92991926</v>
      </c>
      <c r="EZ66" s="42">
        <v>15.098715</v>
      </c>
      <c r="FA66" s="42">
        <v>11.85877728</v>
      </c>
      <c r="FB66" s="42">
        <v>13.524018999999999</v>
      </c>
      <c r="FC66" s="42">
        <v>22.346853150000001</v>
      </c>
      <c r="FD66" s="45">
        <f t="shared" si="12"/>
        <v>198.98882336999998</v>
      </c>
      <c r="FE66" s="45">
        <f>FE67+FE69+FE68</f>
        <v>198.985063</v>
      </c>
      <c r="FF66" s="45">
        <v>14.242215760000001</v>
      </c>
      <c r="FG66" s="45">
        <v>9.0759687299999996</v>
      </c>
      <c r="FH66" s="45">
        <v>13.29254422</v>
      </c>
      <c r="FI66" s="45">
        <v>13.064451999999999</v>
      </c>
      <c r="FJ66" s="45">
        <v>3.3084098899999996</v>
      </c>
      <c r="FK66" s="45">
        <v>11.853170930000001</v>
      </c>
      <c r="FL66" s="45">
        <v>31.16764972</v>
      </c>
      <c r="FM66" s="45">
        <v>8.4986418999999991</v>
      </c>
      <c r="FN66" s="45">
        <v>8.4463408700000002</v>
      </c>
      <c r="FO66" s="45">
        <v>25.298289010000001</v>
      </c>
      <c r="FP66" s="45">
        <v>7.9720757200000003</v>
      </c>
      <c r="FQ66" s="45">
        <v>10.708479929999999</v>
      </c>
      <c r="FR66" s="45">
        <f t="shared" si="13"/>
        <v>156.92823867999999</v>
      </c>
      <c r="FS66" s="45">
        <f>FS67+FS69+FS68</f>
        <v>156.92823799999999</v>
      </c>
      <c r="FT66" s="45">
        <v>16.762217969999998</v>
      </c>
      <c r="FU66" s="45">
        <v>5.1270317899999993</v>
      </c>
      <c r="FV66" s="45">
        <v>9.9498272100000005</v>
      </c>
      <c r="FW66" s="45">
        <v>12.122223199999999</v>
      </c>
      <c r="FX66" s="45">
        <v>11.282701300000001</v>
      </c>
      <c r="FY66" s="45">
        <v>21.951085420000002</v>
      </c>
      <c r="FZ66" s="45">
        <v>29.206286720000001</v>
      </c>
      <c r="GA66" s="45">
        <v>9.4346165299999978</v>
      </c>
      <c r="GB66" s="45">
        <v>15.565817850000002</v>
      </c>
      <c r="GC66" s="45">
        <v>11.298763310000002</v>
      </c>
      <c r="GD66" s="45">
        <v>4.6355039100000006</v>
      </c>
      <c r="GE66" s="45">
        <v>10.862277359999998</v>
      </c>
      <c r="GF66" s="45">
        <f t="shared" si="14"/>
        <v>158.19835257000003</v>
      </c>
      <c r="GG66" s="45">
        <f>GG67+GG69+GG68</f>
        <v>158.198351</v>
      </c>
      <c r="GH66" s="45">
        <v>5.9540738400000004</v>
      </c>
      <c r="GI66" s="45">
        <v>3.1827540200000004</v>
      </c>
      <c r="GJ66" s="45">
        <v>5.0397967000000001</v>
      </c>
      <c r="GK66" s="45">
        <v>19.270604059999997</v>
      </c>
      <c r="GL66" s="45">
        <v>4.55720247</v>
      </c>
      <c r="GM66" s="45">
        <v>6.4455666200000001</v>
      </c>
      <c r="GN66" s="45">
        <v>19.327127000000001</v>
      </c>
      <c r="GO66" s="45">
        <v>25.181896729999998</v>
      </c>
      <c r="GP66" s="45">
        <v>7.9113145199999995</v>
      </c>
      <c r="GQ66" s="45">
        <v>7.07540938</v>
      </c>
      <c r="GR66" s="45">
        <v>7.1933255399999991</v>
      </c>
      <c r="GS66" s="45">
        <v>20.831806489999995</v>
      </c>
      <c r="GT66" s="45">
        <f t="shared" si="20"/>
        <v>131.97087736999998</v>
      </c>
      <c r="GU66" s="45">
        <f>GU67+GU69+GU68</f>
        <v>131.970879</v>
      </c>
      <c r="GV66" s="45">
        <v>38.996791160000001</v>
      </c>
      <c r="GW66" s="45">
        <v>13.83501779</v>
      </c>
      <c r="GX66" s="45">
        <v>8.2572823599999996</v>
      </c>
      <c r="GY66" s="45">
        <v>25.434455409999998</v>
      </c>
      <c r="GZ66" s="45">
        <v>13.794668719999999</v>
      </c>
      <c r="HA66" s="45">
        <v>35.607694009999996</v>
      </c>
      <c r="HB66" s="45">
        <v>26.068512630000001</v>
      </c>
      <c r="HC66" s="45">
        <v>23.474775170000001</v>
      </c>
      <c r="HD66" s="45">
        <v>12.06630419</v>
      </c>
      <c r="HE66" s="45">
        <v>44.911484000000002</v>
      </c>
      <c r="HF66" s="45">
        <v>12.318263779999999</v>
      </c>
      <c r="HG66" s="45">
        <v>16.986111000000001</v>
      </c>
      <c r="HH66" s="45">
        <f t="shared" si="15"/>
        <v>271.75136021999998</v>
      </c>
      <c r="HI66" s="45">
        <v>25.19263436</v>
      </c>
      <c r="HJ66" s="45">
        <v>13.290276779999999</v>
      </c>
      <c r="HK66" s="45">
        <v>11.629887719999999</v>
      </c>
      <c r="HL66" s="45">
        <v>14.37172024</v>
      </c>
      <c r="HM66" s="45"/>
      <c r="HN66" s="45"/>
      <c r="HO66" s="45"/>
      <c r="HP66" s="45"/>
      <c r="HQ66" s="45"/>
      <c r="HR66" s="45"/>
      <c r="HS66" s="45"/>
      <c r="HT66" s="45"/>
      <c r="HU66" s="283">
        <f t="shared" si="16"/>
        <v>86.523546999999994</v>
      </c>
      <c r="HV66" s="283">
        <f t="shared" si="17"/>
        <v>64.484519000000006</v>
      </c>
      <c r="HW66" s="280">
        <f t="shared" si="30"/>
        <v>-22.039027999999988</v>
      </c>
      <c r="HX66" s="280">
        <f t="shared" si="38"/>
        <v>-25.471711186320164</v>
      </c>
    </row>
    <row r="67" spans="1:232" s="12" customFormat="1" ht="21.65" hidden="1" customHeight="1">
      <c r="A67" s="47" t="s">
        <v>102</v>
      </c>
      <c r="B67" s="13" t="s">
        <v>174</v>
      </c>
      <c r="C67" s="56" t="s">
        <v>175</v>
      </c>
      <c r="D67" s="44">
        <v>9.8889590838982144</v>
      </c>
      <c r="E67" s="44">
        <v>54.672456332064137</v>
      </c>
      <c r="F67" s="44" t="s">
        <v>46</v>
      </c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>
        <v>0</v>
      </c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>
        <v>0</v>
      </c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 t="s">
        <v>46</v>
      </c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50"/>
      <c r="BK67" s="44"/>
      <c r="BL67" s="44"/>
      <c r="BM67" s="42">
        <v>0</v>
      </c>
      <c r="BN67" s="42">
        <v>0</v>
      </c>
      <c r="BO67" s="42">
        <v>0</v>
      </c>
      <c r="BP67" s="42">
        <v>0</v>
      </c>
      <c r="BQ67" s="42">
        <v>0</v>
      </c>
      <c r="BR67" s="42">
        <v>0</v>
      </c>
      <c r="BS67" s="42">
        <v>0</v>
      </c>
      <c r="BT67" s="42">
        <v>0</v>
      </c>
      <c r="BU67" s="42">
        <v>0</v>
      </c>
      <c r="BV67" s="42">
        <v>0</v>
      </c>
      <c r="BW67" s="42">
        <v>0</v>
      </c>
      <c r="BX67" s="45">
        <f t="shared" si="4"/>
        <v>0</v>
      </c>
      <c r="BY67" s="45"/>
      <c r="BZ67" s="45">
        <v>0</v>
      </c>
      <c r="CA67" s="45">
        <v>0</v>
      </c>
      <c r="CB67" s="45">
        <v>0</v>
      </c>
      <c r="CC67" s="45">
        <v>0</v>
      </c>
      <c r="CD67" s="45">
        <v>0</v>
      </c>
      <c r="CE67" s="45">
        <v>0</v>
      </c>
      <c r="CF67" s="45">
        <v>0</v>
      </c>
      <c r="CG67" s="45">
        <v>0</v>
      </c>
      <c r="CH67" s="45">
        <v>0</v>
      </c>
      <c r="CI67" s="45">
        <v>0</v>
      </c>
      <c r="CJ67" s="45">
        <v>0</v>
      </c>
      <c r="CK67" s="45">
        <v>0</v>
      </c>
      <c r="CL67" s="45">
        <f t="shared" si="5"/>
        <v>0</v>
      </c>
      <c r="CM67" s="45"/>
      <c r="CN67" s="45">
        <v>0</v>
      </c>
      <c r="CO67" s="45">
        <v>0</v>
      </c>
      <c r="CP67" s="45">
        <v>0</v>
      </c>
      <c r="CQ67" s="45">
        <v>0</v>
      </c>
      <c r="CR67" s="45">
        <v>0</v>
      </c>
      <c r="CS67" s="45">
        <v>0</v>
      </c>
      <c r="CT67" s="45">
        <v>0</v>
      </c>
      <c r="CU67" s="45">
        <v>0</v>
      </c>
      <c r="CV67" s="45">
        <v>0</v>
      </c>
      <c r="CW67" s="45">
        <v>0</v>
      </c>
      <c r="CX67" s="45">
        <v>0</v>
      </c>
      <c r="CY67" s="45">
        <v>0</v>
      </c>
      <c r="CZ67" s="45">
        <f t="shared" si="6"/>
        <v>0</v>
      </c>
      <c r="DA67" s="45"/>
      <c r="DB67" s="45">
        <v>0</v>
      </c>
      <c r="DC67" s="45">
        <v>0</v>
      </c>
      <c r="DD67" s="45">
        <v>0</v>
      </c>
      <c r="DE67" s="45">
        <v>0</v>
      </c>
      <c r="DF67" s="45">
        <v>0</v>
      </c>
      <c r="DG67" s="45">
        <v>0</v>
      </c>
      <c r="DH67" s="45">
        <v>0</v>
      </c>
      <c r="DI67" s="45">
        <v>0</v>
      </c>
      <c r="DJ67" s="45">
        <v>0</v>
      </c>
      <c r="DK67" s="45">
        <v>0</v>
      </c>
      <c r="DL67" s="45">
        <v>0</v>
      </c>
      <c r="DM67" s="45">
        <v>0</v>
      </c>
      <c r="DN67" s="45">
        <f t="shared" si="7"/>
        <v>0</v>
      </c>
      <c r="DO67" s="45"/>
      <c r="DP67" s="45">
        <v>0</v>
      </c>
      <c r="DQ67" s="45">
        <v>0</v>
      </c>
      <c r="DR67" s="45">
        <v>0</v>
      </c>
      <c r="DS67" s="45">
        <v>0</v>
      </c>
      <c r="DT67" s="45">
        <v>0</v>
      </c>
      <c r="DU67" s="45">
        <v>0</v>
      </c>
      <c r="DV67" s="45">
        <v>0</v>
      </c>
      <c r="DW67" s="45">
        <v>0</v>
      </c>
      <c r="DX67" s="45">
        <v>0</v>
      </c>
      <c r="DY67" s="45">
        <v>0</v>
      </c>
      <c r="DZ67" s="45">
        <v>0</v>
      </c>
      <c r="EA67" s="45">
        <v>0</v>
      </c>
      <c r="EB67" s="45">
        <f t="shared" si="10"/>
        <v>0</v>
      </c>
      <c r="EC67" s="45"/>
      <c r="ED67" s="45">
        <v>0</v>
      </c>
      <c r="EE67" s="45">
        <v>0</v>
      </c>
      <c r="EF67" s="45">
        <v>0</v>
      </c>
      <c r="EG67" s="45">
        <v>0</v>
      </c>
      <c r="EH67" s="45">
        <v>0</v>
      </c>
      <c r="EI67" s="45">
        <v>0</v>
      </c>
      <c r="EJ67" s="45">
        <v>0</v>
      </c>
      <c r="EK67" s="45">
        <v>0</v>
      </c>
      <c r="EL67" s="45">
        <v>0</v>
      </c>
      <c r="EM67" s="45">
        <v>0</v>
      </c>
      <c r="EN67" s="45">
        <v>0</v>
      </c>
      <c r="EO67" s="45">
        <v>0</v>
      </c>
      <c r="EP67" s="45">
        <f t="shared" si="11"/>
        <v>0</v>
      </c>
      <c r="EQ67" s="45"/>
      <c r="ER67" s="45">
        <v>0</v>
      </c>
      <c r="ES67" s="42">
        <v>0</v>
      </c>
      <c r="ET67" s="45">
        <v>0</v>
      </c>
      <c r="EU67" s="42">
        <v>0</v>
      </c>
      <c r="EV67" s="42">
        <v>0</v>
      </c>
      <c r="EW67" s="42">
        <v>0</v>
      </c>
      <c r="EX67" s="42">
        <v>0</v>
      </c>
      <c r="EY67" s="42">
        <v>0</v>
      </c>
      <c r="EZ67" s="42">
        <v>0</v>
      </c>
      <c r="FA67" s="42">
        <v>0</v>
      </c>
      <c r="FB67" s="42"/>
      <c r="FC67" s="42"/>
      <c r="FD67" s="45">
        <f t="shared" si="12"/>
        <v>0</v>
      </c>
      <c r="FE67" s="45"/>
      <c r="FF67" s="45"/>
      <c r="FG67" s="45"/>
      <c r="FH67" s="45"/>
      <c r="FI67" s="45"/>
      <c r="FJ67" s="45"/>
      <c r="FK67" s="45"/>
      <c r="FL67" s="45"/>
      <c r="FM67" s="45"/>
      <c r="FN67" s="45"/>
      <c r="FO67" s="45"/>
      <c r="FP67" s="45"/>
      <c r="FQ67" s="45"/>
      <c r="FR67" s="45">
        <f t="shared" si="13"/>
        <v>0</v>
      </c>
      <c r="FS67" s="45"/>
      <c r="FT67" s="45"/>
      <c r="FU67" s="45"/>
      <c r="FV67" s="45"/>
      <c r="FW67" s="45"/>
      <c r="FX67" s="45"/>
      <c r="FY67" s="45"/>
      <c r="FZ67" s="45"/>
      <c r="GA67" s="45"/>
      <c r="GB67" s="45"/>
      <c r="GC67" s="45"/>
      <c r="GD67" s="45"/>
      <c r="GE67" s="45"/>
      <c r="GF67" s="45">
        <f t="shared" si="14"/>
        <v>0</v>
      </c>
      <c r="GG67" s="45"/>
      <c r="GH67" s="45"/>
      <c r="GI67" s="45"/>
      <c r="GJ67" s="45"/>
      <c r="GK67" s="45"/>
      <c r="GL67" s="45"/>
      <c r="GM67" s="45"/>
      <c r="GN67" s="45"/>
      <c r="GO67" s="45"/>
      <c r="GP67" s="45"/>
      <c r="GQ67" s="45"/>
      <c r="GR67" s="45"/>
      <c r="GS67" s="45"/>
      <c r="GT67" s="45">
        <f t="shared" si="20"/>
        <v>0</v>
      </c>
      <c r="GU67" s="45"/>
      <c r="GV67" s="45"/>
      <c r="GW67" s="45"/>
      <c r="GX67" s="45"/>
      <c r="GY67" s="45"/>
      <c r="GZ67" s="45"/>
      <c r="HA67" s="45"/>
      <c r="HB67" s="45"/>
      <c r="HC67" s="45"/>
      <c r="HD67" s="45"/>
      <c r="HE67" s="45"/>
      <c r="HF67" s="45"/>
      <c r="HG67" s="45"/>
      <c r="HH67" s="45">
        <f t="shared" si="15"/>
        <v>0</v>
      </c>
      <c r="HI67" s="45"/>
      <c r="HJ67" s="45"/>
      <c r="HK67" s="45"/>
      <c r="HL67" s="45"/>
      <c r="HM67" s="45"/>
      <c r="HN67" s="45"/>
      <c r="HO67" s="45"/>
      <c r="HP67" s="45"/>
      <c r="HQ67" s="45"/>
      <c r="HR67" s="45"/>
      <c r="HS67" s="45"/>
      <c r="HT67" s="45"/>
      <c r="HU67" s="283">
        <f t="shared" si="16"/>
        <v>0</v>
      </c>
      <c r="HV67" s="283">
        <f t="shared" si="17"/>
        <v>0</v>
      </c>
      <c r="HW67" s="277">
        <f t="shared" si="30"/>
        <v>0</v>
      </c>
      <c r="HX67" s="277"/>
    </row>
    <row r="68" spans="1:232" s="12" customFormat="1" ht="20.5">
      <c r="A68" s="47" t="s">
        <v>105</v>
      </c>
      <c r="B68" s="13">
        <v>9200</v>
      </c>
      <c r="C68" s="47" t="s">
        <v>177</v>
      </c>
      <c r="D68" s="44">
        <v>30.053067427049363</v>
      </c>
      <c r="E68" s="44">
        <v>0</v>
      </c>
      <c r="F68" s="44" t="s">
        <v>46</v>
      </c>
      <c r="G68" s="42">
        <v>148.05813142782341</v>
      </c>
      <c r="H68" s="44">
        <v>0.81893226276458297</v>
      </c>
      <c r="I68" s="44">
        <v>3.4059623593491213</v>
      </c>
      <c r="J68" s="44">
        <v>8.2794274790695557</v>
      </c>
      <c r="K68" s="44">
        <v>7.6411225035714088</v>
      </c>
      <c r="L68" s="44">
        <v>7.4658377015497921</v>
      </c>
      <c r="M68" s="44">
        <v>7.619747468711048</v>
      </c>
      <c r="N68" s="44">
        <v>12.51623069874389</v>
      </c>
      <c r="O68" s="44">
        <v>12.807432797764385</v>
      </c>
      <c r="P68" s="44">
        <v>18.149528175707594</v>
      </c>
      <c r="Q68" s="44">
        <v>10.556478292667657</v>
      </c>
      <c r="R68" s="44">
        <v>14.822803768902853</v>
      </c>
      <c r="S68" s="44">
        <v>38.119529271318896</v>
      </c>
      <c r="T68" s="44">
        <v>0</v>
      </c>
      <c r="U68" s="42">
        <v>142.20303527014647</v>
      </c>
      <c r="V68" s="44">
        <v>15.035845797690396</v>
      </c>
      <c r="W68" s="44">
        <v>10.394759321233231</v>
      </c>
      <c r="X68" s="44">
        <v>13.348620497322155</v>
      </c>
      <c r="Y68" s="44">
        <v>9.7107216236674798</v>
      </c>
      <c r="Z68" s="44">
        <v>8.3688525107995968</v>
      </c>
      <c r="AA68" s="44">
        <v>4.5695272081547635</v>
      </c>
      <c r="AB68" s="44">
        <v>7.3909311842277505</v>
      </c>
      <c r="AC68" s="44">
        <v>9.4476681976767356</v>
      </c>
      <c r="AD68" s="44">
        <v>9.4258100409217924</v>
      </c>
      <c r="AE68" s="44">
        <v>10.766632190482694</v>
      </c>
      <c r="AF68" s="44">
        <v>12.165431613935034</v>
      </c>
      <c r="AG68" s="44">
        <v>25.581442336696995</v>
      </c>
      <c r="AH68" s="44">
        <v>0</v>
      </c>
      <c r="AI68" s="42">
        <v>136.55061439604782</v>
      </c>
      <c r="AJ68" s="44">
        <v>3.1711743245627515</v>
      </c>
      <c r="AK68" s="44">
        <v>8.1190817923631613</v>
      </c>
      <c r="AL68" s="44">
        <v>8.4755054182958549</v>
      </c>
      <c r="AM68" s="44">
        <v>11.448799380766189</v>
      </c>
      <c r="AN68" s="44">
        <v>13.774696786017154</v>
      </c>
      <c r="AO68" s="44">
        <v>22.170230021456909</v>
      </c>
      <c r="AP68" s="44">
        <v>8.4815866158986015</v>
      </c>
      <c r="AQ68" s="44">
        <v>13.6942719164945</v>
      </c>
      <c r="AR68" s="44">
        <v>16.486236560975748</v>
      </c>
      <c r="AS68" s="44">
        <v>13.341507731885418</v>
      </c>
      <c r="AT68" s="44">
        <v>16.203765203385299</v>
      </c>
      <c r="AU68" s="44">
        <v>25.835584316537755</v>
      </c>
      <c r="AV68" s="44" t="s">
        <v>46</v>
      </c>
      <c r="AW68" s="44">
        <v>161.20243908685779</v>
      </c>
      <c r="AX68" s="44">
        <v>10.302064</v>
      </c>
      <c r="AY68" s="44">
        <v>9.4567770000000007</v>
      </c>
      <c r="AZ68" s="44">
        <v>8.7266790699999994</v>
      </c>
      <c r="BA68" s="44">
        <v>9.3012110599999982</v>
      </c>
      <c r="BB68" s="44">
        <v>6.3298446000000013</v>
      </c>
      <c r="BC68" s="44">
        <v>7.8399573100000008</v>
      </c>
      <c r="BD68" s="44">
        <v>7.6855831599999984</v>
      </c>
      <c r="BE68" s="44">
        <v>9.0579656900000014</v>
      </c>
      <c r="BF68" s="44">
        <v>9.4680700699999996</v>
      </c>
      <c r="BG68" s="44">
        <v>9.5605870599999978</v>
      </c>
      <c r="BH68" s="44">
        <v>11.472064249999999</v>
      </c>
      <c r="BI68" s="44">
        <v>21.606345269999998</v>
      </c>
      <c r="BJ68" s="50">
        <f t="shared" si="28"/>
        <v>120.80714854000001</v>
      </c>
      <c r="BK68" s="44">
        <v>120.807149</v>
      </c>
      <c r="BL68" s="44">
        <v>2.9198011100000003</v>
      </c>
      <c r="BM68" s="42">
        <v>7.2996193100000006</v>
      </c>
      <c r="BN68" s="42">
        <v>7.4198449799999997</v>
      </c>
      <c r="BO68" s="42">
        <v>5.1678493800000007</v>
      </c>
      <c r="BP68" s="42">
        <v>5.9719600100000001</v>
      </c>
      <c r="BQ68" s="42">
        <v>3.5871121000000001</v>
      </c>
      <c r="BR68" s="42">
        <v>5.2071244200000004</v>
      </c>
      <c r="BS68" s="42">
        <v>4.00876243</v>
      </c>
      <c r="BT68" s="42">
        <v>5.16401574</v>
      </c>
      <c r="BU68" s="42">
        <v>5.0267697900000012</v>
      </c>
      <c r="BV68" s="42">
        <v>5.6243101700000002</v>
      </c>
      <c r="BW68" s="42">
        <v>21.209382449999996</v>
      </c>
      <c r="BX68" s="45">
        <f t="shared" si="4"/>
        <v>78.606551889999992</v>
      </c>
      <c r="BY68" s="45">
        <v>78.606551999999994</v>
      </c>
      <c r="BZ68" s="45">
        <v>1.2306559000000001</v>
      </c>
      <c r="CA68" s="45">
        <v>2.3953453100000002</v>
      </c>
      <c r="CB68" s="45">
        <v>4.5200711099999991</v>
      </c>
      <c r="CC68" s="45">
        <v>3.5691122399999999</v>
      </c>
      <c r="CD68" s="45">
        <v>2.0978771699999998</v>
      </c>
      <c r="CE68" s="45">
        <v>0.19400194000000001</v>
      </c>
      <c r="CF68" s="45">
        <v>0.18923255999999999</v>
      </c>
      <c r="CG68" s="45">
        <v>1.00082274</v>
      </c>
      <c r="CH68" s="45">
        <v>2.2873036600000001</v>
      </c>
      <c r="CI68" s="45">
        <v>1.13938082</v>
      </c>
      <c r="CJ68" s="45">
        <v>0.77415725999999996</v>
      </c>
      <c r="CK68" s="45">
        <v>12.9384906</v>
      </c>
      <c r="CL68" s="45">
        <f t="shared" si="5"/>
        <v>32.336451309999994</v>
      </c>
      <c r="CM68" s="45">
        <v>32.336449999999999</v>
      </c>
      <c r="CN68" s="45">
        <v>0.72292333000000009</v>
      </c>
      <c r="CO68" s="45">
        <v>0.57217587000000003</v>
      </c>
      <c r="CP68" s="45">
        <v>3.2054414599999994</v>
      </c>
      <c r="CQ68" s="45">
        <v>6.9337257699999997</v>
      </c>
      <c r="CR68" s="45">
        <v>12.707247630000001</v>
      </c>
      <c r="CS68" s="45">
        <v>9.4575620399999991</v>
      </c>
      <c r="CT68" s="45">
        <v>9.4442628400000004</v>
      </c>
      <c r="CU68" s="45">
        <v>11.034493490000001</v>
      </c>
      <c r="CV68" s="45">
        <v>12.708601060000001</v>
      </c>
      <c r="CW68" s="45">
        <v>11.085911939999999</v>
      </c>
      <c r="CX68" s="45">
        <v>8.882151480000001</v>
      </c>
      <c r="CY68" s="45">
        <v>21.53265317</v>
      </c>
      <c r="CZ68" s="45">
        <f t="shared" si="6"/>
        <v>108.28715008000002</v>
      </c>
      <c r="DA68" s="45">
        <f>107.853098+0.434053</f>
        <v>108.28715100000001</v>
      </c>
      <c r="DB68" s="45">
        <v>8.2101430900000008</v>
      </c>
      <c r="DC68" s="45">
        <v>10.316809019999999</v>
      </c>
      <c r="DD68" s="45">
        <v>12.46955584</v>
      </c>
      <c r="DE68" s="45">
        <v>13.627066279999999</v>
      </c>
      <c r="DF68" s="45">
        <v>15.305792589999999</v>
      </c>
      <c r="DG68" s="45">
        <v>18.008486909999998</v>
      </c>
      <c r="DH68" s="45">
        <v>23.367811569999997</v>
      </c>
      <c r="DI68" s="45">
        <v>18.217479230000002</v>
      </c>
      <c r="DJ68" s="45">
        <v>17.895564240000002</v>
      </c>
      <c r="DK68" s="45">
        <v>21.672435780000001</v>
      </c>
      <c r="DL68" s="45">
        <v>21.927475469999997</v>
      </c>
      <c r="DM68" s="45">
        <v>26.09468279</v>
      </c>
      <c r="DN68" s="45">
        <f t="shared" si="7"/>
        <v>207.11330280999999</v>
      </c>
      <c r="DO68" s="45">
        <v>207.113302</v>
      </c>
      <c r="DP68" s="45">
        <v>26.903115119999999</v>
      </c>
      <c r="DQ68" s="45">
        <v>22.510664890000001</v>
      </c>
      <c r="DR68" s="45">
        <v>25.68092321</v>
      </c>
      <c r="DS68" s="45">
        <v>11.93164958</v>
      </c>
      <c r="DT68" s="45">
        <v>16.827981489999999</v>
      </c>
      <c r="DU68" s="45">
        <v>17.282665390000002</v>
      </c>
      <c r="DV68" s="45">
        <v>22.17357067</v>
      </c>
      <c r="DW68" s="45">
        <v>16.523238299999999</v>
      </c>
      <c r="DX68" s="45">
        <v>13.250993069999998</v>
      </c>
      <c r="DY68" s="45">
        <v>18.131518880000002</v>
      </c>
      <c r="DZ68" s="45">
        <v>13.57823254</v>
      </c>
      <c r="EA68" s="45">
        <v>29.33279405</v>
      </c>
      <c r="EB68" s="45">
        <f t="shared" si="10"/>
        <v>234.12734718999999</v>
      </c>
      <c r="EC68" s="45">
        <f>215.97359+18.153757</f>
        <v>234.12734699999999</v>
      </c>
      <c r="ED68" s="45">
        <v>28.591494200000003</v>
      </c>
      <c r="EE68" s="45">
        <v>14.294165889999999</v>
      </c>
      <c r="EF68" s="45">
        <v>21.358377789999999</v>
      </c>
      <c r="EG68" s="45">
        <v>11.06065313</v>
      </c>
      <c r="EH68" s="45">
        <v>11.95620751</v>
      </c>
      <c r="EI68" s="45">
        <v>13.123990989999999</v>
      </c>
      <c r="EJ68" s="45">
        <v>22.408141409999999</v>
      </c>
      <c r="EK68" s="45">
        <v>12.98000266</v>
      </c>
      <c r="EL68" s="45">
        <v>12.175127530000001</v>
      </c>
      <c r="EM68" s="45">
        <v>6.2519265900000001</v>
      </c>
      <c r="EN68" s="45">
        <v>10.66171527</v>
      </c>
      <c r="EO68" s="45">
        <v>30.13797087</v>
      </c>
      <c r="EP68" s="45">
        <f t="shared" si="11"/>
        <v>194.99977384000002</v>
      </c>
      <c r="EQ68" s="96">
        <v>194.999774</v>
      </c>
      <c r="ER68" s="45">
        <v>10.774666600000002</v>
      </c>
      <c r="ES68" s="42">
        <v>15.672000689999999</v>
      </c>
      <c r="ET68" s="45">
        <v>9.516486089999999</v>
      </c>
      <c r="EU68" s="42">
        <v>16.198720719999997</v>
      </c>
      <c r="EV68" s="42">
        <v>17.964184639999999</v>
      </c>
      <c r="EW68" s="42">
        <v>26.358679250000002</v>
      </c>
      <c r="EX68" s="42">
        <v>27.74580169</v>
      </c>
      <c r="EY68" s="42">
        <v>11.92991926</v>
      </c>
      <c r="EZ68" s="42">
        <v>15.098715</v>
      </c>
      <c r="FA68" s="42">
        <v>11.85877728</v>
      </c>
      <c r="FB68" s="42">
        <v>13.524019489999999</v>
      </c>
      <c r="FC68" s="42">
        <v>22.346853150000001</v>
      </c>
      <c r="FD68" s="45">
        <f t="shared" si="12"/>
        <v>198.98882385999997</v>
      </c>
      <c r="FE68" s="45">
        <v>198.985063</v>
      </c>
      <c r="FF68" s="45">
        <v>14.242215760000001</v>
      </c>
      <c r="FG68" s="45">
        <v>9.0759687299999996</v>
      </c>
      <c r="FH68" s="45">
        <v>13.29254422</v>
      </c>
      <c r="FI68" s="45">
        <v>13.064452359999999</v>
      </c>
      <c r="FJ68" s="45">
        <v>3.3084098899999996</v>
      </c>
      <c r="FK68" s="45">
        <v>11.853170930000001</v>
      </c>
      <c r="FL68" s="45">
        <v>31.16764972</v>
      </c>
      <c r="FM68" s="45">
        <v>8.4986418999999991</v>
      </c>
      <c r="FN68" s="45">
        <v>8.4463408700000002</v>
      </c>
      <c r="FO68" s="45">
        <v>25.298289010000001</v>
      </c>
      <c r="FP68" s="45">
        <v>7.9720757200000003</v>
      </c>
      <c r="FQ68" s="45">
        <v>10.708479929999999</v>
      </c>
      <c r="FR68" s="45">
        <f t="shared" si="13"/>
        <v>156.92823903999999</v>
      </c>
      <c r="FS68" s="45">
        <v>156.92823799999999</v>
      </c>
      <c r="FT68" s="45">
        <v>16.762217969999998</v>
      </c>
      <c r="FU68" s="45">
        <v>5.1270317899999993</v>
      </c>
      <c r="FV68" s="45">
        <v>9.9498272100000005</v>
      </c>
      <c r="FW68" s="45">
        <v>12.122223199999999</v>
      </c>
      <c r="FX68" s="45">
        <v>11.282701300000001</v>
      </c>
      <c r="FY68" s="45">
        <v>21.951085420000002</v>
      </c>
      <c r="FZ68" s="45">
        <v>29.206286720000001</v>
      </c>
      <c r="GA68" s="45">
        <v>9.4346165299999978</v>
      </c>
      <c r="GB68" s="45">
        <v>15.565817850000002</v>
      </c>
      <c r="GC68" s="45">
        <v>11.298763310000002</v>
      </c>
      <c r="GD68" s="45">
        <v>4.6355039100000006</v>
      </c>
      <c r="GE68" s="45">
        <v>10.862277359999998</v>
      </c>
      <c r="GF68" s="45">
        <f t="shared" si="14"/>
        <v>158.19835257000003</v>
      </c>
      <c r="GG68" s="45">
        <v>158.198351</v>
      </c>
      <c r="GH68" s="45">
        <v>5.9540738400000004</v>
      </c>
      <c r="GI68" s="45">
        <v>3.1827540200000004</v>
      </c>
      <c r="GJ68" s="45">
        <v>5.0397967000000001</v>
      </c>
      <c r="GK68" s="45">
        <v>19.270604059999997</v>
      </c>
      <c r="GL68" s="45">
        <v>4.55720247</v>
      </c>
      <c r="GM68" s="45">
        <v>6.4455666200000001</v>
      </c>
      <c r="GN68" s="45">
        <v>19.327126120000003</v>
      </c>
      <c r="GO68" s="45">
        <v>25.181896729999998</v>
      </c>
      <c r="GP68" s="45">
        <v>7.9113145199999995</v>
      </c>
      <c r="GQ68" s="45">
        <v>7.07540938</v>
      </c>
      <c r="GR68" s="45">
        <v>7.1933255399999991</v>
      </c>
      <c r="GS68" s="45">
        <v>20.831806489999995</v>
      </c>
      <c r="GT68" s="45">
        <f t="shared" si="20"/>
        <v>131.97087648999999</v>
      </c>
      <c r="GU68" s="45">
        <v>131.970879</v>
      </c>
      <c r="GV68" s="45">
        <v>38.996791160000001</v>
      </c>
      <c r="GW68" s="45">
        <v>13.83501779</v>
      </c>
      <c r="GX68" s="45">
        <v>8.2572823599999996</v>
      </c>
      <c r="GY68" s="45">
        <v>25.434455409999998</v>
      </c>
      <c r="GZ68" s="45">
        <v>13.794668719999999</v>
      </c>
      <c r="HA68" s="45">
        <v>35.607694009999996</v>
      </c>
      <c r="HB68" s="45">
        <v>26.068512630000001</v>
      </c>
      <c r="HC68" s="45">
        <v>23.474775170000001</v>
      </c>
      <c r="HD68" s="45">
        <v>12.06630419</v>
      </c>
      <c r="HE68" s="45">
        <v>44.911484000000002</v>
      </c>
      <c r="HF68" s="45">
        <v>12.318263779999999</v>
      </c>
      <c r="HG68" s="45">
        <v>16.965470299999975</v>
      </c>
      <c r="HH68" s="45">
        <f t="shared" si="15"/>
        <v>271.73071951999998</v>
      </c>
      <c r="HI68" s="45">
        <v>25.19263436</v>
      </c>
      <c r="HJ68" s="45">
        <v>13.290276779999999</v>
      </c>
      <c r="HK68" s="45">
        <v>11.629887719999999</v>
      </c>
      <c r="HL68" s="45">
        <v>14.37172024</v>
      </c>
      <c r="HM68" s="45"/>
      <c r="HN68" s="45"/>
      <c r="HO68" s="45"/>
      <c r="HP68" s="45"/>
      <c r="HQ68" s="45"/>
      <c r="HR68" s="45"/>
      <c r="HS68" s="45"/>
      <c r="HT68" s="45"/>
      <c r="HU68" s="283">
        <f t="shared" si="16"/>
        <v>86.523546999999994</v>
      </c>
      <c r="HV68" s="283">
        <f t="shared" si="17"/>
        <v>64.484519000000006</v>
      </c>
      <c r="HW68" s="277">
        <f t="shared" si="30"/>
        <v>-22.039027999999988</v>
      </c>
      <c r="HX68" s="277">
        <f>HV68/HU68*100-100</f>
        <v>-25.471711186320164</v>
      </c>
    </row>
    <row r="69" spans="1:232" s="12" customFormat="1" ht="21" hidden="1" customHeight="1">
      <c r="A69" s="47" t="s">
        <v>108</v>
      </c>
      <c r="B69" s="13">
        <v>9800</v>
      </c>
      <c r="C69" s="56" t="s">
        <v>176</v>
      </c>
      <c r="D69" s="44">
        <v>0</v>
      </c>
      <c r="E69" s="44">
        <v>0</v>
      </c>
      <c r="F69" s="44" t="s">
        <v>46</v>
      </c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>
        <v>0</v>
      </c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>
        <v>0</v>
      </c>
      <c r="AI69" s="44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44" t="s">
        <v>46</v>
      </c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50"/>
      <c r="BK69" s="44"/>
      <c r="BL69" s="44"/>
      <c r="BM69" s="42">
        <v>0</v>
      </c>
      <c r="BN69" s="42">
        <v>-2.1827872842550278E-17</v>
      </c>
      <c r="BO69" s="42">
        <v>0</v>
      </c>
      <c r="BP69" s="42">
        <v>0</v>
      </c>
      <c r="BQ69" s="42">
        <v>2.3283064365386962E-16</v>
      </c>
      <c r="BR69" s="42">
        <v>2.3283064365386962E-16</v>
      </c>
      <c r="BS69" s="42">
        <v>-4.1382008930668236E-17</v>
      </c>
      <c r="BT69" s="42">
        <v>1.1641532182693481E-16</v>
      </c>
      <c r="BU69" s="42">
        <v>0</v>
      </c>
      <c r="BV69" s="42">
        <v>-2.2555468603968621E-16</v>
      </c>
      <c r="BW69" s="42">
        <v>0</v>
      </c>
      <c r="BX69" s="45">
        <f t="shared" si="4"/>
        <v>2.9331204132176929E-16</v>
      </c>
      <c r="BY69" s="45"/>
      <c r="BZ69" s="45">
        <v>-7.2759576141834256E-18</v>
      </c>
      <c r="CA69" s="45">
        <v>0</v>
      </c>
      <c r="CB69" s="45">
        <v>2.3283064365386962E-16</v>
      </c>
      <c r="CC69" s="45">
        <v>1.1641532182693481E-16</v>
      </c>
      <c r="CD69" s="45">
        <v>0</v>
      </c>
      <c r="CE69" s="45">
        <v>0</v>
      </c>
      <c r="CF69" s="45">
        <v>0</v>
      </c>
      <c r="CG69" s="45">
        <v>0</v>
      </c>
      <c r="CH69" s="45">
        <v>0</v>
      </c>
      <c r="CI69" s="45">
        <v>0</v>
      </c>
      <c r="CJ69" s="45">
        <v>0</v>
      </c>
      <c r="CK69" s="45">
        <v>0</v>
      </c>
      <c r="CL69" s="45">
        <f t="shared" si="5"/>
        <v>3.4197000786662105E-16</v>
      </c>
      <c r="CM69" s="45"/>
      <c r="CN69" s="45">
        <v>0</v>
      </c>
      <c r="CO69" s="45">
        <v>-1.3642420526593924E-18</v>
      </c>
      <c r="CP69" s="45">
        <v>0</v>
      </c>
      <c r="CQ69" s="45">
        <v>0</v>
      </c>
      <c r="CR69" s="45">
        <v>0</v>
      </c>
      <c r="CS69" s="45">
        <v>0</v>
      </c>
      <c r="CT69" s="45">
        <v>0</v>
      </c>
      <c r="CU69" s="45">
        <v>0</v>
      </c>
      <c r="CV69" s="45">
        <v>4.5474735088646416E-18</v>
      </c>
      <c r="CW69" s="45">
        <v>0</v>
      </c>
      <c r="CX69" s="45">
        <v>0</v>
      </c>
      <c r="CY69" s="45">
        <v>0</v>
      </c>
      <c r="CZ69" s="45">
        <f t="shared" si="6"/>
        <v>3.1832314562052492E-18</v>
      </c>
      <c r="DA69" s="45"/>
      <c r="DB69" s="45">
        <v>0</v>
      </c>
      <c r="DC69" s="45">
        <v>0</v>
      </c>
      <c r="DD69" s="45">
        <v>0</v>
      </c>
      <c r="DE69" s="45">
        <v>0</v>
      </c>
      <c r="DF69" s="45">
        <v>0</v>
      </c>
      <c r="DG69" s="45">
        <v>0</v>
      </c>
      <c r="DH69" s="45">
        <v>0</v>
      </c>
      <c r="DI69" s="45">
        <v>-2.6079760573338718E-16</v>
      </c>
      <c r="DJ69" s="45">
        <v>0</v>
      </c>
      <c r="DK69" s="45">
        <v>0</v>
      </c>
      <c r="DL69" s="45">
        <v>-1.1277734301984311E-16</v>
      </c>
      <c r="DM69" s="45">
        <v>0</v>
      </c>
      <c r="DN69" s="45">
        <f t="shared" si="7"/>
        <v>-3.7357494875323026E-16</v>
      </c>
      <c r="DO69" s="45"/>
      <c r="DP69" s="45">
        <v>0</v>
      </c>
      <c r="DQ69" s="45">
        <v>3.3560354495421054E-16</v>
      </c>
      <c r="DR69" s="45">
        <v>1.0186340659856796E-16</v>
      </c>
      <c r="DS69" s="45">
        <v>0</v>
      </c>
      <c r="DT69" s="45">
        <v>1.3096723705530167E-16</v>
      </c>
      <c r="DU69" s="45">
        <v>0</v>
      </c>
      <c r="DV69" s="45">
        <v>0</v>
      </c>
      <c r="DW69" s="45">
        <v>-1.48929757415317E-16</v>
      </c>
      <c r="DX69" s="45">
        <v>-1.1186784831807018E-16</v>
      </c>
      <c r="DY69" s="45">
        <v>0</v>
      </c>
      <c r="DZ69" s="45">
        <v>0</v>
      </c>
      <c r="EA69" s="45">
        <v>0</v>
      </c>
      <c r="EB69" s="45">
        <f t="shared" si="10"/>
        <v>3.0763658287469298E-16</v>
      </c>
      <c r="EC69" s="45">
        <v>0</v>
      </c>
      <c r="ED69" s="45">
        <v>0</v>
      </c>
      <c r="EE69" s="45">
        <v>0</v>
      </c>
      <c r="EF69" s="45">
        <v>1.0277290130034089E-16</v>
      </c>
      <c r="EG69" s="45">
        <v>1.8616219676914624E-17</v>
      </c>
      <c r="EH69" s="45">
        <v>5.5880633453853079E-17</v>
      </c>
      <c r="EI69" s="45">
        <v>-1.8189894035458566E-17</v>
      </c>
      <c r="EJ69" s="45">
        <v>0</v>
      </c>
      <c r="EK69" s="45">
        <v>-3.5652192309498786E-16</v>
      </c>
      <c r="EL69" s="45">
        <v>0</v>
      </c>
      <c r="EM69" s="45">
        <v>0</v>
      </c>
      <c r="EN69" s="45">
        <v>0</v>
      </c>
      <c r="EO69" s="45">
        <v>0</v>
      </c>
      <c r="EP69" s="45">
        <f t="shared" si="11"/>
        <v>-1.9744206269933784E-16</v>
      </c>
      <c r="EQ69" s="45"/>
      <c r="ER69" s="45">
        <v>0</v>
      </c>
      <c r="ES69" s="183"/>
      <c r="ET69" s="179"/>
      <c r="EU69" s="183"/>
      <c r="EV69" s="183"/>
      <c r="EW69" s="183"/>
      <c r="EX69" s="183"/>
      <c r="EY69" s="183"/>
      <c r="EZ69" s="183"/>
      <c r="FA69" s="183"/>
      <c r="FB69" s="183"/>
      <c r="FC69" s="183"/>
      <c r="FD69" s="45">
        <f t="shared" si="12"/>
        <v>0</v>
      </c>
      <c r="FE69" s="217"/>
      <c r="FF69" s="196"/>
      <c r="FG69" s="196"/>
      <c r="FH69" s="196"/>
      <c r="FI69" s="196"/>
      <c r="FJ69" s="196"/>
      <c r="FK69" s="45"/>
      <c r="FL69" s="196"/>
      <c r="FM69" s="196"/>
      <c r="FN69" s="196"/>
      <c r="FO69" s="196"/>
      <c r="FP69" s="196"/>
      <c r="FQ69" s="196"/>
      <c r="FR69" s="45">
        <f t="shared" si="13"/>
        <v>0</v>
      </c>
      <c r="FS69" s="217"/>
      <c r="FT69" s="196"/>
      <c r="FU69" s="196"/>
      <c r="FV69" s="196"/>
      <c r="FW69" s="196"/>
      <c r="FX69" s="196"/>
      <c r="FY69" s="196"/>
      <c r="FZ69" s="196"/>
      <c r="GA69" s="196"/>
      <c r="GB69" s="196"/>
      <c r="GC69" s="196"/>
      <c r="GD69" s="196"/>
      <c r="GE69" s="196"/>
      <c r="GF69" s="45">
        <f t="shared" si="14"/>
        <v>0</v>
      </c>
      <c r="GG69" s="217"/>
      <c r="GH69" s="196"/>
      <c r="GI69" s="196"/>
      <c r="GJ69" s="196"/>
      <c r="GK69" s="196"/>
      <c r="GL69" s="196"/>
      <c r="GM69" s="196"/>
      <c r="GN69" s="196"/>
      <c r="GO69" s="196"/>
      <c r="GP69" s="196"/>
      <c r="GQ69" s="196"/>
      <c r="GR69" s="196"/>
      <c r="GS69" s="196"/>
      <c r="GT69" s="45">
        <f t="shared" si="20"/>
        <v>0</v>
      </c>
      <c r="GU69" s="217"/>
      <c r="GV69" s="196"/>
      <c r="GW69" s="196"/>
      <c r="GX69" s="196"/>
      <c r="GY69" s="196"/>
      <c r="GZ69" s="196"/>
      <c r="HA69" s="196"/>
      <c r="HB69" s="196"/>
      <c r="HC69" s="196"/>
      <c r="HD69" s="196"/>
      <c r="HE69" s="196"/>
      <c r="HF69" s="196"/>
      <c r="HG69" s="196"/>
      <c r="HH69" s="196"/>
      <c r="HI69" s="196"/>
      <c r="HJ69" s="196"/>
      <c r="HK69" s="196"/>
      <c r="HL69" s="196"/>
      <c r="HM69" s="196"/>
      <c r="HN69" s="196"/>
      <c r="HO69" s="196"/>
      <c r="HP69" s="196"/>
      <c r="HQ69" s="196"/>
      <c r="HR69" s="196"/>
      <c r="HS69" s="196"/>
      <c r="HT69" s="196"/>
      <c r="HU69" s="285">
        <f t="shared" si="16"/>
        <v>0</v>
      </c>
      <c r="HV69" s="285">
        <f t="shared" si="17"/>
        <v>0</v>
      </c>
      <c r="HW69" s="277">
        <f t="shared" si="30"/>
        <v>0</v>
      </c>
      <c r="HX69" s="277"/>
    </row>
    <row r="70" spans="1:232" s="12" customFormat="1" ht="21" hidden="1" customHeight="1">
      <c r="A70" s="42" t="s">
        <v>178</v>
      </c>
      <c r="B70" s="13" t="s">
        <v>94</v>
      </c>
      <c r="C70" s="42" t="s">
        <v>179</v>
      </c>
      <c r="D70" s="42">
        <v>3.0036823922459177E-3</v>
      </c>
      <c r="E70" s="42">
        <v>4.13344260988839E-3</v>
      </c>
      <c r="F70" s="42">
        <v>7.5954320123391456E-2</v>
      </c>
      <c r="G70" s="42">
        <v>7.2851036704401229E-4</v>
      </c>
      <c r="H70" s="42">
        <v>0</v>
      </c>
      <c r="I70" s="42">
        <v>0</v>
      </c>
      <c r="J70" s="42">
        <v>0</v>
      </c>
      <c r="K70" s="42">
        <v>0</v>
      </c>
      <c r="L70" s="42">
        <v>4.2748760678652943E-2</v>
      </c>
      <c r="M70" s="42">
        <v>-4.2570901702323839E-2</v>
      </c>
      <c r="N70" s="42">
        <v>1.0671538579746273E-4</v>
      </c>
      <c r="O70" s="42">
        <v>0</v>
      </c>
      <c r="P70" s="42">
        <v>-2.8457436212656729E-4</v>
      </c>
      <c r="Q70" s="42">
        <v>0</v>
      </c>
      <c r="R70" s="42">
        <v>0</v>
      </c>
      <c r="S70" s="42">
        <v>1.9941391910120034</v>
      </c>
      <c r="T70" s="42">
        <v>1.9941391910120034</v>
      </c>
      <c r="U70" s="42">
        <v>3.0357026994723988</v>
      </c>
      <c r="V70" s="100"/>
      <c r="W70" s="100"/>
      <c r="X70" s="42">
        <v>6.0756630000000002E-5</v>
      </c>
      <c r="Y70" s="127">
        <v>-6.0756630000000002E-5</v>
      </c>
      <c r="Z70" s="100"/>
      <c r="AA70" s="100"/>
      <c r="AB70" s="100"/>
      <c r="AC70" s="42">
        <v>1.2185474E-4</v>
      </c>
      <c r="AD70" s="42">
        <v>-1.2185474E-4</v>
      </c>
      <c r="AE70" s="100"/>
      <c r="AF70" s="100"/>
      <c r="AG70" s="100"/>
      <c r="AH70" s="42">
        <v>0</v>
      </c>
      <c r="AI70" s="42">
        <v>0</v>
      </c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42">
        <v>0</v>
      </c>
      <c r="AW70" s="42">
        <v>0</v>
      </c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5"/>
      <c r="BK70" s="42"/>
      <c r="BL70" s="42"/>
      <c r="BM70" s="42">
        <v>0</v>
      </c>
      <c r="BN70" s="42">
        <v>0</v>
      </c>
      <c r="BO70" s="42">
        <v>0</v>
      </c>
      <c r="BP70" s="42">
        <v>0</v>
      </c>
      <c r="BQ70" s="42">
        <v>0</v>
      </c>
      <c r="BR70" s="42">
        <v>0</v>
      </c>
      <c r="BS70" s="42">
        <v>0</v>
      </c>
      <c r="BT70" s="42">
        <v>0</v>
      </c>
      <c r="BU70" s="42">
        <v>0</v>
      </c>
      <c r="BV70" s="42">
        <v>0</v>
      </c>
      <c r="BW70" s="42">
        <v>0</v>
      </c>
      <c r="BX70" s="45">
        <f t="shared" si="4"/>
        <v>0</v>
      </c>
      <c r="BY70" s="45"/>
      <c r="BZ70" s="45">
        <v>0</v>
      </c>
      <c r="CA70" s="45">
        <v>0</v>
      </c>
      <c r="CB70" s="45">
        <v>0</v>
      </c>
      <c r="CC70" s="45">
        <v>0</v>
      </c>
      <c r="CD70" s="45">
        <v>0</v>
      </c>
      <c r="CE70" s="45">
        <v>0</v>
      </c>
      <c r="CF70" s="45">
        <v>0</v>
      </c>
      <c r="CG70" s="45">
        <v>0</v>
      </c>
      <c r="CH70" s="45">
        <v>0</v>
      </c>
      <c r="CI70" s="45">
        <v>0</v>
      </c>
      <c r="CJ70" s="45">
        <v>0</v>
      </c>
      <c r="CK70" s="45">
        <v>0</v>
      </c>
      <c r="CL70" s="45">
        <f t="shared" si="5"/>
        <v>0</v>
      </c>
      <c r="CM70" s="45"/>
      <c r="CN70" s="45">
        <v>0</v>
      </c>
      <c r="CO70" s="45">
        <v>0</v>
      </c>
      <c r="CP70" s="45">
        <v>0</v>
      </c>
      <c r="CQ70" s="45">
        <v>0</v>
      </c>
      <c r="CR70" s="45">
        <v>0</v>
      </c>
      <c r="CS70" s="45">
        <v>0</v>
      </c>
      <c r="CT70" s="45">
        <v>0</v>
      </c>
      <c r="CU70" s="45">
        <v>0</v>
      </c>
      <c r="CV70" s="45">
        <v>0</v>
      </c>
      <c r="CW70" s="45">
        <v>0</v>
      </c>
      <c r="CX70" s="45">
        <v>0</v>
      </c>
      <c r="CY70" s="45">
        <v>2.9999999999999997E-4</v>
      </c>
      <c r="CZ70" s="45">
        <f t="shared" si="6"/>
        <v>2.9999999999999997E-4</v>
      </c>
      <c r="DA70" s="45"/>
      <c r="DB70" s="45">
        <v>0</v>
      </c>
      <c r="DC70" s="45">
        <v>0</v>
      </c>
      <c r="DD70" s="45">
        <v>0</v>
      </c>
      <c r="DE70" s="45">
        <v>0</v>
      </c>
      <c r="DF70" s="45">
        <v>0</v>
      </c>
      <c r="DG70" s="45">
        <v>0</v>
      </c>
      <c r="DH70" s="45">
        <v>0</v>
      </c>
      <c r="DI70" s="45">
        <v>0</v>
      </c>
      <c r="DJ70" s="45">
        <v>0</v>
      </c>
      <c r="DK70" s="45">
        <v>0</v>
      </c>
      <c r="DL70" s="45">
        <v>0</v>
      </c>
      <c r="DM70" s="45">
        <v>0</v>
      </c>
      <c r="DN70" s="45">
        <f t="shared" si="7"/>
        <v>0</v>
      </c>
      <c r="DO70" s="45"/>
      <c r="DP70" s="45">
        <v>0</v>
      </c>
      <c r="DQ70" s="45">
        <v>0</v>
      </c>
      <c r="DR70" s="45">
        <v>0</v>
      </c>
      <c r="DS70" s="45">
        <v>0</v>
      </c>
      <c r="DT70" s="45">
        <v>0</v>
      </c>
      <c r="DU70" s="45">
        <v>0</v>
      </c>
      <c r="DV70" s="45">
        <v>0</v>
      </c>
      <c r="DW70" s="45">
        <v>0</v>
      </c>
      <c r="DX70" s="45">
        <v>0</v>
      </c>
      <c r="DY70" s="45">
        <v>0</v>
      </c>
      <c r="DZ70" s="45">
        <v>0</v>
      </c>
      <c r="EA70" s="45">
        <v>0</v>
      </c>
      <c r="EB70" s="45">
        <f t="shared" si="10"/>
        <v>0</v>
      </c>
      <c r="EC70" s="45"/>
      <c r="ED70" s="45">
        <v>0</v>
      </c>
      <c r="EE70" s="45">
        <v>0</v>
      </c>
      <c r="EF70" s="45">
        <v>0</v>
      </c>
      <c r="EG70" s="45">
        <v>0</v>
      </c>
      <c r="EH70" s="45">
        <v>0</v>
      </c>
      <c r="EI70" s="45">
        <v>0</v>
      </c>
      <c r="EJ70" s="45">
        <v>0</v>
      </c>
      <c r="EK70" s="45">
        <v>0</v>
      </c>
      <c r="EL70" s="45">
        <v>0</v>
      </c>
      <c r="EM70" s="45">
        <v>0</v>
      </c>
      <c r="EN70" s="45">
        <v>0</v>
      </c>
      <c r="EO70" s="45">
        <v>0</v>
      </c>
      <c r="EP70" s="45">
        <f t="shared" si="11"/>
        <v>0</v>
      </c>
      <c r="EQ70" s="45"/>
      <c r="ER70" s="45">
        <v>0</v>
      </c>
      <c r="ES70" s="42">
        <v>-8.3673512563109398E-17</v>
      </c>
      <c r="ET70" s="45">
        <v>0</v>
      </c>
      <c r="EU70" s="42">
        <v>0</v>
      </c>
      <c r="EV70" s="42">
        <v>0</v>
      </c>
      <c r="EW70" s="42">
        <v>0</v>
      </c>
      <c r="EX70" s="42">
        <v>0</v>
      </c>
      <c r="EY70" s="42">
        <v>0</v>
      </c>
      <c r="EZ70" s="42">
        <v>0</v>
      </c>
      <c r="FA70" s="42">
        <v>0</v>
      </c>
      <c r="FB70" s="42">
        <v>0</v>
      </c>
      <c r="FC70" s="42"/>
      <c r="FD70" s="45">
        <f t="shared" si="12"/>
        <v>-8.3673512563109398E-17</v>
      </c>
      <c r="FE70" s="45"/>
      <c r="FF70" s="45"/>
      <c r="FG70" s="45"/>
      <c r="FH70" s="45"/>
      <c r="FI70" s="45"/>
      <c r="FJ70" s="45"/>
      <c r="FK70" s="45"/>
      <c r="FL70" s="45"/>
      <c r="FM70" s="45"/>
      <c r="FN70" s="45"/>
      <c r="FO70" s="45"/>
      <c r="FP70" s="45"/>
      <c r="FQ70" s="45"/>
      <c r="FR70" s="45">
        <f t="shared" si="13"/>
        <v>0</v>
      </c>
      <c r="FS70" s="45"/>
      <c r="FT70" s="45"/>
      <c r="FU70" s="45"/>
      <c r="FV70" s="45"/>
      <c r="FW70" s="45"/>
      <c r="FX70" s="45"/>
      <c r="FY70" s="45"/>
      <c r="FZ70" s="45"/>
      <c r="GA70" s="45"/>
      <c r="GB70" s="45"/>
      <c r="GC70" s="45"/>
      <c r="GD70" s="45"/>
      <c r="GE70" s="45"/>
      <c r="GF70" s="45">
        <f t="shared" si="14"/>
        <v>0</v>
      </c>
      <c r="GG70" s="45"/>
      <c r="GH70" s="45"/>
      <c r="GI70" s="45"/>
      <c r="GJ70" s="45"/>
      <c r="GK70" s="45"/>
      <c r="GL70" s="45"/>
      <c r="GM70" s="45"/>
      <c r="GN70" s="45"/>
      <c r="GO70" s="45"/>
      <c r="GP70" s="45"/>
      <c r="GQ70" s="45"/>
      <c r="GR70" s="45"/>
      <c r="GS70" s="45"/>
      <c r="GT70" s="45">
        <f t="shared" si="20"/>
        <v>0</v>
      </c>
      <c r="GU70" s="45">
        <v>6.7000000000000002E-5</v>
      </c>
      <c r="GV70" s="45"/>
      <c r="GW70" s="45"/>
      <c r="GX70" s="45"/>
      <c r="GY70" s="45"/>
      <c r="GZ70" s="45"/>
      <c r="HA70" s="45"/>
      <c r="HB70" s="45"/>
      <c r="HC70" s="45"/>
      <c r="HD70" s="45"/>
      <c r="HE70" s="45"/>
      <c r="HF70" s="45"/>
      <c r="HG70" s="45"/>
      <c r="HH70" s="45">
        <f t="shared" si="15"/>
        <v>0</v>
      </c>
      <c r="HI70" s="45"/>
      <c r="HJ70" s="45"/>
      <c r="HK70" s="45"/>
      <c r="HL70" s="45"/>
      <c r="HM70" s="45"/>
      <c r="HN70" s="45"/>
      <c r="HO70" s="45"/>
      <c r="HP70" s="45"/>
      <c r="HQ70" s="45"/>
      <c r="HR70" s="45"/>
      <c r="HS70" s="45"/>
      <c r="HT70" s="45"/>
      <c r="HU70" s="283">
        <f t="shared" si="16"/>
        <v>0</v>
      </c>
      <c r="HV70" s="283">
        <f t="shared" si="17"/>
        <v>0</v>
      </c>
      <c r="HW70" s="280">
        <f t="shared" si="30"/>
        <v>0</v>
      </c>
      <c r="HX70" s="280"/>
    </row>
    <row r="71" spans="1:232" s="12" customFormat="1" ht="20.5">
      <c r="A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5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5">
        <f t="shared" si="4"/>
        <v>0</v>
      </c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>
        <f t="shared" si="5"/>
        <v>0</v>
      </c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>
        <f t="shared" si="6"/>
        <v>0</v>
      </c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>
        <f t="shared" si="7"/>
        <v>0</v>
      </c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179"/>
      <c r="EL71" s="45"/>
      <c r="EM71" s="45"/>
      <c r="EN71" s="45"/>
      <c r="EO71" s="45"/>
      <c r="EP71" s="45"/>
      <c r="EQ71" s="45"/>
      <c r="ER71" s="179"/>
      <c r="ES71" s="42"/>
      <c r="ET71" s="45"/>
      <c r="EU71" s="42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  <c r="HG71" s="45"/>
      <c r="HH71" s="45"/>
      <c r="HI71" s="45"/>
      <c r="HJ71" s="45"/>
      <c r="HK71" s="45"/>
      <c r="HL71" s="45"/>
      <c r="HM71" s="45"/>
      <c r="HN71" s="45"/>
      <c r="HO71" s="45"/>
      <c r="HP71" s="45"/>
      <c r="HQ71" s="45"/>
      <c r="HR71" s="45"/>
      <c r="HS71" s="45"/>
      <c r="HT71" s="45"/>
      <c r="HU71" s="283"/>
      <c r="HV71" s="283"/>
      <c r="HW71" s="280"/>
      <c r="HX71" s="280"/>
    </row>
    <row r="72" spans="1:232" s="12" customFormat="1" ht="20">
      <c r="A72" s="58" t="s">
        <v>180</v>
      </c>
      <c r="C72" s="58" t="s">
        <v>181</v>
      </c>
      <c r="D72" s="58">
        <v>166.73418762556844</v>
      </c>
      <c r="E72" s="58">
        <v>-610.95907251523897</v>
      </c>
      <c r="F72" s="58">
        <v>-1200.0757821526324</v>
      </c>
      <c r="G72" s="58">
        <v>-1240.7957083340436</v>
      </c>
      <c r="H72" s="58">
        <v>-27.572751506821231</v>
      </c>
      <c r="I72" s="58">
        <v>-140.26309588448567</v>
      </c>
      <c r="J72" s="58">
        <v>-159.82702483195891</v>
      </c>
      <c r="K72" s="58">
        <v>-57.790852115241321</v>
      </c>
      <c r="L72" s="58">
        <v>-28.698520369832771</v>
      </c>
      <c r="M72" s="58">
        <v>29.664348168194834</v>
      </c>
      <c r="N72" s="58">
        <v>-27.188192355194349</v>
      </c>
      <c r="O72" s="58">
        <v>283.62719953215969</v>
      </c>
      <c r="P72" s="58">
        <v>-12.278652028162886</v>
      </c>
      <c r="Q72" s="58">
        <v>-9.7864339275245964</v>
      </c>
      <c r="R72" s="58">
        <v>-115.79339122998736</v>
      </c>
      <c r="S72" s="58">
        <v>-315.57159256350269</v>
      </c>
      <c r="T72" s="58">
        <v>-581.47895911235719</v>
      </c>
      <c r="U72" s="58">
        <v>-581.4129302052927</v>
      </c>
      <c r="V72" s="58">
        <v>71.481503278296714</v>
      </c>
      <c r="W72" s="58">
        <v>-115.74602735613342</v>
      </c>
      <c r="X72" s="58">
        <v>-110.25436823068729</v>
      </c>
      <c r="Y72" s="58">
        <v>19.732063192582867</v>
      </c>
      <c r="Z72" s="58">
        <v>67.883244745334508</v>
      </c>
      <c r="AA72" s="58">
        <v>59.613717337977555</v>
      </c>
      <c r="AB72" s="58">
        <v>187.45672625653808</v>
      </c>
      <c r="AC72" s="58">
        <v>222.83500714281641</v>
      </c>
      <c r="AD72" s="58">
        <v>32.370509331193311</v>
      </c>
      <c r="AE72" s="58">
        <v>-58.561458913153643</v>
      </c>
      <c r="AF72" s="58">
        <v>-84.433507777417347</v>
      </c>
      <c r="AG72" s="58">
        <v>-176.16989516280515</v>
      </c>
      <c r="AH72" s="58">
        <v>116.20751384454255</v>
      </c>
      <c r="AI72" s="58">
        <v>115.16589973876073</v>
      </c>
      <c r="AJ72" s="58">
        <v>54.007858521010014</v>
      </c>
      <c r="AK72" s="58">
        <v>-110.08593955071407</v>
      </c>
      <c r="AL72" s="58">
        <v>39.405955600708012</v>
      </c>
      <c r="AM72" s="58">
        <v>53.141742648021378</v>
      </c>
      <c r="AN72" s="58">
        <v>126.2541188297164</v>
      </c>
      <c r="AO72" s="58">
        <v>-18.154314559962668</v>
      </c>
      <c r="AP72" s="58">
        <v>79.834628146681155</v>
      </c>
      <c r="AQ72" s="58">
        <v>89.844357004228897</v>
      </c>
      <c r="AR72" s="58">
        <v>35.991206652210273</v>
      </c>
      <c r="AS72" s="58">
        <v>51.720946380498873</v>
      </c>
      <c r="AT72" s="58">
        <v>-135.27600867382657</v>
      </c>
      <c r="AU72" s="58">
        <v>-275.16310521852466</v>
      </c>
      <c r="AV72" s="58">
        <v>-8.4785542199529829</v>
      </c>
      <c r="AW72" s="58">
        <v>-8.2651678135013462</v>
      </c>
      <c r="AX72" s="58">
        <f t="shared" ref="AX72:BG72" si="42">AX7-AX40</f>
        <v>64.036408440000173</v>
      </c>
      <c r="AY72" s="58">
        <f t="shared" si="42"/>
        <v>-35.769753000000037</v>
      </c>
      <c r="AZ72" s="58">
        <f t="shared" si="42"/>
        <v>-79.528520599999979</v>
      </c>
      <c r="BA72" s="58">
        <f t="shared" si="42"/>
        <v>-31.61724447999984</v>
      </c>
      <c r="BB72" s="58">
        <f t="shared" si="42"/>
        <v>86.436632369999984</v>
      </c>
      <c r="BC72" s="58">
        <f t="shared" si="42"/>
        <v>216.04211429000009</v>
      </c>
      <c r="BD72" s="58">
        <f t="shared" si="42"/>
        <v>16.349067570000102</v>
      </c>
      <c r="BE72" s="58">
        <f t="shared" si="42"/>
        <v>49.425088450000089</v>
      </c>
      <c r="BF72" s="58">
        <f t="shared" si="42"/>
        <v>13.523391199999992</v>
      </c>
      <c r="BG72" s="58">
        <f t="shared" si="42"/>
        <v>-63.079475259999981</v>
      </c>
      <c r="BH72" s="58">
        <f>BH7-BH40</f>
        <v>-157.38201886999991</v>
      </c>
      <c r="BI72" s="58">
        <f>BI7-BI40</f>
        <v>-391.4749785800002</v>
      </c>
      <c r="BJ72" s="59">
        <f t="shared" si="28"/>
        <v>-313.03928846999952</v>
      </c>
      <c r="BK72" s="58">
        <f>BK7-BK40</f>
        <v>-312.25836999999774</v>
      </c>
      <c r="BL72" s="58">
        <f>BL7-BL40</f>
        <v>70.449853129999951</v>
      </c>
      <c r="BM72" s="58">
        <v>-96.460673860000156</v>
      </c>
      <c r="BN72" s="58">
        <v>-5.06956627999989</v>
      </c>
      <c r="BO72" s="58">
        <v>127.44067003000009</v>
      </c>
      <c r="BP72" s="58">
        <v>87.297660309999969</v>
      </c>
      <c r="BQ72" s="58">
        <v>-21.675684520000004</v>
      </c>
      <c r="BR72" s="58">
        <v>-62.919733189999647</v>
      </c>
      <c r="BS72" s="58">
        <v>113.05939534000004</v>
      </c>
      <c r="BT72" s="58">
        <v>-71.60094797000005</v>
      </c>
      <c r="BU72" s="58">
        <v>39.608228429999826</v>
      </c>
      <c r="BV72" s="58">
        <v>-107.74330939999993</v>
      </c>
      <c r="BW72" s="58">
        <v>-419.18510000000015</v>
      </c>
      <c r="BX72" s="59">
        <f t="shared" si="4"/>
        <v>-346.79920797999995</v>
      </c>
      <c r="BY72" s="59">
        <f>BY7-BY40</f>
        <v>-347.29832375000024</v>
      </c>
      <c r="BZ72" s="59">
        <v>62.295985499999915</v>
      </c>
      <c r="CA72" s="59">
        <v>20.023056839999754</v>
      </c>
      <c r="CB72" s="59">
        <v>-144.57923721000009</v>
      </c>
      <c r="CC72" s="59">
        <v>-24.066935029999968</v>
      </c>
      <c r="CD72" s="59">
        <v>137.93914317000019</v>
      </c>
      <c r="CE72" s="59">
        <v>6.7779869399997779</v>
      </c>
      <c r="CF72" s="59">
        <v>40.634222370000089</v>
      </c>
      <c r="CG72" s="59">
        <v>26.35047284999996</v>
      </c>
      <c r="CH72" s="59">
        <v>71.424619410000105</v>
      </c>
      <c r="CI72" s="59">
        <v>-66.566637389999869</v>
      </c>
      <c r="CJ72" s="59">
        <v>-111.01373395999997</v>
      </c>
      <c r="CK72" s="59">
        <v>-177.83601536000015</v>
      </c>
      <c r="CL72" s="59">
        <f t="shared" si="5"/>
        <v>-158.61707187000025</v>
      </c>
      <c r="CM72" s="59">
        <f>CM7-CM40</f>
        <v>-157.62328499999967</v>
      </c>
      <c r="CN72" s="59">
        <v>80.257203940000068</v>
      </c>
      <c r="CO72" s="59">
        <v>-0.94929890999981126</v>
      </c>
      <c r="CP72" s="59">
        <v>-74.652602110000089</v>
      </c>
      <c r="CQ72" s="59">
        <v>63.031546249999792</v>
      </c>
      <c r="CR72" s="59">
        <v>61.574096960000361</v>
      </c>
      <c r="CS72" s="59">
        <v>0.57995331999995869</v>
      </c>
      <c r="CT72" s="59">
        <v>69.893565859999967</v>
      </c>
      <c r="CU72" s="59">
        <v>71.163976260000481</v>
      </c>
      <c r="CV72" s="59">
        <v>15.193804259999865</v>
      </c>
      <c r="CW72" s="59">
        <v>-109.06537063999986</v>
      </c>
      <c r="CX72" s="59">
        <v>-130.68690646000027</v>
      </c>
      <c r="CY72" s="59">
        <v>-253.65210861000014</v>
      </c>
      <c r="CZ72" s="59">
        <f t="shared" si="6"/>
        <v>-207.31213987999968</v>
      </c>
      <c r="DA72" s="59">
        <f>DA7-DA40</f>
        <v>-207.67111099999784</v>
      </c>
      <c r="DB72" s="59">
        <v>124.57775050000014</v>
      </c>
      <c r="DC72" s="59">
        <v>107.01703375999915</v>
      </c>
      <c r="DD72" s="59">
        <v>-78.152191390000809</v>
      </c>
      <c r="DE72" s="59">
        <v>6.6391081699994103</v>
      </c>
      <c r="DF72" s="59">
        <v>263.81445751000007</v>
      </c>
      <c r="DG72" s="59">
        <v>-3.9728708599990412</v>
      </c>
      <c r="DH72" s="59">
        <v>214.94192835999905</v>
      </c>
      <c r="DI72" s="59">
        <v>49.520680679998875</v>
      </c>
      <c r="DJ72" s="59">
        <v>-12.34402271000048</v>
      </c>
      <c r="DK72" s="59">
        <v>-169.66992488999983</v>
      </c>
      <c r="DL72" s="59">
        <v>-129.56428988999846</v>
      </c>
      <c r="DM72" s="59">
        <v>-437.38586504999864</v>
      </c>
      <c r="DN72" s="59">
        <f t="shared" si="7"/>
        <v>-64.578205810000441</v>
      </c>
      <c r="DO72" s="59">
        <f>DO7-DO40</f>
        <v>-64.452659999999014</v>
      </c>
      <c r="DP72" s="59">
        <v>103.74845831000079</v>
      </c>
      <c r="DQ72" s="59">
        <v>59.065629750001044</v>
      </c>
      <c r="DR72" s="59">
        <v>-104.31076269000042</v>
      </c>
      <c r="DS72" s="59">
        <v>72.306362940000085</v>
      </c>
      <c r="DT72" s="59">
        <v>239.49061463999985</v>
      </c>
      <c r="DU72" s="59">
        <v>192.73779119000011</v>
      </c>
      <c r="DV72" s="59">
        <v>-61.9573325300004</v>
      </c>
      <c r="DW72" s="59">
        <v>-3.3186686800019682</v>
      </c>
      <c r="DX72" s="59">
        <v>-89.714971419999671</v>
      </c>
      <c r="DY72" s="59">
        <v>-71.51344477000093</v>
      </c>
      <c r="DZ72" s="59">
        <v>-151.01244572000061</v>
      </c>
      <c r="EA72" s="59">
        <v>-353.30784899999998</v>
      </c>
      <c r="EB72" s="59">
        <f t="shared" si="10"/>
        <v>-167.78661798000209</v>
      </c>
      <c r="EC72" s="59">
        <f>EC7-EC40</f>
        <v>-167.94761199999994</v>
      </c>
      <c r="ED72" s="59">
        <v>3.072746350000509</v>
      </c>
      <c r="EE72" s="59">
        <v>60.37458935999944</v>
      </c>
      <c r="EF72" s="59">
        <v>-135.78354001999958</v>
      </c>
      <c r="EG72" s="59">
        <v>-64.094176390000285</v>
      </c>
      <c r="EH72" s="59">
        <v>69.769192420000437</v>
      </c>
      <c r="EI72" s="59">
        <v>-166.09334428999981</v>
      </c>
      <c r="EJ72" s="59">
        <v>143.94403092999744</v>
      </c>
      <c r="EK72" s="59">
        <v>-61.035563249999463</v>
      </c>
      <c r="EL72" s="59">
        <v>-131.35298569000039</v>
      </c>
      <c r="EM72" s="59">
        <v>-217.23758599999996</v>
      </c>
      <c r="EN72" s="59">
        <v>-121.84984194000072</v>
      </c>
      <c r="EO72" s="59">
        <v>-489.21098499999999</v>
      </c>
      <c r="EP72" s="58">
        <f t="shared" si="11"/>
        <v>-1109.4974635200024</v>
      </c>
      <c r="EQ72" s="59">
        <f>EQ7-EQ40</f>
        <v>-1085.2473769999997</v>
      </c>
      <c r="ER72" s="59">
        <v>118.31562099999999</v>
      </c>
      <c r="ES72" s="59">
        <v>-125.208147</v>
      </c>
      <c r="ET72" s="59">
        <v>-656.16205899999989</v>
      </c>
      <c r="EU72" s="58">
        <v>-82.69980600000018</v>
      </c>
      <c r="EV72" s="59">
        <v>18.060634440000566</v>
      </c>
      <c r="EW72" s="59">
        <v>-269.75904600000001</v>
      </c>
      <c r="EX72" s="59">
        <v>94.902186</v>
      </c>
      <c r="EY72" s="59">
        <v>4.2924109999999667</v>
      </c>
      <c r="EZ72" s="59">
        <v>132.53687300000001</v>
      </c>
      <c r="FA72" s="59">
        <v>-228.10484400000001</v>
      </c>
      <c r="FB72" s="59">
        <v>-81.366360999999955</v>
      </c>
      <c r="FC72" s="59">
        <v>-659.03846899999996</v>
      </c>
      <c r="FD72" s="58">
        <f t="shared" si="12"/>
        <v>-1734.2310065599995</v>
      </c>
      <c r="FE72" s="59">
        <f>FE7-FE40</f>
        <v>-1753.8959802000027</v>
      </c>
      <c r="FF72" s="59">
        <v>111.99023883000082</v>
      </c>
      <c r="FG72" s="59">
        <v>-66.010768789999631</v>
      </c>
      <c r="FH72" s="59">
        <v>-327.1776271699988</v>
      </c>
      <c r="FI72" s="59">
        <v>34.015810679998765</v>
      </c>
      <c r="FJ72" s="58">
        <v>-71.271639180000264</v>
      </c>
      <c r="FK72" s="59">
        <v>-61.422716089998872</v>
      </c>
      <c r="FL72" s="59">
        <v>101.87174355999979</v>
      </c>
      <c r="FM72" s="59">
        <v>83.570650000000001</v>
      </c>
      <c r="FN72" s="59">
        <v>-357.31991099999999</v>
      </c>
      <c r="FO72" s="59">
        <v>-244.61655248000054</v>
      </c>
      <c r="FP72" s="59">
        <v>-38.840624999999996</v>
      </c>
      <c r="FQ72" s="59">
        <v>-678.36100099999999</v>
      </c>
      <c r="FR72" s="58">
        <f t="shared" si="13"/>
        <v>-1513.5723976399988</v>
      </c>
      <c r="FS72" s="59">
        <f>FS7-FS40</f>
        <v>-1486.7658249999986</v>
      </c>
      <c r="FT72" s="59">
        <v>138.56027105999999</v>
      </c>
      <c r="FU72" s="59">
        <v>-110.71132112999994</v>
      </c>
      <c r="FV72" s="59">
        <v>-355.36670099999998</v>
      </c>
      <c r="FW72" s="59">
        <v>111.64061430000007</v>
      </c>
      <c r="FX72" s="59">
        <v>96.903879000000003</v>
      </c>
      <c r="FY72" s="59">
        <v>-90.371899000000013</v>
      </c>
      <c r="FZ72" s="59">
        <v>210.04132300000001</v>
      </c>
      <c r="GA72" s="59">
        <v>-6.1094220000000004</v>
      </c>
      <c r="GB72" s="59">
        <v>-1.5189069799999451</v>
      </c>
      <c r="GC72" s="59">
        <v>-206.80461588999995</v>
      </c>
      <c r="GD72" s="59">
        <v>-93.577561480000213</v>
      </c>
      <c r="GE72" s="59">
        <v>-959.599335</v>
      </c>
      <c r="GF72" s="58">
        <f t="shared" si="14"/>
        <v>-1266.9136751199999</v>
      </c>
      <c r="GG72" s="59">
        <f>GG7-GG40</f>
        <v>-1174.0437160000001</v>
      </c>
      <c r="GH72" s="58">
        <v>166.77542031000002</v>
      </c>
      <c r="GI72" s="58">
        <v>-114.082182</v>
      </c>
      <c r="GJ72" s="58">
        <v>-78.964098330001207</v>
      </c>
      <c r="GK72" s="58">
        <v>-148.98843069999816</v>
      </c>
      <c r="GL72" s="58">
        <v>351.26787100000001</v>
      </c>
      <c r="GM72" s="58">
        <v>332.34338700000001</v>
      </c>
      <c r="GN72" s="58">
        <v>23.39534733000005</v>
      </c>
      <c r="GO72" s="58">
        <v>33.438797000000001</v>
      </c>
      <c r="GP72" s="58">
        <v>-67.715528000000006</v>
      </c>
      <c r="GQ72" s="58">
        <v>-301.70630399999999</v>
      </c>
      <c r="GR72" s="58">
        <v>-227.3855989500006</v>
      </c>
      <c r="GS72" s="58">
        <v>-653.21684600000003</v>
      </c>
      <c r="GT72" s="58">
        <f>SUM(GH72:GS72)</f>
        <v>-684.83816533999982</v>
      </c>
      <c r="GU72" s="59">
        <f>GU7-GU40</f>
        <v>-652.04796327000258</v>
      </c>
      <c r="GV72" s="58">
        <v>-31.810944639999967</v>
      </c>
      <c r="GW72" s="58">
        <v>-140.97421399999999</v>
      </c>
      <c r="GX72" s="59">
        <v>-482.64131300000003</v>
      </c>
      <c r="GY72" s="59">
        <v>-240.61214000000001</v>
      </c>
      <c r="GZ72" s="59">
        <v>355.45548724999986</v>
      </c>
      <c r="HA72" s="59">
        <v>156.09987741000015</v>
      </c>
      <c r="HB72" s="59">
        <v>-97.089029000000011</v>
      </c>
      <c r="HC72" s="59">
        <v>158.47285400000001</v>
      </c>
      <c r="HD72" s="59">
        <v>-282.55442072000153</v>
      </c>
      <c r="HE72" s="59">
        <v>-290.25397397999888</v>
      </c>
      <c r="HF72" s="59">
        <v>-220.82746247999984</v>
      </c>
      <c r="HG72" s="59">
        <v>-576.75079821000065</v>
      </c>
      <c r="HH72" s="59">
        <f t="shared" si="15"/>
        <v>-1693.4860773700011</v>
      </c>
      <c r="HI72" s="59">
        <v>-72.552041289999835</v>
      </c>
      <c r="HJ72" s="59">
        <v>400.34217100000012</v>
      </c>
      <c r="HK72" s="59">
        <v>-434.95398685000032</v>
      </c>
      <c r="HL72" s="59">
        <v>-141.63278071999986</v>
      </c>
      <c r="HM72" s="59"/>
      <c r="HN72" s="59"/>
      <c r="HO72" s="59"/>
      <c r="HP72" s="59"/>
      <c r="HQ72" s="59"/>
      <c r="HR72" s="59"/>
      <c r="HS72" s="59"/>
      <c r="HT72" s="59"/>
      <c r="HU72" s="286">
        <f t="shared" si="16"/>
        <v>-896.03861199999994</v>
      </c>
      <c r="HV72" s="286">
        <f t="shared" si="17"/>
        <v>-248.796638</v>
      </c>
      <c r="HW72" s="282">
        <f t="shared" si="30"/>
        <v>647.24197399999991</v>
      </c>
      <c r="HX72" s="282"/>
    </row>
    <row r="73" spans="1:232" ht="20">
      <c r="A73" s="245" t="s">
        <v>182</v>
      </c>
      <c r="C73" s="244" t="s">
        <v>183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213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204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235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213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204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235"/>
      <c r="HJ73" s="213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15"/>
      <c r="HX73" s="115"/>
    </row>
    <row r="74" spans="1:232" ht="30.5">
      <c r="D74" s="7"/>
      <c r="EQ74" s="214"/>
      <c r="FE74" s="31"/>
      <c r="FF74" s="23"/>
      <c r="FG74" s="23"/>
      <c r="FH74" s="218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51"/>
      <c r="FT74" s="236"/>
      <c r="FU74" s="236"/>
      <c r="FV74" s="236"/>
      <c r="FW74" s="236"/>
      <c r="FX74" s="236"/>
      <c r="FY74" s="236"/>
      <c r="FZ74" s="236"/>
      <c r="GA74" s="236"/>
      <c r="GB74" s="236"/>
      <c r="GC74" s="236"/>
      <c r="GD74" s="236"/>
      <c r="GE74" s="236"/>
      <c r="GF74" s="236"/>
      <c r="GG74" s="213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204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235"/>
      <c r="HJ74" s="213"/>
    </row>
    <row r="75" spans="1:232">
      <c r="GU75" s="8"/>
    </row>
    <row r="76" spans="1:232">
      <c r="GU76" s="8"/>
    </row>
    <row r="77" spans="1:232">
      <c r="GU77" s="8"/>
    </row>
    <row r="78" spans="1:232">
      <c r="GU78" s="8"/>
    </row>
  </sheetData>
  <mergeCells count="19">
    <mergeCell ref="HI5:HT5"/>
    <mergeCell ref="A5:A6"/>
    <mergeCell ref="DB5:DM5"/>
    <mergeCell ref="FT5:GE5"/>
    <mergeCell ref="AX5:BI5"/>
    <mergeCell ref="BL5:BW5"/>
    <mergeCell ref="BZ5:CK5"/>
    <mergeCell ref="DP5:EA5"/>
    <mergeCell ref="ED5:EO5"/>
    <mergeCell ref="ER5:FC5"/>
    <mergeCell ref="FF5:FQ5"/>
    <mergeCell ref="CN5:CY5"/>
    <mergeCell ref="B5:B6"/>
    <mergeCell ref="H5:S5"/>
    <mergeCell ref="V5:AG5"/>
    <mergeCell ref="AJ5:AU5"/>
    <mergeCell ref="C5:C6"/>
    <mergeCell ref="GH5:GS5"/>
    <mergeCell ref="GV5:HG5"/>
  </mergeCells>
  <conditionalFormatting sqref="BL7:DV12">
    <cfRule type="cellIs" dxfId="401" priority="336" operator="between">
      <formula>-0.00000045</formula>
      <formula>0.00000045</formula>
    </cfRule>
  </conditionalFormatting>
  <conditionalFormatting sqref="BL14:DV72">
    <cfRule type="cellIs" dxfId="400" priority="330" operator="between">
      <formula>-0.00000045</formula>
      <formula>0.00000045</formula>
    </cfRule>
  </conditionalFormatting>
  <conditionalFormatting sqref="DW7:EA72">
    <cfRule type="cellIs" dxfId="399" priority="329" operator="between">
      <formula>-0.00000045</formula>
      <formula>0.00000045</formula>
    </cfRule>
  </conditionalFormatting>
  <conditionalFormatting sqref="EB7:EC12">
    <cfRule type="cellIs" dxfId="398" priority="187" operator="between">
      <formula>-0.00000045</formula>
      <formula>0.00000045</formula>
    </cfRule>
  </conditionalFormatting>
  <conditionalFormatting sqref="EB14:EC72">
    <cfRule type="cellIs" dxfId="397" priority="178" operator="between">
      <formula>-0.00000045</formula>
      <formula>0.00000045</formula>
    </cfRule>
  </conditionalFormatting>
  <conditionalFormatting sqref="ED7:EG72">
    <cfRule type="cellIs" dxfId="396" priority="231" operator="between">
      <formula>-0.00000045</formula>
      <formula>0.00000045</formula>
    </cfRule>
  </conditionalFormatting>
  <conditionalFormatting sqref="EH7:EH38">
    <cfRule type="cellIs" dxfId="395" priority="238" operator="between">
      <formula>-0.00000045</formula>
      <formula>0.00000045</formula>
    </cfRule>
  </conditionalFormatting>
  <conditionalFormatting sqref="EH40:EH72">
    <cfRule type="cellIs" dxfId="394" priority="232" operator="between">
      <formula>-0.00000045</formula>
      <formula>0.00000045</formula>
    </cfRule>
  </conditionalFormatting>
  <conditionalFormatting sqref="EI7:EI56">
    <cfRule type="cellIs" dxfId="393" priority="226" operator="between">
      <formula>-0.00000045</formula>
      <formula>0.00000045</formula>
    </cfRule>
  </conditionalFormatting>
  <conditionalFormatting sqref="EI71:EJ72">
    <cfRule type="cellIs" dxfId="392" priority="193" operator="between">
      <formula>-0.00000045</formula>
      <formula>0.00000045</formula>
    </cfRule>
  </conditionalFormatting>
  <conditionalFormatting sqref="EJ55:EJ56">
    <cfRule type="cellIs" dxfId="391" priority="192" operator="between">
      <formula>-0.00000045</formula>
      <formula>0.00000045</formula>
    </cfRule>
  </conditionalFormatting>
  <conditionalFormatting sqref="EJ7:EK14">
    <cfRule type="cellIs" dxfId="390" priority="217" operator="between">
      <formula>-0.00000045</formula>
      <formula>0.00000045</formula>
    </cfRule>
  </conditionalFormatting>
  <conditionalFormatting sqref="EJ16:EK53">
    <cfRule type="cellIs" dxfId="389" priority="215" operator="between">
      <formula>-0.00000045</formula>
      <formula>0.00000045</formula>
    </cfRule>
  </conditionalFormatting>
  <conditionalFormatting sqref="EK55 EI57:EK70">
    <cfRule type="cellIs" dxfId="388" priority="218" operator="between">
      <formula>-0.00000045</formula>
      <formula>0.00000045</formula>
    </cfRule>
  </conditionalFormatting>
  <conditionalFormatting sqref="EK72">
    <cfRule type="cellIs" dxfId="387" priority="214" operator="between">
      <formula>-0.00000045</formula>
      <formula>0.00000045</formula>
    </cfRule>
  </conditionalFormatting>
  <conditionalFormatting sqref="EP3">
    <cfRule type="cellIs" dxfId="386" priority="145" operator="between">
      <formula>-0.00000045</formula>
      <formula>0.00000045</formula>
    </cfRule>
  </conditionalFormatting>
  <conditionalFormatting sqref="EP13">
    <cfRule type="cellIs" dxfId="385" priority="176" operator="between">
      <formula>-0.00000045</formula>
      <formula>0.00000045</formula>
    </cfRule>
  </conditionalFormatting>
  <conditionalFormatting sqref="EP7:EQ12">
    <cfRule type="cellIs" dxfId="384" priority="120" operator="between">
      <formula>-0.00000045</formula>
      <formula>0.00000045</formula>
    </cfRule>
  </conditionalFormatting>
  <conditionalFormatting sqref="EP14:EQ71">
    <cfRule type="cellIs" dxfId="383" priority="107" operator="between">
      <formula>-0.00000045</formula>
      <formula>0.00000045</formula>
    </cfRule>
  </conditionalFormatting>
  <conditionalFormatting sqref="EP72:EV72">
    <cfRule type="cellIs" dxfId="382" priority="123" operator="between">
      <formula>-0.00000045</formula>
      <formula>0.00000045</formula>
    </cfRule>
  </conditionalFormatting>
  <conditionalFormatting sqref="ES57:FC68">
    <cfRule type="cellIs" dxfId="381" priority="154" operator="between">
      <formula>-0.00000045</formula>
      <formula>0.00000045</formula>
    </cfRule>
  </conditionalFormatting>
  <conditionalFormatting sqref="EU30:EU35">
    <cfRule type="cellIs" dxfId="380" priority="175" operator="between">
      <formula>-0.00000045</formula>
      <formula>0.00000045</formula>
    </cfRule>
  </conditionalFormatting>
  <conditionalFormatting sqref="EW7:EW51 EV53:EW55">
    <cfRule type="cellIs" dxfId="379" priority="174" operator="between">
      <formula>-0.00000045</formula>
      <formula>0.00000045</formula>
    </cfRule>
  </conditionalFormatting>
  <conditionalFormatting sqref="EW70:FC72">
    <cfRule type="cellIs" dxfId="378" priority="155" operator="between">
      <formula>-0.00000045</formula>
      <formula>0.00000045</formula>
    </cfRule>
  </conditionalFormatting>
  <conditionalFormatting sqref="EX7:EX55">
    <cfRule type="cellIs" dxfId="377" priority="164" operator="between">
      <formula>-0.00000045</formula>
      <formula>0.00000045</formula>
    </cfRule>
  </conditionalFormatting>
  <conditionalFormatting sqref="EY7:FC51">
    <cfRule type="cellIs" dxfId="376" priority="128" operator="between">
      <formula>-0.00000045</formula>
      <formula>0.00000045</formula>
    </cfRule>
  </conditionalFormatting>
  <conditionalFormatting sqref="EY55:FC55">
    <cfRule type="cellIs" dxfId="375" priority="156" operator="between">
      <formula>-0.00000045</formula>
      <formula>0.00000045</formula>
    </cfRule>
  </conditionalFormatting>
  <conditionalFormatting sqref="EY53:FJ53">
    <cfRule type="cellIs" dxfId="374" priority="87" operator="between">
      <formula>-0.00000045</formula>
      <formula>0.00000045</formula>
    </cfRule>
  </conditionalFormatting>
  <conditionalFormatting sqref="FD13">
    <cfRule type="cellIs" dxfId="373" priority="105" operator="between">
      <formula>-0.00000045</formula>
      <formula>0.00000045</formula>
    </cfRule>
  </conditionalFormatting>
  <conditionalFormatting sqref="FD7:FE12">
    <cfRule type="cellIs" dxfId="372" priority="96" operator="between">
      <formula>-0.00000045</formula>
      <formula>0.00000045</formula>
    </cfRule>
  </conditionalFormatting>
  <conditionalFormatting sqref="FD14:FE52">
    <cfRule type="cellIs" dxfId="371" priority="88" operator="between">
      <formula>-0.00000045</formula>
      <formula>0.00000045</formula>
    </cfRule>
  </conditionalFormatting>
  <conditionalFormatting sqref="FD54:FE71">
    <cfRule type="cellIs" dxfId="370" priority="85" operator="between">
      <formula>-0.00000045</formula>
      <formula>0.00000045</formula>
    </cfRule>
  </conditionalFormatting>
  <conditionalFormatting sqref="FD72:FS72">
    <cfRule type="cellIs" dxfId="369" priority="64" operator="between">
      <formula>-0.00000045</formula>
      <formula>0.00000045</formula>
    </cfRule>
  </conditionalFormatting>
  <conditionalFormatting sqref="FF7:FQ7 FT7:GE13 ER7:EV29 GH7:GS51 EL7:EO72 FF8:FJ51 DS13:DV13 FT17:GE51 ET30:ET34 ER30:ES35 EV30:EV38 ER36:EU38 ES39:EV39 ER40:EU40 EV40:EV51 ES41:EU51 ER41:ER69 ES53:EU53 ES54:ET54 ES55:EU55 FF55:FJ55 FL55:FQ55 FT55:GE55 GH55:GS55 FF57:FJ68 FL57:FQ68 FT57:GE68 GH57:GS68 ER70:EV70 FF70:FJ71 FL70:FQ71 FT70:GE72 GH70:GS72 ES71:EV71">
    <cfRule type="cellIs" dxfId="368" priority="337" operator="between">
      <formula>-0.00000045</formula>
      <formula>0.00000045</formula>
    </cfRule>
  </conditionalFormatting>
  <conditionalFormatting sqref="FK8:FK71">
    <cfRule type="cellIs" dxfId="367" priority="100" operator="between">
      <formula>-0.00000045</formula>
      <formula>0.00000045</formula>
    </cfRule>
  </conditionalFormatting>
  <conditionalFormatting sqref="FL8:FQ51">
    <cfRule type="cellIs" dxfId="366" priority="99" operator="between">
      <formula>-0.00000045</formula>
      <formula>0.00000045</formula>
    </cfRule>
  </conditionalFormatting>
  <conditionalFormatting sqref="FL53:GS53">
    <cfRule type="cellIs" dxfId="365" priority="50" operator="between">
      <formula>-0.00000045</formula>
      <formula>0.00000045</formula>
    </cfRule>
  </conditionalFormatting>
  <conditionalFormatting sqref="FR13">
    <cfRule type="cellIs" dxfId="364" priority="82" operator="between">
      <formula>-0.00000045</formula>
      <formula>0.00000045</formula>
    </cfRule>
  </conditionalFormatting>
  <conditionalFormatting sqref="FR7:FS12">
    <cfRule type="cellIs" dxfId="363" priority="78" operator="between">
      <formula>-0.00000045</formula>
      <formula>0.00000045</formula>
    </cfRule>
  </conditionalFormatting>
  <conditionalFormatting sqref="FR17:FS52">
    <cfRule type="cellIs" dxfId="362" priority="70" operator="between">
      <formula>-0.00000045</formula>
      <formula>0.00000045</formula>
    </cfRule>
  </conditionalFormatting>
  <conditionalFormatting sqref="FR54:FS71">
    <cfRule type="cellIs" dxfId="361" priority="65" operator="between">
      <formula>-0.00000045</formula>
      <formula>0.00000045</formula>
    </cfRule>
  </conditionalFormatting>
  <conditionalFormatting sqref="GF13 FR14:GG16">
    <cfRule type="cellIs" dxfId="360" priority="62" operator="between">
      <formula>-0.00000045</formula>
      <formula>0.00000045</formula>
    </cfRule>
  </conditionalFormatting>
  <conditionalFormatting sqref="GF7:GG12">
    <cfRule type="cellIs" dxfId="359" priority="59" operator="between">
      <formula>-0.00000045</formula>
      <formula>0.00000045</formula>
    </cfRule>
  </conditionalFormatting>
  <conditionalFormatting sqref="GF17:GG52">
    <cfRule type="cellIs" dxfId="358" priority="51" operator="between">
      <formula>-0.00000045</formula>
      <formula>0.00000045</formula>
    </cfRule>
  </conditionalFormatting>
  <conditionalFormatting sqref="GF54:GG72">
    <cfRule type="cellIs" dxfId="357" priority="45" operator="between">
      <formula>-0.00000045</formula>
      <formula>0.00000045</formula>
    </cfRule>
  </conditionalFormatting>
  <conditionalFormatting sqref="GT13">
    <cfRule type="cellIs" dxfId="356" priority="23" operator="between">
      <formula>-0.00000045</formula>
      <formula>0.00000045</formula>
    </cfRule>
  </conditionalFormatting>
  <conditionalFormatting sqref="GT7:GU12">
    <cfRule type="cellIs" dxfId="355" priority="17" operator="between">
      <formula>-0.00000045</formula>
      <formula>0.00000045</formula>
    </cfRule>
  </conditionalFormatting>
  <conditionalFormatting sqref="GT14:GU72">
    <cfRule type="cellIs" dxfId="354" priority="5" operator="between">
      <formula>-0.00000045</formula>
      <formula>0.00000045</formula>
    </cfRule>
  </conditionalFormatting>
  <conditionalFormatting sqref="GV7:HV51 GV55:HV55 GV57:HV68 GV70:HV72">
    <cfRule type="cellIs" dxfId="353" priority="21" operator="between">
      <formula>-0.00000045</formula>
      <formula>0.00000045</formula>
    </cfRule>
  </conditionalFormatting>
  <conditionalFormatting sqref="GV53:HV53">
    <cfRule type="cellIs" dxfId="352" priority="20" operator="between">
      <formula>-0.00000045</formula>
      <formula>0.00000045</formula>
    </cfRule>
  </conditionalFormatting>
  <conditionalFormatting sqref="HW7:HX72">
    <cfRule type="containsErrors" dxfId="351" priority="28">
      <formula>ISERROR(HW7)</formula>
    </cfRule>
    <cfRule type="cellIs" dxfId="350" priority="27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15" fitToWidth="0" orientation="landscape" errors="dash" r:id="rId1"/>
  <ignoredErrors>
    <ignoredError sqref="BJ7:BJ9" formula="1"/>
    <ignoredError sqref="BJ31:BJ38 BJ14 BJ40:BJ72 BJ12 BJ17:BJ29 BJ10" formula="1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D5F3E8"/>
  </sheetPr>
  <dimension ref="A1:WD88"/>
  <sheetViews>
    <sheetView tabSelected="1" zoomScale="55" zoomScaleNormal="55" zoomScaleSheetLayoutView="70" workbookViewId="0">
      <pane xSplit="3" ySplit="7" topLeftCell="UQ34" activePane="bottomRight" state="frozen"/>
      <selection pane="topRight" activeCell="JA25" sqref="JA25"/>
      <selection pane="bottomLeft" activeCell="JA25" sqref="JA25"/>
      <selection pane="bottomRight" activeCell="WA4" sqref="WA4:WB4"/>
    </sheetView>
  </sheetViews>
  <sheetFormatPr defaultColWidth="9" defaultRowHeight="15.5" outlineLevelCol="2"/>
  <cols>
    <col min="1" max="1" width="31" style="2" hidden="1" customWidth="1"/>
    <col min="2" max="2" width="36" style="3" hidden="1" customWidth="1"/>
    <col min="3" max="3" width="59.5" style="2" customWidth="1"/>
    <col min="4" max="7" width="10.58203125" style="2" hidden="1" customWidth="1" outlineLevel="1"/>
    <col min="8" max="8" width="7.58203125" style="2" hidden="1" customWidth="1" outlineLevel="2"/>
    <col min="9" max="10" width="8.5" style="2" hidden="1" customWidth="1" outlineLevel="2"/>
    <col min="11" max="18" width="7.58203125" style="2" hidden="1" customWidth="1" outlineLevel="2"/>
    <col min="19" max="19" width="8.5" style="2" hidden="1" customWidth="1" outlineLevel="2"/>
    <col min="20" max="20" width="18.5" style="2" hidden="1" customWidth="1" outlineLevel="2"/>
    <col min="21" max="21" width="29.58203125" style="2" hidden="1" customWidth="1" outlineLevel="2"/>
    <col min="22" max="22" width="9.58203125" style="2" hidden="1" customWidth="1" outlineLevel="2"/>
    <col min="23" max="23" width="10.58203125" style="2" hidden="1" customWidth="1" outlineLevel="1" collapsed="1"/>
    <col min="24" max="34" width="7.58203125" style="2" hidden="1" customWidth="1" outlineLevel="2"/>
    <col min="35" max="35" width="8.5" style="2" hidden="1" customWidth="1" outlineLevel="2"/>
    <col min="36" max="36" width="18.5" style="2" hidden="1" customWidth="1" outlineLevel="2"/>
    <col min="37" max="37" width="29.58203125" style="2" hidden="1" customWidth="1" outlineLevel="2"/>
    <col min="38" max="38" width="9.58203125" style="2" hidden="1" customWidth="1" outlineLevel="2"/>
    <col min="39" max="39" width="10.08203125" style="2" hidden="1" customWidth="1" outlineLevel="1" collapsed="1"/>
    <col min="40" max="40" width="7.58203125" style="2" hidden="1" customWidth="1" outlineLevel="2"/>
    <col min="41" max="41" width="8.5" style="2" hidden="1" customWidth="1" outlineLevel="2"/>
    <col min="42" max="49" width="7.58203125" style="2" hidden="1" customWidth="1" outlineLevel="2"/>
    <col min="50" max="51" width="8.5" style="2" hidden="1" customWidth="1" outlineLevel="2"/>
    <col min="52" max="52" width="18.5" style="2" hidden="1" customWidth="1" outlineLevel="2"/>
    <col min="53" max="53" width="29.58203125" style="2" hidden="1" customWidth="1" outlineLevel="2"/>
    <col min="54" max="54" width="9.58203125" style="2" hidden="1" customWidth="1" outlineLevel="2"/>
    <col min="55" max="55" width="13.5" style="2" hidden="1" customWidth="1" outlineLevel="1" collapsed="1"/>
    <col min="56" max="57" width="13.5" style="2" hidden="1" customWidth="1" outlineLevel="1"/>
    <col min="58" max="58" width="13.5" style="2" hidden="1" customWidth="1" outlineLevel="1" collapsed="1"/>
    <col min="59" max="96" width="13.5" style="2" hidden="1" customWidth="1" outlineLevel="1"/>
    <col min="97" max="97" width="13.5" style="2" hidden="1" customWidth="1" collapsed="1"/>
    <col min="98" max="99" width="13.5" style="2" hidden="1" customWidth="1"/>
    <col min="100" max="138" width="13.5" style="2" hidden="1" customWidth="1" outlineLevel="1"/>
    <col min="139" max="139" width="13.5" style="2" hidden="1" customWidth="1" collapsed="1"/>
    <col min="140" max="141" width="13.5" style="2" hidden="1" customWidth="1"/>
    <col min="142" max="180" width="13.5" style="2" hidden="1" customWidth="1" outlineLevel="1"/>
    <col min="181" max="181" width="13.5" style="2" hidden="1" customWidth="1" collapsed="1"/>
    <col min="182" max="183" width="13.5" style="2" hidden="1" customWidth="1"/>
    <col min="184" max="222" width="13.5" style="2" hidden="1" customWidth="1" outlineLevel="1"/>
    <col min="223" max="223" width="13.5" style="2" hidden="1" customWidth="1" collapsed="1"/>
    <col min="224" max="225" width="13.5" style="2" hidden="1" customWidth="1"/>
    <col min="226" max="264" width="13.5" style="2" hidden="1" customWidth="1" outlineLevel="1"/>
    <col min="265" max="265" width="15.08203125" style="2" customWidth="1" collapsed="1"/>
    <col min="266" max="266" width="16.33203125" style="2" customWidth="1"/>
    <col min="267" max="267" width="13.5" style="2" customWidth="1"/>
    <col min="268" max="303" width="13.5" style="2" hidden="1" customWidth="1" outlineLevel="1"/>
    <col min="304" max="306" width="12.58203125" style="2" hidden="1" customWidth="1" outlineLevel="1"/>
    <col min="307" max="307" width="12.58203125" style="2" customWidth="1" collapsed="1"/>
    <col min="308" max="308" width="12.58203125" style="2" customWidth="1"/>
    <col min="309" max="309" width="16.08203125" style="2" bestFit="1" customWidth="1"/>
    <col min="310" max="347" width="13.5" style="2" hidden="1" customWidth="1" outlineLevel="1"/>
    <col min="348" max="348" width="11.58203125" style="2" hidden="1" customWidth="1" outlineLevel="1"/>
    <col min="349" max="349" width="13.5" style="2" customWidth="1" collapsed="1"/>
    <col min="350" max="350" width="13.5" style="2" customWidth="1"/>
    <col min="351" max="351" width="15" style="2" customWidth="1"/>
    <col min="352" max="352" width="15.58203125" style="2" hidden="1" customWidth="1" outlineLevel="1"/>
    <col min="353" max="390" width="13.5" style="2" hidden="1" customWidth="1" outlineLevel="1"/>
    <col min="391" max="391" width="13.5" style="2" customWidth="1" collapsed="1"/>
    <col min="392" max="392" width="13.5" style="2" customWidth="1"/>
    <col min="393" max="393" width="14.58203125" style="2" customWidth="1"/>
    <col min="394" max="395" width="13.5" style="2" hidden="1" customWidth="1" outlineLevel="1"/>
    <col min="396" max="396" width="17.58203125" style="2" hidden="1" customWidth="1" outlineLevel="1"/>
    <col min="397" max="429" width="13.5" style="2" hidden="1" customWidth="1" outlineLevel="1"/>
    <col min="430" max="430" width="13.5" style="2" hidden="1" customWidth="1" outlineLevel="1" collapsed="1"/>
    <col min="431" max="432" width="13.5" style="2" hidden="1" customWidth="1" outlineLevel="1"/>
    <col min="433" max="433" width="13.5" style="2" customWidth="1" collapsed="1"/>
    <col min="434" max="434" width="16.33203125" style="2" customWidth="1"/>
    <col min="435" max="435" width="18.75" style="2" bestFit="1" customWidth="1"/>
    <col min="436" max="474" width="13.5" style="2" hidden="1" customWidth="1" outlineLevel="1"/>
    <col min="475" max="475" width="15.08203125" style="2" customWidth="1" collapsed="1"/>
    <col min="476" max="476" width="17" style="2" bestFit="1" customWidth="1"/>
    <col min="477" max="477" width="13.5" style="2" customWidth="1"/>
    <col min="478" max="514" width="13.5" style="2" hidden="1" customWidth="1" outlineLevel="1"/>
    <col min="515" max="515" width="12.5" style="2" hidden="1" customWidth="1" outlineLevel="1"/>
    <col min="516" max="516" width="15.08203125" style="2" hidden="1" customWidth="1" outlineLevel="1"/>
    <col min="517" max="517" width="16.08203125" style="2" bestFit="1" customWidth="1" collapsed="1"/>
    <col min="518" max="518" width="15.83203125" style="2" customWidth="1"/>
    <col min="519" max="519" width="17.58203125" style="2" customWidth="1"/>
    <col min="520" max="555" width="13.5" style="2" hidden="1" customWidth="1" outlineLevel="1"/>
    <col min="556" max="556" width="15.83203125" style="2" customWidth="1" collapsed="1"/>
    <col min="557" max="557" width="15.5" style="2" customWidth="1"/>
    <col min="558" max="558" width="13.5" style="2" customWidth="1"/>
    <col min="559" max="559" width="15.75" style="2" customWidth="1"/>
    <col min="560" max="560" width="14.58203125" style="2" customWidth="1"/>
    <col min="561" max="570" width="13.5" style="2" customWidth="1"/>
    <col min="571" max="594" width="13.5" style="2" hidden="1" customWidth="1" outlineLevel="1"/>
    <col min="595" max="595" width="13.5" style="2" customWidth="1" collapsed="1"/>
    <col min="596" max="596" width="13.5" style="2" customWidth="1"/>
    <col min="597" max="597" width="13.5" style="105" customWidth="1"/>
    <col min="598" max="598" width="15.5" style="2" bestFit="1" customWidth="1" collapsed="1"/>
    <col min="599" max="599" width="12.33203125" style="2" customWidth="1"/>
    <col min="600" max="600" width="15.08203125" style="2" bestFit="1" customWidth="1"/>
    <col min="601" max="602" width="16.5" style="105" customWidth="1"/>
    <col min="603" max="16384" width="9" style="3"/>
  </cols>
  <sheetData>
    <row r="1" spans="1:602" ht="15.65" hidden="1" customHeight="1">
      <c r="D1" s="2">
        <v>2007</v>
      </c>
      <c r="E1" s="2">
        <v>2008</v>
      </c>
      <c r="F1" s="2">
        <v>2009</v>
      </c>
      <c r="G1" s="2">
        <v>2010</v>
      </c>
      <c r="H1" s="2">
        <v>2011</v>
      </c>
      <c r="I1" s="2">
        <v>2011</v>
      </c>
      <c r="J1" s="2">
        <v>2011</v>
      </c>
      <c r="K1" s="2">
        <v>2011</v>
      </c>
      <c r="L1" s="2">
        <v>2011</v>
      </c>
      <c r="M1" s="2">
        <v>2011</v>
      </c>
      <c r="N1" s="2">
        <v>2011</v>
      </c>
      <c r="O1" s="2">
        <v>2011</v>
      </c>
      <c r="P1" s="2">
        <v>2011</v>
      </c>
      <c r="Q1" s="2">
        <v>2011</v>
      </c>
      <c r="R1" s="2">
        <v>2011</v>
      </c>
      <c r="S1" s="2">
        <v>2011</v>
      </c>
      <c r="T1" s="2">
        <v>2011</v>
      </c>
      <c r="U1" s="2">
        <v>2011</v>
      </c>
      <c r="V1" s="2">
        <v>2011</v>
      </c>
      <c r="W1" s="2">
        <v>2011</v>
      </c>
      <c r="X1" s="2">
        <v>2012</v>
      </c>
      <c r="Y1" s="2">
        <v>2012</v>
      </c>
      <c r="Z1" s="2">
        <v>2012</v>
      </c>
      <c r="AA1" s="2">
        <v>2012</v>
      </c>
      <c r="AB1" s="2">
        <v>2012</v>
      </c>
      <c r="AC1" s="2">
        <v>2012</v>
      </c>
      <c r="AD1" s="2">
        <v>2012</v>
      </c>
      <c r="AE1" s="2">
        <v>2012</v>
      </c>
      <c r="AF1" s="2">
        <v>2012</v>
      </c>
      <c r="AG1" s="2">
        <v>2012</v>
      </c>
      <c r="AH1" s="2">
        <v>2012</v>
      </c>
      <c r="AI1" s="2">
        <v>2012</v>
      </c>
      <c r="AJ1" s="2">
        <v>2012</v>
      </c>
      <c r="AK1" s="2">
        <v>2012</v>
      </c>
      <c r="AL1" s="2">
        <v>2012</v>
      </c>
      <c r="AM1" s="2">
        <v>2012</v>
      </c>
      <c r="AN1" s="2">
        <v>2013</v>
      </c>
      <c r="AO1" s="2">
        <v>2013</v>
      </c>
      <c r="AP1" s="2">
        <v>2013</v>
      </c>
      <c r="AQ1" s="2">
        <v>2013</v>
      </c>
      <c r="AR1" s="2">
        <v>2013</v>
      </c>
      <c r="AS1" s="2">
        <v>2013</v>
      </c>
      <c r="AT1" s="2">
        <v>2013</v>
      </c>
      <c r="AU1" s="2">
        <v>2013</v>
      </c>
      <c r="AV1" s="2">
        <v>2013</v>
      </c>
      <c r="AW1" s="2">
        <v>2013</v>
      </c>
      <c r="AX1" s="2">
        <v>2013</v>
      </c>
      <c r="AY1" s="2">
        <v>2013</v>
      </c>
      <c r="AZ1" s="2">
        <v>2013</v>
      </c>
      <c r="BA1" s="2">
        <v>2013</v>
      </c>
      <c r="BB1" s="2">
        <v>2013</v>
      </c>
      <c r="BC1" s="2">
        <v>2013</v>
      </c>
      <c r="BD1" s="2">
        <v>2013</v>
      </c>
      <c r="BE1" s="2">
        <v>2013</v>
      </c>
      <c r="BF1" s="2">
        <v>2014</v>
      </c>
      <c r="BG1" s="2">
        <v>2014</v>
      </c>
      <c r="BH1" s="2">
        <v>2014</v>
      </c>
      <c r="BI1" s="2">
        <v>2014</v>
      </c>
      <c r="BJ1" s="2">
        <v>2014</v>
      </c>
      <c r="BK1" s="2">
        <v>2014</v>
      </c>
      <c r="BL1" s="2">
        <v>2014</v>
      </c>
      <c r="BM1" s="2">
        <v>2014</v>
      </c>
      <c r="BN1" s="2">
        <v>2014</v>
      </c>
      <c r="BO1" s="2">
        <v>2014</v>
      </c>
      <c r="BP1" s="2">
        <v>2014</v>
      </c>
      <c r="BQ1" s="2">
        <v>2014</v>
      </c>
      <c r="BR1" s="2">
        <v>2014</v>
      </c>
      <c r="BS1" s="2">
        <v>2014</v>
      </c>
      <c r="BT1" s="2">
        <v>2014</v>
      </c>
      <c r="BU1" s="2">
        <v>2014</v>
      </c>
      <c r="BV1" s="2">
        <v>2014</v>
      </c>
      <c r="BW1" s="2">
        <v>2014</v>
      </c>
      <c r="BX1" s="2">
        <v>2014</v>
      </c>
      <c r="BY1" s="2">
        <v>2014</v>
      </c>
      <c r="BZ1" s="2">
        <v>2014</v>
      </c>
      <c r="CA1" s="2">
        <v>2014</v>
      </c>
      <c r="CB1" s="2">
        <v>2014</v>
      </c>
      <c r="CC1" s="2">
        <v>2014</v>
      </c>
      <c r="CD1" s="2">
        <v>2014</v>
      </c>
      <c r="CE1" s="2">
        <v>2014</v>
      </c>
      <c r="CF1" s="2">
        <v>2014</v>
      </c>
      <c r="CG1" s="2">
        <v>2014</v>
      </c>
      <c r="CH1" s="2">
        <v>2014</v>
      </c>
      <c r="CI1" s="2">
        <v>2014</v>
      </c>
      <c r="CJ1" s="2">
        <v>2014</v>
      </c>
      <c r="CK1" s="2">
        <v>2014</v>
      </c>
      <c r="CL1" s="2">
        <v>2014</v>
      </c>
      <c r="CM1" s="2">
        <v>2014</v>
      </c>
      <c r="CN1" s="2">
        <v>2014</v>
      </c>
      <c r="CO1" s="2">
        <v>2014</v>
      </c>
      <c r="CP1" s="2">
        <v>2014</v>
      </c>
      <c r="CQ1" s="2">
        <v>2014</v>
      </c>
      <c r="CR1" s="2">
        <v>2014</v>
      </c>
      <c r="CS1" s="2">
        <v>2014</v>
      </c>
      <c r="CT1" s="2">
        <v>2014</v>
      </c>
      <c r="CU1" s="2">
        <v>2014</v>
      </c>
      <c r="CV1" s="2">
        <v>2015</v>
      </c>
      <c r="CW1" s="2">
        <v>2015</v>
      </c>
      <c r="CX1" s="2">
        <v>2015</v>
      </c>
      <c r="CY1" s="2">
        <v>2015</v>
      </c>
      <c r="CZ1" s="2">
        <v>2015</v>
      </c>
      <c r="DA1" s="2">
        <v>2015</v>
      </c>
      <c r="DB1" s="2">
        <v>2015</v>
      </c>
      <c r="DC1" s="2">
        <v>2015</v>
      </c>
      <c r="DD1" s="2">
        <v>2015</v>
      </c>
      <c r="DE1" s="2">
        <v>2015</v>
      </c>
      <c r="DF1" s="2">
        <v>2015</v>
      </c>
      <c r="DG1" s="2">
        <v>2015</v>
      </c>
      <c r="DH1" s="2">
        <v>2015</v>
      </c>
      <c r="DI1" s="2">
        <v>2015</v>
      </c>
      <c r="DJ1" s="2">
        <v>2015</v>
      </c>
      <c r="DK1" s="2">
        <v>2015</v>
      </c>
      <c r="DL1" s="2">
        <v>2015</v>
      </c>
      <c r="DM1" s="2">
        <v>2015</v>
      </c>
      <c r="DN1" s="2">
        <v>2015</v>
      </c>
      <c r="DO1" s="2">
        <v>2015</v>
      </c>
      <c r="DP1" s="2">
        <v>2015</v>
      </c>
      <c r="DQ1" s="2">
        <v>2015</v>
      </c>
      <c r="DR1" s="2">
        <v>2015</v>
      </c>
      <c r="DS1" s="2">
        <v>2015</v>
      </c>
      <c r="DT1" s="2">
        <v>2015</v>
      </c>
      <c r="DU1" s="2">
        <v>2015</v>
      </c>
      <c r="DV1" s="2">
        <v>2015</v>
      </c>
      <c r="DW1" s="2">
        <v>2015</v>
      </c>
      <c r="DX1" s="2">
        <v>2015</v>
      </c>
      <c r="DY1" s="2">
        <v>2015</v>
      </c>
      <c r="DZ1" s="2">
        <v>2015</v>
      </c>
      <c r="EA1" s="2">
        <v>2015</v>
      </c>
      <c r="EB1" s="2">
        <v>2015</v>
      </c>
      <c r="EC1" s="2">
        <v>2015</v>
      </c>
      <c r="ED1" s="2">
        <v>2015</v>
      </c>
      <c r="EE1" s="2">
        <v>2015</v>
      </c>
      <c r="EF1" s="2">
        <v>2015</v>
      </c>
      <c r="EG1" s="2">
        <v>2015</v>
      </c>
      <c r="EH1" s="2">
        <v>2015</v>
      </c>
      <c r="EI1" s="2">
        <v>2015</v>
      </c>
      <c r="EJ1" s="2">
        <v>2015</v>
      </c>
      <c r="EK1" s="2">
        <v>2015</v>
      </c>
      <c r="EL1" s="2">
        <v>2016</v>
      </c>
      <c r="EM1" s="2">
        <v>2016</v>
      </c>
      <c r="EN1" s="2">
        <v>2016</v>
      </c>
      <c r="EO1" s="2">
        <v>2016</v>
      </c>
      <c r="EP1" s="2">
        <v>2016</v>
      </c>
      <c r="EQ1" s="2">
        <v>2016</v>
      </c>
      <c r="ER1" s="2">
        <v>2016</v>
      </c>
      <c r="ES1" s="2">
        <v>2016</v>
      </c>
      <c r="ET1" s="2">
        <v>2016</v>
      </c>
      <c r="EU1" s="2">
        <v>2016</v>
      </c>
      <c r="EV1" s="2">
        <v>2016</v>
      </c>
      <c r="EW1" s="2">
        <v>2016</v>
      </c>
      <c r="EX1" s="2">
        <v>2016</v>
      </c>
      <c r="EY1" s="2">
        <v>2016</v>
      </c>
      <c r="EZ1" s="2">
        <v>2016</v>
      </c>
      <c r="FA1" s="2">
        <v>2016</v>
      </c>
      <c r="FB1" s="2">
        <v>2016</v>
      </c>
      <c r="FC1" s="2">
        <v>2016</v>
      </c>
      <c r="FD1" s="2">
        <v>2016</v>
      </c>
      <c r="FE1" s="2">
        <v>2016</v>
      </c>
      <c r="FF1" s="2">
        <v>2016</v>
      </c>
      <c r="FG1" s="2">
        <v>2016</v>
      </c>
      <c r="FH1" s="2">
        <v>2016</v>
      </c>
      <c r="FI1" s="2">
        <v>2016</v>
      </c>
      <c r="FJ1" s="2">
        <v>2016</v>
      </c>
      <c r="FK1" s="2">
        <v>2016</v>
      </c>
      <c r="FL1" s="2">
        <v>2016</v>
      </c>
      <c r="FM1" s="2">
        <v>2016</v>
      </c>
      <c r="FN1" s="2">
        <v>2016</v>
      </c>
      <c r="FO1" s="2">
        <v>2016</v>
      </c>
      <c r="FP1" s="2">
        <v>2016</v>
      </c>
      <c r="FQ1" s="2">
        <v>2016</v>
      </c>
      <c r="FR1" s="2">
        <v>2016</v>
      </c>
      <c r="FS1" s="2">
        <v>2016</v>
      </c>
      <c r="FT1" s="2">
        <v>2016</v>
      </c>
      <c r="FU1" s="2">
        <v>2016</v>
      </c>
      <c r="FV1" s="2">
        <v>2016</v>
      </c>
      <c r="FW1" s="2">
        <v>2016</v>
      </c>
      <c r="FX1" s="2">
        <v>2016</v>
      </c>
      <c r="FY1" s="2">
        <v>2016</v>
      </c>
      <c r="FZ1" s="2">
        <v>2016</v>
      </c>
      <c r="GA1" s="2">
        <v>2016</v>
      </c>
      <c r="GB1" s="2">
        <v>2017</v>
      </c>
      <c r="GC1" s="2">
        <v>2017</v>
      </c>
      <c r="GD1" s="2">
        <v>2017</v>
      </c>
      <c r="GE1" s="2">
        <v>2017</v>
      </c>
      <c r="GF1" s="2">
        <v>2017</v>
      </c>
      <c r="GG1" s="2">
        <v>2017</v>
      </c>
      <c r="GH1" s="2">
        <v>2017</v>
      </c>
      <c r="GI1" s="2">
        <v>2017</v>
      </c>
      <c r="GJ1" s="2">
        <v>2017</v>
      </c>
      <c r="GK1" s="2">
        <v>2017</v>
      </c>
      <c r="GL1" s="2">
        <v>2017</v>
      </c>
      <c r="GM1" s="2">
        <v>2017</v>
      </c>
      <c r="GN1" s="2">
        <v>2017</v>
      </c>
      <c r="GO1" s="2">
        <v>2017</v>
      </c>
      <c r="GP1" s="2">
        <v>2017</v>
      </c>
      <c r="GQ1" s="2">
        <v>2017</v>
      </c>
      <c r="GR1" s="2">
        <v>2017</v>
      </c>
      <c r="GS1" s="2">
        <v>2017</v>
      </c>
      <c r="GT1" s="2">
        <v>2017</v>
      </c>
      <c r="GU1" s="2">
        <v>2017</v>
      </c>
      <c r="GV1" s="2">
        <v>2017</v>
      </c>
      <c r="GW1" s="2">
        <v>2017</v>
      </c>
      <c r="GX1" s="2">
        <v>2017</v>
      </c>
      <c r="GY1" s="2">
        <v>2017</v>
      </c>
      <c r="GZ1" s="2">
        <v>2017</v>
      </c>
      <c r="HA1" s="2">
        <v>2017</v>
      </c>
      <c r="HB1" s="2">
        <v>2017</v>
      </c>
      <c r="HC1" s="2">
        <v>2017</v>
      </c>
      <c r="HD1" s="2">
        <v>2017</v>
      </c>
      <c r="HE1" s="2">
        <v>2017</v>
      </c>
      <c r="HF1" s="2">
        <v>2017</v>
      </c>
      <c r="HG1" s="2">
        <v>2017</v>
      </c>
      <c r="HH1" s="2">
        <v>2017</v>
      </c>
      <c r="HI1" s="2">
        <v>2017</v>
      </c>
      <c r="HJ1" s="2">
        <v>2017</v>
      </c>
      <c r="HK1" s="2">
        <v>2017</v>
      </c>
      <c r="HL1" s="2">
        <v>2017</v>
      </c>
      <c r="HM1" s="2">
        <v>2017</v>
      </c>
      <c r="HN1" s="2">
        <v>2017</v>
      </c>
      <c r="HO1" s="2">
        <v>2017</v>
      </c>
      <c r="HP1" s="2">
        <v>2017</v>
      </c>
      <c r="HQ1" s="2">
        <v>2017</v>
      </c>
      <c r="HR1" s="2">
        <v>2018</v>
      </c>
      <c r="HS1" s="2">
        <v>2018</v>
      </c>
      <c r="HT1" s="2">
        <v>2018</v>
      </c>
      <c r="HU1" s="2">
        <v>2018</v>
      </c>
      <c r="HV1" s="2">
        <v>2018</v>
      </c>
      <c r="HW1" s="2">
        <v>2018</v>
      </c>
      <c r="HX1" s="2">
        <v>2018</v>
      </c>
      <c r="HY1" s="2">
        <v>2018</v>
      </c>
      <c r="HZ1" s="2">
        <v>2018</v>
      </c>
      <c r="IA1" s="2">
        <v>2018</v>
      </c>
      <c r="IB1" s="2">
        <v>2018</v>
      </c>
      <c r="IC1" s="2">
        <v>2018</v>
      </c>
      <c r="ID1" s="2">
        <v>2018</v>
      </c>
      <c r="IE1" s="2">
        <v>2018</v>
      </c>
      <c r="IF1" s="2">
        <v>2018</v>
      </c>
      <c r="IG1" s="2">
        <v>2018</v>
      </c>
      <c r="IH1" s="2">
        <v>2018</v>
      </c>
      <c r="II1" s="2">
        <v>2018</v>
      </c>
      <c r="IJ1" s="2">
        <v>2018</v>
      </c>
      <c r="IK1" s="2">
        <v>2018</v>
      </c>
      <c r="IL1" s="2">
        <v>2018</v>
      </c>
      <c r="IM1" s="2">
        <v>2018</v>
      </c>
      <c r="IN1" s="2">
        <v>2018</v>
      </c>
      <c r="IO1" s="2">
        <v>2018</v>
      </c>
      <c r="IP1" s="2">
        <v>2018</v>
      </c>
      <c r="IQ1" s="2">
        <v>2018</v>
      </c>
      <c r="IR1" s="2">
        <v>2018</v>
      </c>
      <c r="IS1" s="2">
        <v>2018</v>
      </c>
      <c r="IT1" s="2">
        <v>2018</v>
      </c>
      <c r="IU1" s="2">
        <v>2018</v>
      </c>
      <c r="IV1" s="2">
        <v>2018</v>
      </c>
      <c r="IW1" s="2">
        <v>2018</v>
      </c>
      <c r="IX1" s="2">
        <v>2018</v>
      </c>
      <c r="IY1" s="2">
        <v>2018</v>
      </c>
      <c r="IZ1" s="2">
        <v>2018</v>
      </c>
      <c r="JA1" s="2">
        <v>2018</v>
      </c>
      <c r="JB1" s="2">
        <v>2018</v>
      </c>
      <c r="JC1" s="2">
        <v>2018</v>
      </c>
      <c r="JD1" s="2">
        <v>2018</v>
      </c>
      <c r="JE1" s="2">
        <v>2018</v>
      </c>
      <c r="JF1" s="2">
        <v>2018</v>
      </c>
      <c r="JG1" s="2">
        <v>2018</v>
      </c>
      <c r="JH1" s="2">
        <v>2019</v>
      </c>
      <c r="JI1" s="2">
        <v>2019</v>
      </c>
      <c r="JJ1" s="2">
        <v>2019</v>
      </c>
      <c r="JK1" s="2">
        <v>2019</v>
      </c>
      <c r="JL1" s="2">
        <v>2019</v>
      </c>
      <c r="JM1" s="2">
        <v>2019</v>
      </c>
      <c r="JN1" s="2">
        <v>2019</v>
      </c>
      <c r="JO1" s="2">
        <v>2019</v>
      </c>
      <c r="JP1" s="2">
        <v>2019</v>
      </c>
      <c r="JQ1" s="2">
        <v>2019</v>
      </c>
      <c r="JR1" s="2">
        <v>2019</v>
      </c>
      <c r="JS1" s="2">
        <v>2019</v>
      </c>
      <c r="JT1" s="2">
        <v>2019</v>
      </c>
      <c r="JU1" s="2">
        <v>2019</v>
      </c>
      <c r="JV1" s="2">
        <v>2019</v>
      </c>
      <c r="JW1" s="2">
        <v>2019</v>
      </c>
      <c r="JX1" s="2">
        <v>2019</v>
      </c>
      <c r="JY1" s="2">
        <v>2019</v>
      </c>
      <c r="JZ1" s="2">
        <v>2019</v>
      </c>
      <c r="KA1" s="2">
        <v>2019</v>
      </c>
      <c r="KB1" s="2">
        <v>2019</v>
      </c>
      <c r="KC1" s="2">
        <v>2019</v>
      </c>
      <c r="KD1" s="2">
        <v>2019</v>
      </c>
      <c r="KE1" s="2">
        <v>2019</v>
      </c>
      <c r="KF1" s="2">
        <v>2019</v>
      </c>
      <c r="KG1" s="2">
        <v>2019</v>
      </c>
      <c r="KH1" s="2">
        <v>2019</v>
      </c>
      <c r="KI1" s="2">
        <v>2019</v>
      </c>
      <c r="KJ1" s="2">
        <v>2019</v>
      </c>
      <c r="KK1" s="2">
        <v>2019</v>
      </c>
      <c r="KL1" s="2">
        <v>2019</v>
      </c>
      <c r="KM1" s="2">
        <v>2019</v>
      </c>
      <c r="KN1" s="2">
        <v>2019</v>
      </c>
      <c r="KO1" s="2">
        <v>2019</v>
      </c>
      <c r="KP1" s="2">
        <v>2019</v>
      </c>
      <c r="KQ1" s="2">
        <v>2019</v>
      </c>
      <c r="KR1" s="2">
        <v>2019</v>
      </c>
      <c r="KS1" s="2">
        <v>2019</v>
      </c>
      <c r="KT1" s="2">
        <v>2019</v>
      </c>
      <c r="KU1" s="2">
        <v>2019</v>
      </c>
      <c r="KV1" s="2">
        <v>2019</v>
      </c>
      <c r="KW1" s="2">
        <v>2019</v>
      </c>
      <c r="KX1" s="2">
        <v>2020</v>
      </c>
      <c r="KY1" s="2">
        <v>2020</v>
      </c>
      <c r="KZ1" s="2">
        <v>2020</v>
      </c>
      <c r="LA1" s="2">
        <v>2020</v>
      </c>
      <c r="LB1" s="2">
        <v>2020</v>
      </c>
      <c r="LC1" s="2">
        <v>2020</v>
      </c>
      <c r="LD1" s="2">
        <v>2020</v>
      </c>
      <c r="LE1" s="2">
        <v>2020</v>
      </c>
      <c r="LF1" s="2">
        <v>2020</v>
      </c>
      <c r="LG1" s="2">
        <v>2020</v>
      </c>
      <c r="LH1" s="2">
        <v>2020</v>
      </c>
      <c r="LI1" s="2">
        <v>2020</v>
      </c>
      <c r="LJ1" s="2">
        <v>2020</v>
      </c>
      <c r="LK1" s="2">
        <v>2020</v>
      </c>
      <c r="LL1" s="2">
        <v>2020</v>
      </c>
      <c r="LM1" s="2">
        <v>2020</v>
      </c>
      <c r="LN1" s="2">
        <v>2020</v>
      </c>
      <c r="LO1" s="2">
        <v>2020</v>
      </c>
      <c r="LP1" s="2">
        <v>2020</v>
      </c>
      <c r="LQ1" s="2">
        <v>2020</v>
      </c>
      <c r="LR1" s="2">
        <v>2020</v>
      </c>
      <c r="LS1" s="2">
        <v>2020</v>
      </c>
      <c r="LT1" s="2">
        <v>2020</v>
      </c>
      <c r="LU1" s="2">
        <v>2020</v>
      </c>
      <c r="LV1" s="2">
        <v>2020</v>
      </c>
      <c r="LW1" s="2">
        <v>2020</v>
      </c>
      <c r="LX1" s="2">
        <v>2020</v>
      </c>
      <c r="LY1" s="2">
        <v>2020</v>
      </c>
      <c r="LZ1" s="2">
        <v>2020</v>
      </c>
      <c r="MA1" s="2">
        <v>2020</v>
      </c>
      <c r="MB1" s="2">
        <v>2020</v>
      </c>
      <c r="MC1" s="2">
        <v>2020</v>
      </c>
      <c r="MD1" s="2">
        <v>2020</v>
      </c>
      <c r="ME1" s="2">
        <v>2020</v>
      </c>
      <c r="MF1" s="2">
        <v>2020</v>
      </c>
      <c r="MG1" s="2">
        <v>2020</v>
      </c>
      <c r="MH1" s="2">
        <v>2020</v>
      </c>
      <c r="MI1" s="2">
        <v>2020</v>
      </c>
      <c r="MJ1" s="2">
        <v>2020</v>
      </c>
      <c r="MK1" s="2">
        <v>2020</v>
      </c>
      <c r="ML1" s="2">
        <v>2020</v>
      </c>
      <c r="MM1" s="2">
        <v>2020</v>
      </c>
      <c r="MN1" s="2">
        <v>2021</v>
      </c>
      <c r="MO1" s="2">
        <v>2021</v>
      </c>
      <c r="MP1" s="2">
        <v>2021</v>
      </c>
      <c r="MQ1" s="2">
        <v>2021</v>
      </c>
      <c r="MR1" s="2">
        <v>2021</v>
      </c>
      <c r="MS1" s="2">
        <v>2021</v>
      </c>
      <c r="MT1" s="2">
        <v>2021</v>
      </c>
      <c r="MU1" s="2">
        <v>2021</v>
      </c>
      <c r="MV1" s="2">
        <v>2021</v>
      </c>
      <c r="MW1" s="2">
        <v>2021</v>
      </c>
      <c r="MX1" s="2">
        <v>2021</v>
      </c>
      <c r="MY1" s="2">
        <v>2021</v>
      </c>
      <c r="MZ1" s="2">
        <v>2021</v>
      </c>
      <c r="NA1" s="2">
        <v>2021</v>
      </c>
      <c r="NB1" s="2">
        <v>2021</v>
      </c>
      <c r="NC1" s="2">
        <v>2021</v>
      </c>
      <c r="ND1" s="2">
        <v>2021</v>
      </c>
      <c r="NE1" s="2">
        <v>2021</v>
      </c>
      <c r="NF1" s="2">
        <v>2021</v>
      </c>
      <c r="NG1" s="2">
        <v>2021</v>
      </c>
      <c r="NH1" s="2">
        <v>2021</v>
      </c>
      <c r="NI1" s="2">
        <v>2021</v>
      </c>
      <c r="NJ1" s="2">
        <v>2021</v>
      </c>
      <c r="NK1" s="2">
        <v>2021</v>
      </c>
      <c r="NL1" s="2">
        <v>2021</v>
      </c>
      <c r="NM1" s="2">
        <v>2021</v>
      </c>
      <c r="NN1" s="2">
        <v>2021</v>
      </c>
      <c r="NO1" s="2">
        <v>2021</v>
      </c>
      <c r="NP1" s="2">
        <v>2021</v>
      </c>
      <c r="NQ1" s="2">
        <v>2021</v>
      </c>
      <c r="NR1" s="2">
        <v>2021</v>
      </c>
      <c r="NS1" s="2">
        <v>2021</v>
      </c>
      <c r="NT1" s="2">
        <v>2021</v>
      </c>
      <c r="NU1" s="2">
        <v>2021</v>
      </c>
      <c r="NV1" s="2">
        <v>2021</v>
      </c>
      <c r="NW1" s="2">
        <v>2021</v>
      </c>
      <c r="NX1" s="2">
        <v>2021</v>
      </c>
      <c r="NY1" s="2">
        <v>2021</v>
      </c>
      <c r="NZ1" s="2">
        <v>2021</v>
      </c>
      <c r="OA1" s="2">
        <v>2021</v>
      </c>
      <c r="OB1" s="2">
        <v>2021</v>
      </c>
      <c r="OC1" s="2">
        <v>2021</v>
      </c>
      <c r="OD1" s="2">
        <v>2022</v>
      </c>
      <c r="OE1" s="2">
        <v>2022</v>
      </c>
      <c r="OF1" s="2">
        <v>2022</v>
      </c>
      <c r="OG1" s="2">
        <v>2022</v>
      </c>
      <c r="OH1" s="2">
        <v>2022</v>
      </c>
      <c r="OI1" s="2">
        <v>2022</v>
      </c>
      <c r="OJ1" s="2">
        <v>2022</v>
      </c>
      <c r="OK1" s="2">
        <v>2022</v>
      </c>
      <c r="OL1" s="2">
        <v>2022</v>
      </c>
      <c r="OM1" s="2">
        <v>2022</v>
      </c>
      <c r="ON1" s="2">
        <v>2022</v>
      </c>
      <c r="OO1" s="2">
        <v>2022</v>
      </c>
      <c r="OP1" s="2">
        <v>2022</v>
      </c>
      <c r="OQ1" s="2">
        <v>2022</v>
      </c>
      <c r="OR1" s="2">
        <v>2022</v>
      </c>
      <c r="OS1" s="2">
        <v>2022</v>
      </c>
      <c r="OT1" s="2">
        <v>2022</v>
      </c>
      <c r="OU1" s="2">
        <v>2022</v>
      </c>
      <c r="OV1" s="2">
        <v>2022</v>
      </c>
      <c r="OW1" s="2">
        <v>2022</v>
      </c>
      <c r="OX1" s="2">
        <v>2022</v>
      </c>
      <c r="OY1" s="2">
        <v>2022</v>
      </c>
      <c r="OZ1" s="2">
        <v>2022</v>
      </c>
      <c r="PA1" s="2">
        <v>2022</v>
      </c>
      <c r="PB1" s="2">
        <v>2022</v>
      </c>
      <c r="PC1" s="2">
        <v>2022</v>
      </c>
      <c r="PD1" s="2">
        <v>2022</v>
      </c>
      <c r="PE1" s="2">
        <v>2022</v>
      </c>
      <c r="PF1" s="2">
        <v>2022</v>
      </c>
      <c r="PG1" s="2">
        <v>2022</v>
      </c>
      <c r="PH1" s="2">
        <v>2022</v>
      </c>
      <c r="PI1" s="2">
        <v>2022</v>
      </c>
      <c r="PJ1" s="2">
        <v>2022</v>
      </c>
      <c r="PK1" s="2">
        <v>2022</v>
      </c>
      <c r="PL1" s="2">
        <v>2022</v>
      </c>
      <c r="PM1" s="2">
        <v>2022</v>
      </c>
      <c r="PN1" s="2">
        <v>2022</v>
      </c>
      <c r="PO1" s="2">
        <v>2022</v>
      </c>
      <c r="PP1" s="2">
        <v>2022</v>
      </c>
      <c r="PQ1" s="2">
        <v>2022</v>
      </c>
      <c r="PR1" s="2">
        <v>2022</v>
      </c>
      <c r="PS1" s="2">
        <v>2022</v>
      </c>
      <c r="PT1" s="2">
        <v>2023</v>
      </c>
      <c r="PU1" s="2">
        <v>2023</v>
      </c>
      <c r="PV1" s="2">
        <v>2023</v>
      </c>
      <c r="PW1" s="2">
        <v>2023</v>
      </c>
      <c r="PX1" s="2">
        <v>2023</v>
      </c>
      <c r="PY1" s="2">
        <v>2023</v>
      </c>
      <c r="PZ1" s="2">
        <v>2023</v>
      </c>
      <c r="QA1" s="2">
        <v>2023</v>
      </c>
      <c r="QB1" s="2">
        <v>2023</v>
      </c>
      <c r="QC1" s="2">
        <v>2023</v>
      </c>
      <c r="QD1" s="2">
        <v>2023</v>
      </c>
      <c r="QE1" s="2">
        <v>2023</v>
      </c>
      <c r="QF1" s="2">
        <v>2023</v>
      </c>
      <c r="QG1" s="2">
        <v>2023</v>
      </c>
      <c r="QH1" s="2">
        <v>2023</v>
      </c>
      <c r="QI1" s="2">
        <v>2023</v>
      </c>
      <c r="QJ1" s="2">
        <v>2023</v>
      </c>
      <c r="QK1" s="2">
        <v>2023</v>
      </c>
      <c r="QL1" s="2">
        <v>2023</v>
      </c>
      <c r="QM1" s="2">
        <v>2023</v>
      </c>
      <c r="QN1" s="2">
        <v>2023</v>
      </c>
      <c r="QO1" s="2">
        <v>2023</v>
      </c>
      <c r="QP1" s="2">
        <v>2023</v>
      </c>
      <c r="QQ1" s="2">
        <v>2023</v>
      </c>
      <c r="QR1" s="2">
        <v>2023</v>
      </c>
      <c r="QS1" s="2">
        <v>2023</v>
      </c>
      <c r="QT1" s="2">
        <v>2023</v>
      </c>
      <c r="QU1" s="2">
        <v>2023</v>
      </c>
      <c r="QV1" s="2">
        <v>2023</v>
      </c>
      <c r="QW1" s="2">
        <v>2023</v>
      </c>
      <c r="QX1" s="2">
        <v>2023</v>
      </c>
      <c r="QY1" s="2">
        <v>2023</v>
      </c>
      <c r="QZ1" s="2">
        <v>2023</v>
      </c>
      <c r="RA1" s="2">
        <v>2023</v>
      </c>
      <c r="RB1" s="2">
        <v>2023</v>
      </c>
      <c r="RC1" s="2">
        <v>2023</v>
      </c>
      <c r="RD1" s="2">
        <v>2023</v>
      </c>
      <c r="RE1" s="2">
        <v>2023</v>
      </c>
      <c r="RF1" s="2">
        <v>2023</v>
      </c>
    </row>
    <row r="2" spans="1:602" ht="38.65" hidden="1" customHeight="1"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47" t="s">
        <v>187</v>
      </c>
      <c r="U2" s="247" t="s">
        <v>188</v>
      </c>
      <c r="V2" s="2" t="s">
        <v>189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  <c r="AC2" s="2" t="s">
        <v>0</v>
      </c>
      <c r="AD2" s="2" t="s">
        <v>0</v>
      </c>
      <c r="AE2" s="2" t="s">
        <v>0</v>
      </c>
      <c r="AF2" s="2" t="s">
        <v>0</v>
      </c>
      <c r="AG2" s="2" t="s">
        <v>0</v>
      </c>
      <c r="AH2" s="2" t="s">
        <v>0</v>
      </c>
      <c r="AI2" s="2" t="s">
        <v>0</v>
      </c>
      <c r="AJ2" s="247" t="s">
        <v>187</v>
      </c>
      <c r="AK2" s="247" t="s">
        <v>188</v>
      </c>
      <c r="AL2" s="2" t="s">
        <v>189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0</v>
      </c>
      <c r="AW2" s="2" t="s">
        <v>0</v>
      </c>
      <c r="AX2" s="2" t="s">
        <v>0</v>
      </c>
      <c r="AY2" s="2" t="s">
        <v>0</v>
      </c>
      <c r="AZ2" s="247" t="s">
        <v>187</v>
      </c>
      <c r="BA2" s="247" t="s">
        <v>188</v>
      </c>
      <c r="BB2" s="2" t="s">
        <v>189</v>
      </c>
      <c r="BC2" s="247" t="s">
        <v>190</v>
      </c>
      <c r="BD2" s="247" t="s">
        <v>191</v>
      </c>
      <c r="BE2" s="247" t="s">
        <v>192</v>
      </c>
      <c r="BF2" s="247" t="s">
        <v>190</v>
      </c>
      <c r="BG2" s="247" t="s">
        <v>191</v>
      </c>
      <c r="BH2" s="247" t="s">
        <v>192</v>
      </c>
      <c r="BI2" s="247" t="s">
        <v>190</v>
      </c>
      <c r="BJ2" s="247" t="s">
        <v>191</v>
      </c>
      <c r="BK2" s="247" t="s">
        <v>192</v>
      </c>
      <c r="BL2" s="247" t="s">
        <v>190</v>
      </c>
      <c r="BM2" s="247" t="s">
        <v>191</v>
      </c>
      <c r="BN2" s="247" t="s">
        <v>192</v>
      </c>
      <c r="BO2" s="247" t="s">
        <v>190</v>
      </c>
      <c r="BP2" s="247" t="s">
        <v>191</v>
      </c>
      <c r="BQ2" s="247" t="s">
        <v>192</v>
      </c>
      <c r="BR2" s="247" t="s">
        <v>190</v>
      </c>
      <c r="BS2" s="247" t="s">
        <v>191</v>
      </c>
      <c r="BT2" s="247" t="s">
        <v>192</v>
      </c>
      <c r="BU2" s="247" t="s">
        <v>190</v>
      </c>
      <c r="BV2" s="247" t="s">
        <v>191</v>
      </c>
      <c r="BW2" s="247" t="s">
        <v>192</v>
      </c>
      <c r="BX2" s="247" t="s">
        <v>190</v>
      </c>
      <c r="BY2" s="247" t="s">
        <v>191</v>
      </c>
      <c r="BZ2" s="247" t="s">
        <v>192</v>
      </c>
      <c r="CA2" s="247" t="s">
        <v>190</v>
      </c>
      <c r="CB2" s="247" t="s">
        <v>191</v>
      </c>
      <c r="CC2" s="247" t="s">
        <v>192</v>
      </c>
      <c r="CD2" s="247" t="s">
        <v>190</v>
      </c>
      <c r="CE2" s="247" t="s">
        <v>191</v>
      </c>
      <c r="CF2" s="247" t="s">
        <v>192</v>
      </c>
      <c r="CG2" s="247" t="s">
        <v>190</v>
      </c>
      <c r="CH2" s="247" t="s">
        <v>191</v>
      </c>
      <c r="CI2" s="247" t="s">
        <v>192</v>
      </c>
      <c r="CJ2" s="247" t="s">
        <v>190</v>
      </c>
      <c r="CK2" s="247" t="s">
        <v>191</v>
      </c>
      <c r="CL2" s="247" t="s">
        <v>192</v>
      </c>
      <c r="CM2" s="247" t="s">
        <v>190</v>
      </c>
      <c r="CN2" s="247" t="s">
        <v>191</v>
      </c>
      <c r="CO2" s="247" t="s">
        <v>192</v>
      </c>
      <c r="CP2" s="247" t="s">
        <v>193</v>
      </c>
      <c r="CQ2" s="247" t="s">
        <v>194</v>
      </c>
      <c r="CR2" s="247" t="s">
        <v>195</v>
      </c>
      <c r="CS2" s="247" t="s">
        <v>190</v>
      </c>
      <c r="CT2" s="247" t="s">
        <v>191</v>
      </c>
      <c r="CU2" s="247" t="s">
        <v>192</v>
      </c>
      <c r="CV2" s="247" t="s">
        <v>190</v>
      </c>
      <c r="CW2" s="247" t="s">
        <v>191</v>
      </c>
      <c r="CX2" s="247" t="s">
        <v>192</v>
      </c>
      <c r="CY2" s="247" t="s">
        <v>190</v>
      </c>
      <c r="CZ2" s="247" t="s">
        <v>191</v>
      </c>
      <c r="DA2" s="247" t="s">
        <v>192</v>
      </c>
      <c r="DB2" s="247" t="s">
        <v>190</v>
      </c>
      <c r="DC2" s="247" t="s">
        <v>191</v>
      </c>
      <c r="DD2" s="247" t="s">
        <v>192</v>
      </c>
      <c r="DE2" s="247" t="s">
        <v>190</v>
      </c>
      <c r="DF2" s="247" t="s">
        <v>191</v>
      </c>
      <c r="DG2" s="247" t="s">
        <v>192</v>
      </c>
      <c r="DH2" s="247" t="s">
        <v>190</v>
      </c>
      <c r="DI2" s="247" t="s">
        <v>191</v>
      </c>
      <c r="DJ2" s="247" t="s">
        <v>192</v>
      </c>
      <c r="DK2" s="247" t="s">
        <v>190</v>
      </c>
      <c r="DL2" s="247" t="s">
        <v>191</v>
      </c>
      <c r="DM2" s="247" t="s">
        <v>192</v>
      </c>
      <c r="DN2" s="247" t="s">
        <v>190</v>
      </c>
      <c r="DO2" s="247" t="s">
        <v>191</v>
      </c>
      <c r="DP2" s="247" t="s">
        <v>192</v>
      </c>
      <c r="DQ2" s="247" t="s">
        <v>190</v>
      </c>
      <c r="DR2" s="247" t="s">
        <v>191</v>
      </c>
      <c r="DS2" s="247" t="s">
        <v>192</v>
      </c>
      <c r="DT2" s="247" t="s">
        <v>190</v>
      </c>
      <c r="DU2" s="247" t="s">
        <v>191</v>
      </c>
      <c r="DV2" s="247" t="s">
        <v>192</v>
      </c>
      <c r="DW2" s="247" t="s">
        <v>190</v>
      </c>
      <c r="DX2" s="247" t="s">
        <v>191</v>
      </c>
      <c r="DY2" s="247" t="s">
        <v>192</v>
      </c>
      <c r="DZ2" s="247" t="s">
        <v>190</v>
      </c>
      <c r="EA2" s="247" t="s">
        <v>191</v>
      </c>
      <c r="EB2" s="247" t="s">
        <v>192</v>
      </c>
      <c r="EC2" s="247" t="s">
        <v>190</v>
      </c>
      <c r="ED2" s="247" t="s">
        <v>191</v>
      </c>
      <c r="EE2" s="247" t="s">
        <v>192</v>
      </c>
      <c r="EF2" s="247" t="s">
        <v>193</v>
      </c>
      <c r="EG2" s="247" t="s">
        <v>194</v>
      </c>
      <c r="EH2" s="247" t="s">
        <v>195</v>
      </c>
      <c r="EI2" s="247" t="s">
        <v>190</v>
      </c>
      <c r="EJ2" s="247" t="s">
        <v>191</v>
      </c>
      <c r="EK2" s="247" t="s">
        <v>192</v>
      </c>
      <c r="EL2" s="247" t="s">
        <v>190</v>
      </c>
      <c r="EM2" s="247" t="s">
        <v>191</v>
      </c>
      <c r="EN2" s="247" t="s">
        <v>192</v>
      </c>
      <c r="EO2" s="247" t="s">
        <v>190</v>
      </c>
      <c r="EP2" s="247" t="s">
        <v>191</v>
      </c>
      <c r="EQ2" s="247" t="s">
        <v>192</v>
      </c>
      <c r="ER2" s="247" t="s">
        <v>190</v>
      </c>
      <c r="ES2" s="247" t="s">
        <v>191</v>
      </c>
      <c r="ET2" s="247" t="s">
        <v>192</v>
      </c>
      <c r="EU2" s="247" t="s">
        <v>190</v>
      </c>
      <c r="EV2" s="247" t="s">
        <v>191</v>
      </c>
      <c r="EW2" s="247" t="s">
        <v>192</v>
      </c>
      <c r="EX2" s="247" t="s">
        <v>190</v>
      </c>
      <c r="EY2" s="247" t="s">
        <v>191</v>
      </c>
      <c r="EZ2" s="247" t="s">
        <v>192</v>
      </c>
      <c r="FA2" s="247" t="s">
        <v>190</v>
      </c>
      <c r="FB2" s="247" t="s">
        <v>191</v>
      </c>
      <c r="FC2" s="247" t="s">
        <v>192</v>
      </c>
      <c r="FD2" s="247" t="s">
        <v>190</v>
      </c>
      <c r="FE2" s="247" t="s">
        <v>191</v>
      </c>
      <c r="FF2" s="247" t="s">
        <v>192</v>
      </c>
      <c r="FG2" s="247" t="s">
        <v>190</v>
      </c>
      <c r="FH2" s="247" t="s">
        <v>191</v>
      </c>
      <c r="FI2" s="247" t="s">
        <v>192</v>
      </c>
      <c r="FJ2" s="247" t="s">
        <v>190</v>
      </c>
      <c r="FK2" s="247" t="s">
        <v>191</v>
      </c>
      <c r="FL2" s="247" t="s">
        <v>192</v>
      </c>
      <c r="FM2" s="247" t="s">
        <v>190</v>
      </c>
      <c r="FN2" s="247" t="s">
        <v>191</v>
      </c>
      <c r="FO2" s="247" t="s">
        <v>192</v>
      </c>
      <c r="FP2" s="247" t="s">
        <v>190</v>
      </c>
      <c r="FQ2" s="247" t="s">
        <v>191</v>
      </c>
      <c r="FR2" s="247" t="s">
        <v>192</v>
      </c>
      <c r="FS2" s="247" t="s">
        <v>190</v>
      </c>
      <c r="FT2" s="247" t="s">
        <v>191</v>
      </c>
      <c r="FU2" s="247" t="s">
        <v>192</v>
      </c>
      <c r="FV2" s="247" t="s">
        <v>193</v>
      </c>
      <c r="FW2" s="247" t="s">
        <v>194</v>
      </c>
      <c r="FX2" s="247" t="s">
        <v>195</v>
      </c>
      <c r="FY2" s="247" t="s">
        <v>190</v>
      </c>
      <c r="FZ2" s="247" t="s">
        <v>191</v>
      </c>
      <c r="GA2" s="247" t="s">
        <v>192</v>
      </c>
      <c r="GB2" s="247" t="s">
        <v>190</v>
      </c>
      <c r="GC2" s="247" t="s">
        <v>191</v>
      </c>
      <c r="GD2" s="247" t="s">
        <v>192</v>
      </c>
      <c r="GE2" s="247" t="s">
        <v>190</v>
      </c>
      <c r="GF2" s="247" t="s">
        <v>191</v>
      </c>
      <c r="GG2" s="247" t="s">
        <v>192</v>
      </c>
      <c r="GH2" s="247" t="s">
        <v>190</v>
      </c>
      <c r="GI2" s="247" t="s">
        <v>191</v>
      </c>
      <c r="GJ2" s="247" t="s">
        <v>192</v>
      </c>
      <c r="GK2" s="247" t="s">
        <v>190</v>
      </c>
      <c r="GL2" s="247" t="s">
        <v>191</v>
      </c>
      <c r="GM2" s="247" t="s">
        <v>192</v>
      </c>
      <c r="GN2" s="247" t="s">
        <v>190</v>
      </c>
      <c r="GO2" s="247" t="s">
        <v>191</v>
      </c>
      <c r="GP2" s="247" t="s">
        <v>192</v>
      </c>
      <c r="GQ2" s="247" t="s">
        <v>190</v>
      </c>
      <c r="GR2" s="247" t="s">
        <v>191</v>
      </c>
      <c r="GS2" s="247" t="s">
        <v>192</v>
      </c>
      <c r="GT2" s="247" t="s">
        <v>190</v>
      </c>
      <c r="GU2" s="247" t="s">
        <v>191</v>
      </c>
      <c r="GV2" s="247" t="s">
        <v>192</v>
      </c>
      <c r="GW2" s="247" t="s">
        <v>190</v>
      </c>
      <c r="GX2" s="247" t="s">
        <v>191</v>
      </c>
      <c r="GY2" s="247" t="s">
        <v>192</v>
      </c>
      <c r="GZ2" s="247" t="s">
        <v>190</v>
      </c>
      <c r="HA2" s="247" t="s">
        <v>191</v>
      </c>
      <c r="HB2" s="247" t="s">
        <v>192</v>
      </c>
      <c r="HC2" s="247" t="s">
        <v>190</v>
      </c>
      <c r="HD2" s="247" t="s">
        <v>191</v>
      </c>
      <c r="HE2" s="247" t="s">
        <v>192</v>
      </c>
      <c r="HF2" s="247" t="s">
        <v>190</v>
      </c>
      <c r="HG2" s="247" t="s">
        <v>191</v>
      </c>
      <c r="HH2" s="247" t="s">
        <v>192</v>
      </c>
      <c r="HI2" s="247" t="s">
        <v>190</v>
      </c>
      <c r="HJ2" s="247" t="s">
        <v>191</v>
      </c>
      <c r="HK2" s="247" t="s">
        <v>192</v>
      </c>
      <c r="HL2" s="247" t="s">
        <v>193</v>
      </c>
      <c r="HM2" s="247" t="s">
        <v>194</v>
      </c>
      <c r="HN2" s="247" t="s">
        <v>195</v>
      </c>
      <c r="HO2" s="247" t="s">
        <v>190</v>
      </c>
      <c r="HP2" s="247" t="s">
        <v>191</v>
      </c>
      <c r="HQ2" s="247" t="s">
        <v>192</v>
      </c>
      <c r="HR2" s="247" t="s">
        <v>190</v>
      </c>
      <c r="HS2" s="247" t="s">
        <v>191</v>
      </c>
      <c r="HT2" s="247" t="s">
        <v>192</v>
      </c>
      <c r="HU2" s="247" t="s">
        <v>190</v>
      </c>
      <c r="HV2" s="247" t="s">
        <v>191</v>
      </c>
      <c r="HW2" s="247" t="s">
        <v>192</v>
      </c>
      <c r="HX2" s="247" t="s">
        <v>190</v>
      </c>
      <c r="HY2" s="247" t="s">
        <v>191</v>
      </c>
      <c r="HZ2" s="247" t="s">
        <v>192</v>
      </c>
      <c r="IA2" s="247" t="s">
        <v>190</v>
      </c>
      <c r="IB2" s="247" t="s">
        <v>191</v>
      </c>
      <c r="IC2" s="247" t="s">
        <v>192</v>
      </c>
      <c r="ID2" s="247" t="s">
        <v>190</v>
      </c>
      <c r="IE2" s="247" t="s">
        <v>191</v>
      </c>
      <c r="IF2" s="247" t="s">
        <v>192</v>
      </c>
      <c r="IG2" s="247" t="s">
        <v>190</v>
      </c>
      <c r="IH2" s="247" t="s">
        <v>191</v>
      </c>
      <c r="II2" s="247" t="s">
        <v>192</v>
      </c>
      <c r="IJ2" s="247" t="s">
        <v>190</v>
      </c>
      <c r="IK2" s="247" t="s">
        <v>191</v>
      </c>
      <c r="IL2" s="247" t="s">
        <v>192</v>
      </c>
      <c r="IM2" s="247" t="s">
        <v>190</v>
      </c>
      <c r="IN2" s="247" t="s">
        <v>191</v>
      </c>
      <c r="IO2" s="247" t="s">
        <v>192</v>
      </c>
      <c r="IP2" s="247" t="s">
        <v>190</v>
      </c>
      <c r="IQ2" s="247" t="s">
        <v>191</v>
      </c>
      <c r="IR2" s="247" t="s">
        <v>192</v>
      </c>
      <c r="IS2" s="247" t="s">
        <v>190</v>
      </c>
      <c r="IT2" s="247" t="s">
        <v>191</v>
      </c>
      <c r="IU2" s="247" t="s">
        <v>192</v>
      </c>
      <c r="IV2" s="247" t="s">
        <v>190</v>
      </c>
      <c r="IW2" s="247" t="s">
        <v>191</v>
      </c>
      <c r="IX2" s="247" t="s">
        <v>192</v>
      </c>
      <c r="IY2" s="247" t="s">
        <v>190</v>
      </c>
      <c r="IZ2" s="247" t="s">
        <v>191</v>
      </c>
      <c r="JA2" s="247" t="s">
        <v>192</v>
      </c>
      <c r="JB2" s="247" t="s">
        <v>193</v>
      </c>
      <c r="JC2" s="247" t="s">
        <v>194</v>
      </c>
      <c r="JD2" s="247" t="s">
        <v>195</v>
      </c>
      <c r="JE2" s="247" t="s">
        <v>190</v>
      </c>
      <c r="JF2" s="247" t="s">
        <v>191</v>
      </c>
      <c r="JG2" s="247" t="s">
        <v>192</v>
      </c>
      <c r="JH2" s="247" t="s">
        <v>190</v>
      </c>
      <c r="JI2" s="247" t="s">
        <v>191</v>
      </c>
      <c r="JJ2" s="247" t="s">
        <v>192</v>
      </c>
      <c r="JK2" s="247" t="s">
        <v>190</v>
      </c>
      <c r="JL2" s="247" t="s">
        <v>191</v>
      </c>
      <c r="JM2" s="247" t="s">
        <v>192</v>
      </c>
      <c r="JN2" s="247" t="s">
        <v>190</v>
      </c>
      <c r="JO2" s="247" t="s">
        <v>191</v>
      </c>
      <c r="JP2" s="247" t="s">
        <v>192</v>
      </c>
      <c r="JQ2" s="247" t="s">
        <v>190</v>
      </c>
      <c r="JR2" s="247" t="s">
        <v>191</v>
      </c>
      <c r="JS2" s="247" t="s">
        <v>192</v>
      </c>
      <c r="JT2" s="247" t="s">
        <v>190</v>
      </c>
      <c r="JU2" s="247" t="s">
        <v>191</v>
      </c>
      <c r="JV2" s="247" t="s">
        <v>192</v>
      </c>
      <c r="JW2" s="247" t="s">
        <v>190</v>
      </c>
      <c r="JX2" s="247" t="s">
        <v>191</v>
      </c>
      <c r="JY2" s="247" t="s">
        <v>192</v>
      </c>
      <c r="JZ2" s="247" t="s">
        <v>190</v>
      </c>
      <c r="KA2" s="247" t="s">
        <v>191</v>
      </c>
      <c r="KB2" s="247" t="s">
        <v>192</v>
      </c>
      <c r="KC2" s="247" t="s">
        <v>190</v>
      </c>
      <c r="KD2" s="247" t="s">
        <v>191</v>
      </c>
      <c r="KE2" s="247" t="s">
        <v>192</v>
      </c>
      <c r="KF2" s="247" t="s">
        <v>190</v>
      </c>
      <c r="KG2" s="247" t="s">
        <v>191</v>
      </c>
      <c r="KH2" s="247" t="s">
        <v>192</v>
      </c>
      <c r="KI2" s="247" t="s">
        <v>190</v>
      </c>
      <c r="KJ2" s="247" t="s">
        <v>191</v>
      </c>
      <c r="KK2" s="247" t="s">
        <v>192</v>
      </c>
      <c r="KL2" s="247" t="s">
        <v>190</v>
      </c>
      <c r="KM2" s="247" t="s">
        <v>191</v>
      </c>
      <c r="KN2" s="247" t="s">
        <v>192</v>
      </c>
      <c r="KO2" s="247" t="s">
        <v>190</v>
      </c>
      <c r="KP2" s="247" t="s">
        <v>191</v>
      </c>
      <c r="KQ2" s="247" t="s">
        <v>192</v>
      </c>
      <c r="KR2" s="247" t="s">
        <v>193</v>
      </c>
      <c r="KS2" s="247" t="s">
        <v>194</v>
      </c>
      <c r="KT2" s="247" t="s">
        <v>195</v>
      </c>
      <c r="KU2" s="247" t="s">
        <v>190</v>
      </c>
      <c r="KV2" s="247" t="s">
        <v>191</v>
      </c>
      <c r="KW2" s="247" t="s">
        <v>192</v>
      </c>
      <c r="KX2" s="247" t="s">
        <v>190</v>
      </c>
      <c r="KY2" s="247" t="s">
        <v>191</v>
      </c>
      <c r="KZ2" s="247" t="s">
        <v>192</v>
      </c>
      <c r="LA2" s="247" t="s">
        <v>190</v>
      </c>
      <c r="LB2" s="247" t="s">
        <v>191</v>
      </c>
      <c r="LC2" s="247" t="s">
        <v>192</v>
      </c>
      <c r="LD2" s="247" t="s">
        <v>190</v>
      </c>
      <c r="LE2" s="247" t="s">
        <v>191</v>
      </c>
      <c r="LF2" s="247" t="s">
        <v>192</v>
      </c>
      <c r="LG2" s="247" t="s">
        <v>190</v>
      </c>
      <c r="LH2" s="247" t="s">
        <v>191</v>
      </c>
      <c r="LI2" s="247" t="s">
        <v>192</v>
      </c>
      <c r="LJ2" s="247" t="s">
        <v>190</v>
      </c>
      <c r="LK2" s="247" t="s">
        <v>191</v>
      </c>
      <c r="LL2" s="247" t="s">
        <v>192</v>
      </c>
      <c r="LM2" s="247" t="s">
        <v>190</v>
      </c>
      <c r="LN2" s="247" t="s">
        <v>191</v>
      </c>
      <c r="LO2" s="247" t="s">
        <v>192</v>
      </c>
      <c r="LP2" s="247" t="s">
        <v>190</v>
      </c>
      <c r="LQ2" s="247" t="s">
        <v>191</v>
      </c>
      <c r="LR2" s="247" t="s">
        <v>192</v>
      </c>
      <c r="LS2" s="247" t="s">
        <v>190</v>
      </c>
      <c r="LT2" s="247" t="s">
        <v>191</v>
      </c>
      <c r="LU2" s="247" t="s">
        <v>192</v>
      </c>
      <c r="LV2" s="247" t="s">
        <v>190</v>
      </c>
      <c r="LW2" s="247" t="s">
        <v>191</v>
      </c>
      <c r="LX2" s="247" t="s">
        <v>192</v>
      </c>
      <c r="LY2" s="247" t="s">
        <v>190</v>
      </c>
      <c r="LZ2" s="247" t="s">
        <v>191</v>
      </c>
      <c r="MA2" s="247" t="s">
        <v>192</v>
      </c>
      <c r="MB2" s="247" t="s">
        <v>190</v>
      </c>
      <c r="MC2" s="247" t="s">
        <v>191</v>
      </c>
      <c r="MD2" s="247" t="s">
        <v>192</v>
      </c>
      <c r="ME2" s="247" t="s">
        <v>190</v>
      </c>
      <c r="MF2" s="247" t="s">
        <v>191</v>
      </c>
      <c r="MG2" s="247" t="s">
        <v>192</v>
      </c>
      <c r="MH2" s="247" t="s">
        <v>193</v>
      </c>
      <c r="MI2" s="247" t="s">
        <v>194</v>
      </c>
      <c r="MJ2" s="247" t="s">
        <v>195</v>
      </c>
      <c r="MK2" s="247" t="s">
        <v>190</v>
      </c>
      <c r="ML2" s="247" t="s">
        <v>191</v>
      </c>
      <c r="MM2" s="247" t="s">
        <v>192</v>
      </c>
      <c r="MN2" s="247" t="s">
        <v>190</v>
      </c>
      <c r="MO2" s="247" t="s">
        <v>191</v>
      </c>
      <c r="MP2" s="247" t="s">
        <v>192</v>
      </c>
      <c r="MQ2" s="247" t="s">
        <v>190</v>
      </c>
      <c r="MR2" s="247" t="s">
        <v>191</v>
      </c>
      <c r="MS2" s="247" t="s">
        <v>192</v>
      </c>
      <c r="MT2" s="247" t="s">
        <v>190</v>
      </c>
      <c r="MU2" s="247" t="s">
        <v>191</v>
      </c>
      <c r="MV2" s="247" t="s">
        <v>192</v>
      </c>
      <c r="MW2" s="247" t="s">
        <v>190</v>
      </c>
      <c r="MX2" s="247" t="s">
        <v>191</v>
      </c>
      <c r="MY2" s="247" t="s">
        <v>192</v>
      </c>
      <c r="MZ2" s="247" t="s">
        <v>190</v>
      </c>
      <c r="NA2" s="247" t="s">
        <v>191</v>
      </c>
      <c r="NB2" s="247" t="s">
        <v>192</v>
      </c>
      <c r="NC2" s="247" t="s">
        <v>190</v>
      </c>
      <c r="ND2" s="247" t="s">
        <v>191</v>
      </c>
      <c r="NE2" s="247" t="s">
        <v>192</v>
      </c>
      <c r="NF2" s="247" t="s">
        <v>190</v>
      </c>
      <c r="NG2" s="247" t="s">
        <v>191</v>
      </c>
      <c r="NH2" s="247" t="s">
        <v>192</v>
      </c>
      <c r="NI2" s="247" t="s">
        <v>190</v>
      </c>
      <c r="NJ2" s="247" t="s">
        <v>191</v>
      </c>
      <c r="NK2" s="247" t="s">
        <v>192</v>
      </c>
      <c r="NL2" s="247" t="s">
        <v>190</v>
      </c>
      <c r="NM2" s="247" t="s">
        <v>191</v>
      </c>
      <c r="NN2" s="247" t="s">
        <v>192</v>
      </c>
      <c r="NO2" s="247" t="s">
        <v>190</v>
      </c>
      <c r="NP2" s="247" t="s">
        <v>191</v>
      </c>
      <c r="NQ2" s="247" t="s">
        <v>192</v>
      </c>
      <c r="NR2" s="247" t="s">
        <v>190</v>
      </c>
      <c r="NS2" s="247" t="s">
        <v>191</v>
      </c>
      <c r="NT2" s="247" t="s">
        <v>192</v>
      </c>
      <c r="NU2" s="247" t="s">
        <v>190</v>
      </c>
      <c r="NV2" s="247" t="s">
        <v>191</v>
      </c>
      <c r="NW2" s="247" t="s">
        <v>192</v>
      </c>
      <c r="NX2" s="247" t="s">
        <v>193</v>
      </c>
      <c r="NY2" s="247" t="s">
        <v>194</v>
      </c>
      <c r="NZ2" s="247" t="s">
        <v>195</v>
      </c>
      <c r="OA2" s="247" t="s">
        <v>190</v>
      </c>
      <c r="OB2" s="247" t="s">
        <v>191</v>
      </c>
      <c r="OC2" s="247" t="s">
        <v>192</v>
      </c>
      <c r="OD2" s="247" t="s">
        <v>190</v>
      </c>
      <c r="OE2" s="247" t="s">
        <v>191</v>
      </c>
      <c r="OF2" s="247" t="s">
        <v>192</v>
      </c>
      <c r="OG2" s="247" t="s">
        <v>190</v>
      </c>
      <c r="OH2" s="247" t="s">
        <v>191</v>
      </c>
      <c r="OI2" s="247" t="s">
        <v>192</v>
      </c>
      <c r="OJ2" s="247" t="s">
        <v>190</v>
      </c>
      <c r="OK2" s="247" t="s">
        <v>191</v>
      </c>
      <c r="OL2" s="247" t="s">
        <v>192</v>
      </c>
      <c r="OM2" s="247" t="s">
        <v>190</v>
      </c>
      <c r="ON2" s="247" t="s">
        <v>191</v>
      </c>
      <c r="OO2" s="247" t="s">
        <v>192</v>
      </c>
      <c r="OP2" s="247" t="s">
        <v>190</v>
      </c>
      <c r="OQ2" s="247" t="s">
        <v>191</v>
      </c>
      <c r="OR2" s="247" t="s">
        <v>192</v>
      </c>
      <c r="OS2" s="247" t="s">
        <v>190</v>
      </c>
      <c r="OT2" s="247" t="s">
        <v>191</v>
      </c>
      <c r="OU2" s="247" t="s">
        <v>192</v>
      </c>
      <c r="OV2" s="247" t="s">
        <v>190</v>
      </c>
      <c r="OW2" s="247" t="s">
        <v>191</v>
      </c>
      <c r="OX2" s="247" t="s">
        <v>192</v>
      </c>
      <c r="OY2" s="247" t="s">
        <v>190</v>
      </c>
      <c r="OZ2" s="247" t="s">
        <v>191</v>
      </c>
      <c r="PA2" s="247" t="s">
        <v>192</v>
      </c>
      <c r="PB2" s="247" t="s">
        <v>190</v>
      </c>
      <c r="PC2" s="247" t="s">
        <v>191</v>
      </c>
      <c r="PD2" s="247" t="s">
        <v>192</v>
      </c>
      <c r="PE2" s="247" t="s">
        <v>190</v>
      </c>
      <c r="PF2" s="247" t="s">
        <v>191</v>
      </c>
      <c r="PG2" s="247" t="s">
        <v>192</v>
      </c>
      <c r="PH2" s="247" t="s">
        <v>190</v>
      </c>
      <c r="PI2" s="247" t="s">
        <v>191</v>
      </c>
      <c r="PJ2" s="247" t="s">
        <v>192</v>
      </c>
      <c r="PK2" s="247" t="s">
        <v>190</v>
      </c>
      <c r="PL2" s="247" t="s">
        <v>191</v>
      </c>
      <c r="PM2" s="247" t="s">
        <v>192</v>
      </c>
      <c r="PN2" s="247" t="s">
        <v>193</v>
      </c>
      <c r="PO2" s="247" t="s">
        <v>194</v>
      </c>
      <c r="PP2" s="247" t="s">
        <v>195</v>
      </c>
      <c r="PQ2" s="247" t="s">
        <v>190</v>
      </c>
      <c r="PR2" s="247" t="s">
        <v>191</v>
      </c>
      <c r="PS2" s="247" t="s">
        <v>192</v>
      </c>
      <c r="PT2" s="247" t="s">
        <v>190</v>
      </c>
      <c r="PU2" s="247" t="s">
        <v>191</v>
      </c>
      <c r="PV2" s="247" t="s">
        <v>192</v>
      </c>
      <c r="PW2" s="247" t="s">
        <v>190</v>
      </c>
      <c r="PX2" s="247" t="s">
        <v>191</v>
      </c>
      <c r="PY2" s="247" t="s">
        <v>192</v>
      </c>
      <c r="PZ2" s="247" t="s">
        <v>190</v>
      </c>
      <c r="QA2" s="247" t="s">
        <v>191</v>
      </c>
      <c r="QB2" s="247" t="s">
        <v>192</v>
      </c>
      <c r="QC2" s="247" t="s">
        <v>190</v>
      </c>
      <c r="QD2" s="247" t="s">
        <v>191</v>
      </c>
      <c r="QE2" s="247" t="s">
        <v>192</v>
      </c>
      <c r="QF2" s="247" t="s">
        <v>190</v>
      </c>
      <c r="QG2" s="247" t="s">
        <v>191</v>
      </c>
      <c r="QH2" s="247" t="s">
        <v>192</v>
      </c>
      <c r="QI2" s="247" t="s">
        <v>190</v>
      </c>
      <c r="QJ2" s="247" t="s">
        <v>191</v>
      </c>
      <c r="QK2" s="247" t="s">
        <v>192</v>
      </c>
      <c r="QL2" s="247" t="s">
        <v>190</v>
      </c>
      <c r="QM2" s="247" t="s">
        <v>191</v>
      </c>
      <c r="QN2" s="247" t="s">
        <v>192</v>
      </c>
      <c r="QO2" s="247" t="s">
        <v>190</v>
      </c>
      <c r="QP2" s="247" t="s">
        <v>191</v>
      </c>
      <c r="QQ2" s="247" t="s">
        <v>192</v>
      </c>
      <c r="QR2" s="247" t="s">
        <v>190</v>
      </c>
      <c r="QS2" s="247" t="s">
        <v>191</v>
      </c>
      <c r="QT2" s="247" t="s">
        <v>192</v>
      </c>
      <c r="QU2" s="247" t="s">
        <v>190</v>
      </c>
      <c r="QV2" s="247" t="s">
        <v>191</v>
      </c>
      <c r="QW2" s="247" t="s">
        <v>192</v>
      </c>
      <c r="QX2" s="247" t="s">
        <v>190</v>
      </c>
      <c r="QY2" s="247" t="s">
        <v>191</v>
      </c>
      <c r="QZ2" s="247" t="s">
        <v>192</v>
      </c>
      <c r="RA2" s="247" t="s">
        <v>190</v>
      </c>
      <c r="RB2" s="247" t="s">
        <v>191</v>
      </c>
      <c r="RC2" s="247" t="s">
        <v>192</v>
      </c>
      <c r="RD2" s="247" t="s">
        <v>193</v>
      </c>
      <c r="RE2" s="247" t="s">
        <v>194</v>
      </c>
      <c r="RF2" s="247" t="s">
        <v>195</v>
      </c>
      <c r="RG2" s="247"/>
      <c r="RH2" s="247"/>
      <c r="RI2" s="247"/>
      <c r="RJ2" s="247"/>
      <c r="RK2" s="247"/>
      <c r="RL2" s="247"/>
    </row>
    <row r="3" spans="1:602" ht="37.5" customHeight="1">
      <c r="A3" s="33" t="s">
        <v>196</v>
      </c>
      <c r="C3" s="33" t="s">
        <v>197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11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11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145"/>
      <c r="OC3" s="142"/>
      <c r="OD3" s="4"/>
      <c r="OE3" s="142"/>
      <c r="OF3" s="5"/>
      <c r="OG3" s="4"/>
      <c r="OH3" s="5"/>
      <c r="OJ3" s="4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114"/>
      <c r="VZ3" s="5"/>
      <c r="WA3" s="5"/>
      <c r="WB3" s="5"/>
      <c r="WC3" s="114"/>
      <c r="WD3" s="114"/>
    </row>
    <row r="4" spans="1:602" s="141" customFormat="1" ht="31.4" customHeight="1">
      <c r="A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1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1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70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69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69"/>
      <c r="MJ4" s="142"/>
      <c r="MK4" s="142"/>
      <c r="ML4" s="142"/>
      <c r="MM4" s="142"/>
      <c r="MN4" s="200"/>
      <c r="MO4" s="201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  <c r="NY4" s="142"/>
      <c r="NZ4" s="142"/>
      <c r="OA4" s="142"/>
      <c r="OB4" s="219"/>
      <c r="OC4" s="11"/>
      <c r="OD4" s="142"/>
      <c r="OE4" s="170"/>
      <c r="OF4" s="142"/>
      <c r="OG4" s="11"/>
      <c r="OH4" s="142"/>
      <c r="OI4" s="5"/>
      <c r="OJ4" s="142"/>
      <c r="OK4" s="142"/>
      <c r="OL4" s="142"/>
      <c r="OM4" s="142"/>
      <c r="ON4" s="142"/>
      <c r="OO4" s="142"/>
      <c r="OP4" s="142"/>
      <c r="OQ4" s="142"/>
      <c r="OR4" s="142"/>
      <c r="OS4" s="142"/>
      <c r="OT4" s="142"/>
      <c r="OU4" s="142"/>
      <c r="OV4" s="142"/>
      <c r="OW4" s="142"/>
      <c r="OX4" s="142"/>
      <c r="OY4" s="142"/>
      <c r="OZ4" s="142"/>
      <c r="PA4" s="142"/>
      <c r="PB4" s="142"/>
      <c r="PC4" s="142"/>
      <c r="PD4" s="142"/>
      <c r="PE4" s="142"/>
      <c r="PF4" s="142"/>
      <c r="PG4" s="142"/>
      <c r="PH4" s="142"/>
      <c r="PI4" s="142"/>
      <c r="PJ4" s="142"/>
      <c r="PK4" s="142"/>
      <c r="PL4" s="142"/>
      <c r="PM4" s="142"/>
      <c r="PN4" s="142"/>
      <c r="PO4" s="142"/>
      <c r="PP4" s="142"/>
      <c r="PQ4" s="142"/>
      <c r="PR4" s="142"/>
      <c r="PS4" s="142"/>
      <c r="PT4" s="142"/>
      <c r="PU4" s="142"/>
      <c r="PV4" s="142"/>
      <c r="PW4" s="142"/>
      <c r="PX4" s="142"/>
      <c r="PY4" s="142"/>
      <c r="PZ4" s="142"/>
      <c r="QA4" s="142"/>
      <c r="QB4" s="142"/>
      <c r="QC4" s="142"/>
      <c r="QD4" s="142"/>
      <c r="QE4" s="142"/>
      <c r="QF4" s="142"/>
      <c r="QG4" s="142"/>
      <c r="QH4" s="142"/>
      <c r="QI4" s="142"/>
      <c r="QJ4" s="142"/>
      <c r="QK4" s="142"/>
      <c r="QL4" s="142"/>
      <c r="QM4" s="142"/>
      <c r="QN4" s="142"/>
      <c r="QO4" s="142"/>
      <c r="QP4" s="142"/>
      <c r="QQ4" s="142"/>
      <c r="QR4" s="142"/>
      <c r="QS4" s="142"/>
      <c r="QT4" s="142"/>
      <c r="QU4" s="142"/>
      <c r="QV4" s="142"/>
      <c r="QW4" s="142"/>
      <c r="QX4" s="142"/>
      <c r="QY4" s="142"/>
      <c r="QZ4" s="142"/>
      <c r="RA4" s="142"/>
      <c r="RB4" s="142"/>
      <c r="RC4" s="142"/>
      <c r="RD4" s="142"/>
      <c r="RE4" s="142"/>
      <c r="RF4" s="142"/>
      <c r="RG4" s="142"/>
      <c r="RH4" s="142"/>
      <c r="RI4" s="142"/>
      <c r="RJ4" s="142"/>
      <c r="RK4" s="142"/>
      <c r="RL4" s="142"/>
      <c r="RM4" s="142"/>
      <c r="RN4" s="142"/>
      <c r="RO4" s="142"/>
      <c r="RP4" s="142"/>
      <c r="RQ4" s="142"/>
      <c r="RR4" s="142"/>
      <c r="RS4" s="142"/>
      <c r="RT4" s="142"/>
      <c r="RU4" s="142"/>
      <c r="RV4" s="142"/>
      <c r="RW4" s="142"/>
      <c r="RX4" s="142"/>
      <c r="RY4" s="142"/>
      <c r="RZ4" s="142"/>
      <c r="SA4" s="142"/>
      <c r="SB4" s="142"/>
      <c r="SC4" s="142"/>
      <c r="SD4" s="142"/>
      <c r="SE4" s="142"/>
      <c r="SF4" s="142"/>
      <c r="SG4" s="142"/>
      <c r="SH4" s="142"/>
      <c r="SI4" s="142"/>
      <c r="SJ4" s="142"/>
      <c r="SK4" s="142"/>
      <c r="SL4" s="142"/>
      <c r="SM4" s="142"/>
      <c r="SN4" s="142"/>
      <c r="SO4" s="142"/>
      <c r="SP4" s="142"/>
      <c r="SQ4" s="142"/>
      <c r="SR4" s="142"/>
      <c r="SS4" s="142"/>
      <c r="ST4" s="142"/>
      <c r="SU4" s="142"/>
      <c r="SV4" s="142"/>
      <c r="SW4" s="200"/>
      <c r="SX4" s="11"/>
      <c r="SY4" s="11"/>
      <c r="SZ4" s="142"/>
      <c r="TA4" s="142"/>
      <c r="TB4" s="142"/>
      <c r="TC4" s="142"/>
      <c r="TD4" s="142"/>
      <c r="TE4" s="142"/>
      <c r="TF4" s="142"/>
      <c r="TG4" s="142"/>
      <c r="TH4" s="142"/>
      <c r="TI4" s="142"/>
      <c r="TJ4" s="142"/>
      <c r="TK4" s="142"/>
      <c r="TL4" s="142"/>
      <c r="TM4" s="142"/>
      <c r="TN4" s="142"/>
      <c r="TO4" s="142"/>
      <c r="TP4" s="142"/>
      <c r="TQ4" s="142"/>
      <c r="TR4" s="142"/>
      <c r="TS4" s="142"/>
      <c r="TT4" s="142"/>
      <c r="TU4" s="142"/>
      <c r="TV4" s="142"/>
      <c r="TW4" s="142"/>
      <c r="TX4" s="142"/>
      <c r="TY4" s="142"/>
      <c r="TZ4" s="142"/>
      <c r="UA4" s="142"/>
      <c r="UB4" s="142"/>
      <c r="UC4" s="142"/>
      <c r="UD4" s="142"/>
      <c r="UE4" s="142"/>
      <c r="UF4" s="142"/>
      <c r="UG4" s="142"/>
      <c r="UH4" s="142"/>
      <c r="UI4" s="142"/>
      <c r="UJ4" s="142"/>
      <c r="UK4" s="142"/>
      <c r="UL4" s="142"/>
      <c r="UM4" s="142"/>
      <c r="UN4" s="142"/>
      <c r="UO4" s="200"/>
      <c r="UP4" s="142"/>
      <c r="UQ4" s="142"/>
      <c r="UR4" s="142"/>
      <c r="US4" s="142"/>
      <c r="UT4" s="142"/>
      <c r="UU4" s="142"/>
      <c r="UV4" s="142"/>
      <c r="UW4" s="142"/>
      <c r="UX4" s="142"/>
      <c r="UY4" s="142"/>
      <c r="UZ4" s="142"/>
      <c r="VA4" s="142"/>
      <c r="VB4" s="142"/>
      <c r="VC4" s="142"/>
      <c r="VD4" s="142"/>
      <c r="VE4" s="142"/>
      <c r="VF4" s="142"/>
      <c r="VG4" s="142"/>
      <c r="VH4" s="142"/>
      <c r="VI4" s="142"/>
      <c r="VJ4" s="142"/>
      <c r="VK4" s="142"/>
      <c r="VL4" s="142"/>
      <c r="VM4" s="142"/>
      <c r="VN4" s="142"/>
      <c r="VO4" s="142"/>
      <c r="VP4" s="142"/>
      <c r="VQ4" s="142"/>
      <c r="VR4" s="142"/>
      <c r="VS4" s="142"/>
      <c r="VT4" s="142"/>
      <c r="VU4" s="142"/>
      <c r="VV4" s="142"/>
      <c r="VW4" s="142"/>
      <c r="VX4" s="142"/>
      <c r="VY4" s="143"/>
      <c r="VZ4" s="142"/>
      <c r="WA4" s="142"/>
      <c r="WB4" s="208"/>
      <c r="WC4" s="143"/>
      <c r="WD4" s="143"/>
    </row>
    <row r="5" spans="1:602" ht="18" customHeight="1">
      <c r="A5" s="342"/>
      <c r="B5" s="353" t="s">
        <v>4</v>
      </c>
      <c r="C5" s="342"/>
      <c r="D5" s="331">
        <v>2007</v>
      </c>
      <c r="E5" s="329">
        <v>2008</v>
      </c>
      <c r="F5" s="329">
        <v>2009</v>
      </c>
      <c r="G5" s="329">
        <v>2010</v>
      </c>
      <c r="H5" s="354">
        <v>2011</v>
      </c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6"/>
      <c r="T5" s="335">
        <v>2011</v>
      </c>
      <c r="U5" s="336"/>
      <c r="V5" s="337"/>
      <c r="W5" s="329">
        <v>2011</v>
      </c>
      <c r="X5" s="354">
        <v>2012</v>
      </c>
      <c r="Y5" s="355"/>
      <c r="Z5" s="355"/>
      <c r="AA5" s="355"/>
      <c r="AB5" s="355"/>
      <c r="AC5" s="355"/>
      <c r="AD5" s="355"/>
      <c r="AE5" s="355"/>
      <c r="AF5" s="355"/>
      <c r="AG5" s="355"/>
      <c r="AH5" s="355"/>
      <c r="AI5" s="356"/>
      <c r="AJ5" s="335">
        <v>2012</v>
      </c>
      <c r="AK5" s="336"/>
      <c r="AL5" s="337"/>
      <c r="AM5" s="329">
        <v>2012</v>
      </c>
      <c r="AN5" s="346">
        <v>2013</v>
      </c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35">
        <v>2013</v>
      </c>
      <c r="BA5" s="336"/>
      <c r="BB5" s="337"/>
      <c r="BC5" s="335">
        <v>2013</v>
      </c>
      <c r="BD5" s="336"/>
      <c r="BE5" s="337"/>
      <c r="BF5" s="341">
        <v>2014</v>
      </c>
      <c r="BG5" s="341"/>
      <c r="BH5" s="341"/>
      <c r="BI5" s="341"/>
      <c r="BJ5" s="341"/>
      <c r="BK5" s="341"/>
      <c r="BL5" s="341"/>
      <c r="BM5" s="341"/>
      <c r="BN5" s="341"/>
      <c r="BO5" s="341"/>
      <c r="BP5" s="341"/>
      <c r="BQ5" s="341"/>
      <c r="BR5" s="341"/>
      <c r="BS5" s="341"/>
      <c r="BT5" s="341"/>
      <c r="BU5" s="341"/>
      <c r="BV5" s="341"/>
      <c r="BW5" s="341"/>
      <c r="BX5" s="341"/>
      <c r="BY5" s="341"/>
      <c r="BZ5" s="341"/>
      <c r="CA5" s="341"/>
      <c r="CB5" s="341"/>
      <c r="CC5" s="341"/>
      <c r="CD5" s="341"/>
      <c r="CE5" s="341"/>
      <c r="CF5" s="341"/>
      <c r="CG5" s="341"/>
      <c r="CH5" s="341"/>
      <c r="CI5" s="341"/>
      <c r="CJ5" s="341"/>
      <c r="CK5" s="341"/>
      <c r="CL5" s="341"/>
      <c r="CM5" s="341"/>
      <c r="CN5" s="341"/>
      <c r="CO5" s="341"/>
      <c r="CP5" s="341">
        <v>2014</v>
      </c>
      <c r="CQ5" s="341"/>
      <c r="CR5" s="341"/>
      <c r="CS5" s="341">
        <v>2014</v>
      </c>
      <c r="CT5" s="341"/>
      <c r="CU5" s="341"/>
      <c r="CV5" s="341">
        <v>2015</v>
      </c>
      <c r="CW5" s="341"/>
      <c r="CX5" s="341"/>
      <c r="CY5" s="341"/>
      <c r="CZ5" s="341"/>
      <c r="DA5" s="341"/>
      <c r="DB5" s="341"/>
      <c r="DC5" s="341"/>
      <c r="DD5" s="341"/>
      <c r="DE5" s="341"/>
      <c r="DF5" s="341"/>
      <c r="DG5" s="341"/>
      <c r="DH5" s="341"/>
      <c r="DI5" s="341"/>
      <c r="DJ5" s="341"/>
      <c r="DK5" s="341"/>
      <c r="DL5" s="341"/>
      <c r="DM5" s="341"/>
      <c r="DN5" s="341"/>
      <c r="DO5" s="341"/>
      <c r="DP5" s="341"/>
      <c r="DQ5" s="341"/>
      <c r="DR5" s="341"/>
      <c r="DS5" s="341"/>
      <c r="DT5" s="341"/>
      <c r="DU5" s="341"/>
      <c r="DV5" s="341"/>
      <c r="DW5" s="341"/>
      <c r="DX5" s="341"/>
      <c r="DY5" s="341"/>
      <c r="DZ5" s="341"/>
      <c r="EA5" s="341"/>
      <c r="EB5" s="341"/>
      <c r="EC5" s="341"/>
      <c r="ED5" s="341"/>
      <c r="EE5" s="341"/>
      <c r="EF5" s="335">
        <v>2015</v>
      </c>
      <c r="EG5" s="336"/>
      <c r="EH5" s="337"/>
      <c r="EI5" s="335">
        <v>2015</v>
      </c>
      <c r="EJ5" s="336"/>
      <c r="EK5" s="337"/>
      <c r="EL5" s="341">
        <v>2016</v>
      </c>
      <c r="EM5" s="341"/>
      <c r="EN5" s="341"/>
      <c r="EO5" s="341"/>
      <c r="EP5" s="341"/>
      <c r="EQ5" s="341"/>
      <c r="ER5" s="341"/>
      <c r="ES5" s="341"/>
      <c r="ET5" s="341"/>
      <c r="EU5" s="341"/>
      <c r="EV5" s="341"/>
      <c r="EW5" s="341"/>
      <c r="EX5" s="341"/>
      <c r="EY5" s="341"/>
      <c r="EZ5" s="341"/>
      <c r="FA5" s="341"/>
      <c r="FB5" s="341"/>
      <c r="FC5" s="341"/>
      <c r="FD5" s="341"/>
      <c r="FE5" s="341"/>
      <c r="FF5" s="341"/>
      <c r="FG5" s="341"/>
      <c r="FH5" s="341"/>
      <c r="FI5" s="341"/>
      <c r="FJ5" s="341"/>
      <c r="FK5" s="341"/>
      <c r="FL5" s="341"/>
      <c r="FM5" s="341"/>
      <c r="FN5" s="341"/>
      <c r="FO5" s="341"/>
      <c r="FP5" s="341"/>
      <c r="FQ5" s="341"/>
      <c r="FR5" s="341"/>
      <c r="FS5" s="341"/>
      <c r="FT5" s="341"/>
      <c r="FU5" s="341"/>
      <c r="FV5" s="335">
        <v>2016</v>
      </c>
      <c r="FW5" s="336"/>
      <c r="FX5" s="337"/>
      <c r="FY5" s="335">
        <v>2016</v>
      </c>
      <c r="FZ5" s="336"/>
      <c r="GA5" s="337"/>
      <c r="GB5" s="341">
        <v>2017</v>
      </c>
      <c r="GC5" s="341"/>
      <c r="GD5" s="341"/>
      <c r="GE5" s="341"/>
      <c r="GF5" s="341"/>
      <c r="GG5" s="341"/>
      <c r="GH5" s="341"/>
      <c r="GI5" s="341"/>
      <c r="GJ5" s="341"/>
      <c r="GK5" s="341"/>
      <c r="GL5" s="341"/>
      <c r="GM5" s="341"/>
      <c r="GN5" s="341"/>
      <c r="GO5" s="341"/>
      <c r="GP5" s="341"/>
      <c r="GQ5" s="341"/>
      <c r="GR5" s="341"/>
      <c r="GS5" s="341"/>
      <c r="GT5" s="341"/>
      <c r="GU5" s="341"/>
      <c r="GV5" s="341"/>
      <c r="GW5" s="341"/>
      <c r="GX5" s="341"/>
      <c r="GY5" s="341"/>
      <c r="GZ5" s="341"/>
      <c r="HA5" s="341"/>
      <c r="HB5" s="341"/>
      <c r="HC5" s="341"/>
      <c r="HD5" s="341"/>
      <c r="HE5" s="341"/>
      <c r="HF5" s="341"/>
      <c r="HG5" s="341"/>
      <c r="HH5" s="341"/>
      <c r="HI5" s="341"/>
      <c r="HJ5" s="341"/>
      <c r="HK5" s="341"/>
      <c r="HL5" s="335">
        <v>2017</v>
      </c>
      <c r="HM5" s="336"/>
      <c r="HN5" s="337"/>
      <c r="HO5" s="335">
        <f>HL5</f>
        <v>2017</v>
      </c>
      <c r="HP5" s="336"/>
      <c r="HQ5" s="337"/>
      <c r="HR5" s="335">
        <v>2018</v>
      </c>
      <c r="HS5" s="336"/>
      <c r="HT5" s="336"/>
      <c r="HU5" s="336"/>
      <c r="HV5" s="336"/>
      <c r="HW5" s="336"/>
      <c r="HX5" s="336"/>
      <c r="HY5" s="336"/>
      <c r="HZ5" s="336"/>
      <c r="IA5" s="336"/>
      <c r="IB5" s="336"/>
      <c r="IC5" s="336"/>
      <c r="ID5" s="336"/>
      <c r="IE5" s="336"/>
      <c r="IF5" s="336"/>
      <c r="IG5" s="336"/>
      <c r="IH5" s="336"/>
      <c r="II5" s="336"/>
      <c r="IJ5" s="336"/>
      <c r="IK5" s="336"/>
      <c r="IL5" s="336"/>
      <c r="IM5" s="336"/>
      <c r="IN5" s="336"/>
      <c r="IO5" s="336"/>
      <c r="IP5" s="336"/>
      <c r="IQ5" s="336"/>
      <c r="IR5" s="336"/>
      <c r="IS5" s="336"/>
      <c r="IT5" s="336"/>
      <c r="IU5" s="336"/>
      <c r="IV5" s="336"/>
      <c r="IW5" s="336"/>
      <c r="IX5" s="336"/>
      <c r="IY5" s="336"/>
      <c r="IZ5" s="336"/>
      <c r="JA5" s="337"/>
      <c r="JB5" s="335">
        <v>2018</v>
      </c>
      <c r="JC5" s="336"/>
      <c r="JD5" s="337"/>
      <c r="JE5" s="335">
        <f>JB5</f>
        <v>2018</v>
      </c>
      <c r="JF5" s="336"/>
      <c r="JG5" s="337"/>
      <c r="JH5" s="335">
        <v>2019</v>
      </c>
      <c r="JI5" s="336"/>
      <c r="JJ5" s="336"/>
      <c r="JK5" s="336"/>
      <c r="JL5" s="336"/>
      <c r="JM5" s="336"/>
      <c r="JN5" s="336"/>
      <c r="JO5" s="336"/>
      <c r="JP5" s="336"/>
      <c r="JQ5" s="336"/>
      <c r="JR5" s="336"/>
      <c r="JS5" s="336"/>
      <c r="JT5" s="336"/>
      <c r="JU5" s="336"/>
      <c r="JV5" s="336"/>
      <c r="JW5" s="336"/>
      <c r="JX5" s="336"/>
      <c r="JY5" s="336"/>
      <c r="JZ5" s="336"/>
      <c r="KA5" s="336"/>
      <c r="KB5" s="336"/>
      <c r="KC5" s="336"/>
      <c r="KD5" s="336"/>
      <c r="KE5" s="336"/>
      <c r="KF5" s="336"/>
      <c r="KG5" s="336"/>
      <c r="KH5" s="336"/>
      <c r="KI5" s="336"/>
      <c r="KJ5" s="336"/>
      <c r="KK5" s="336"/>
      <c r="KL5" s="336"/>
      <c r="KM5" s="336"/>
      <c r="KN5" s="336"/>
      <c r="KO5" s="336"/>
      <c r="KP5" s="336"/>
      <c r="KQ5" s="337"/>
      <c r="KR5" s="335">
        <v>2019</v>
      </c>
      <c r="KS5" s="336"/>
      <c r="KT5" s="337"/>
      <c r="KU5" s="335">
        <v>2019</v>
      </c>
      <c r="KV5" s="336"/>
      <c r="KW5" s="337"/>
      <c r="KX5" s="335">
        <v>2020</v>
      </c>
      <c r="KY5" s="336"/>
      <c r="KZ5" s="336"/>
      <c r="LA5" s="336"/>
      <c r="LB5" s="336"/>
      <c r="LC5" s="336"/>
      <c r="LD5" s="336"/>
      <c r="LE5" s="336"/>
      <c r="LF5" s="336"/>
      <c r="LG5" s="336"/>
      <c r="LH5" s="336"/>
      <c r="LI5" s="336"/>
      <c r="LJ5" s="336"/>
      <c r="LK5" s="336"/>
      <c r="LL5" s="336"/>
      <c r="LM5" s="336"/>
      <c r="LN5" s="336"/>
      <c r="LO5" s="336"/>
      <c r="LP5" s="336"/>
      <c r="LQ5" s="336"/>
      <c r="LR5" s="336"/>
      <c r="LS5" s="336"/>
      <c r="LT5" s="336"/>
      <c r="LU5" s="336"/>
      <c r="LV5" s="336"/>
      <c r="LW5" s="336"/>
      <c r="LX5" s="336"/>
      <c r="LY5" s="336"/>
      <c r="LZ5" s="336"/>
      <c r="MA5" s="336"/>
      <c r="MB5" s="336"/>
      <c r="MC5" s="336"/>
      <c r="MD5" s="336"/>
      <c r="ME5" s="336"/>
      <c r="MF5" s="336"/>
      <c r="MG5" s="337"/>
      <c r="MH5" s="335">
        <v>2020</v>
      </c>
      <c r="MI5" s="336"/>
      <c r="MJ5" s="337"/>
      <c r="MK5" s="335">
        <v>2020</v>
      </c>
      <c r="ML5" s="336"/>
      <c r="MM5" s="337"/>
      <c r="MN5" s="335">
        <v>2021</v>
      </c>
      <c r="MO5" s="336"/>
      <c r="MP5" s="336"/>
      <c r="MQ5" s="336"/>
      <c r="MR5" s="336"/>
      <c r="MS5" s="336"/>
      <c r="MT5" s="336"/>
      <c r="MU5" s="336"/>
      <c r="MV5" s="336"/>
      <c r="MW5" s="336"/>
      <c r="MX5" s="336"/>
      <c r="MY5" s="336"/>
      <c r="MZ5" s="336"/>
      <c r="NA5" s="336"/>
      <c r="NB5" s="336"/>
      <c r="NC5" s="336"/>
      <c r="ND5" s="336"/>
      <c r="NE5" s="336"/>
      <c r="NF5" s="336"/>
      <c r="NG5" s="336"/>
      <c r="NH5" s="336"/>
      <c r="NI5" s="336"/>
      <c r="NJ5" s="336"/>
      <c r="NK5" s="336"/>
      <c r="NL5" s="336"/>
      <c r="NM5" s="336"/>
      <c r="NN5" s="336"/>
      <c r="NO5" s="336"/>
      <c r="NP5" s="336"/>
      <c r="NQ5" s="336"/>
      <c r="NR5" s="336"/>
      <c r="NS5" s="336"/>
      <c r="NT5" s="336"/>
      <c r="NU5" s="336"/>
      <c r="NV5" s="336"/>
      <c r="NW5" s="337"/>
      <c r="NX5" s="335">
        <v>2021</v>
      </c>
      <c r="NY5" s="336"/>
      <c r="NZ5" s="337"/>
      <c r="OA5" s="335">
        <v>2021</v>
      </c>
      <c r="OB5" s="336"/>
      <c r="OC5" s="337"/>
      <c r="OD5" s="335">
        <v>2022</v>
      </c>
      <c r="OE5" s="336"/>
      <c r="OF5" s="336"/>
      <c r="OG5" s="336"/>
      <c r="OH5" s="336"/>
      <c r="OI5" s="336"/>
      <c r="OJ5" s="336"/>
      <c r="OK5" s="336"/>
      <c r="OL5" s="336"/>
      <c r="OM5" s="336"/>
      <c r="ON5" s="336"/>
      <c r="OO5" s="336"/>
      <c r="OP5" s="336"/>
      <c r="OQ5" s="336"/>
      <c r="OR5" s="336"/>
      <c r="OS5" s="336"/>
      <c r="OT5" s="336"/>
      <c r="OU5" s="336"/>
      <c r="OV5" s="336"/>
      <c r="OW5" s="336"/>
      <c r="OX5" s="336"/>
      <c r="OY5" s="336"/>
      <c r="OZ5" s="336"/>
      <c r="PA5" s="336"/>
      <c r="PB5" s="336"/>
      <c r="PC5" s="336"/>
      <c r="PD5" s="336"/>
      <c r="PE5" s="336"/>
      <c r="PF5" s="336"/>
      <c r="PG5" s="336"/>
      <c r="PH5" s="336"/>
      <c r="PI5" s="336"/>
      <c r="PJ5" s="336"/>
      <c r="PK5" s="336"/>
      <c r="PL5" s="336"/>
      <c r="PM5" s="337"/>
      <c r="PN5" s="335">
        <v>2022</v>
      </c>
      <c r="PO5" s="336"/>
      <c r="PP5" s="337"/>
      <c r="PQ5" s="335">
        <v>2022</v>
      </c>
      <c r="PR5" s="336"/>
      <c r="PS5" s="337"/>
      <c r="PT5" s="335">
        <v>2023</v>
      </c>
      <c r="PU5" s="336"/>
      <c r="PV5" s="336"/>
      <c r="PW5" s="336"/>
      <c r="PX5" s="336"/>
      <c r="PY5" s="336"/>
      <c r="PZ5" s="336"/>
      <c r="QA5" s="336"/>
      <c r="QB5" s="336"/>
      <c r="QC5" s="336"/>
      <c r="QD5" s="336"/>
      <c r="QE5" s="336"/>
      <c r="QF5" s="336"/>
      <c r="QG5" s="336"/>
      <c r="QH5" s="336"/>
      <c r="QI5" s="336"/>
      <c r="QJ5" s="336"/>
      <c r="QK5" s="336"/>
      <c r="QL5" s="336"/>
      <c r="QM5" s="336"/>
      <c r="QN5" s="336"/>
      <c r="QO5" s="336"/>
      <c r="QP5" s="336"/>
      <c r="QQ5" s="336"/>
      <c r="QR5" s="336"/>
      <c r="QS5" s="336"/>
      <c r="QT5" s="336"/>
      <c r="QU5" s="336"/>
      <c r="QV5" s="336"/>
      <c r="QW5" s="336"/>
      <c r="QX5" s="336"/>
      <c r="QY5" s="336"/>
      <c r="QZ5" s="336"/>
      <c r="RA5" s="336"/>
      <c r="RB5" s="336"/>
      <c r="RC5" s="337"/>
      <c r="RD5" s="335">
        <v>2023</v>
      </c>
      <c r="RE5" s="336"/>
      <c r="RF5" s="337"/>
      <c r="RG5" s="335">
        <v>2023</v>
      </c>
      <c r="RH5" s="336"/>
      <c r="RI5" s="337"/>
      <c r="RJ5" s="335">
        <v>2024</v>
      </c>
      <c r="RK5" s="336"/>
      <c r="RL5" s="336"/>
      <c r="RM5" s="336"/>
      <c r="RN5" s="336"/>
      <c r="RO5" s="336"/>
      <c r="RP5" s="336"/>
      <c r="RQ5" s="336"/>
      <c r="RR5" s="336"/>
      <c r="RS5" s="336"/>
      <c r="RT5" s="336"/>
      <c r="RU5" s="336"/>
      <c r="RV5" s="336"/>
      <c r="RW5" s="336"/>
      <c r="RX5" s="336"/>
      <c r="RY5" s="336"/>
      <c r="RZ5" s="336"/>
      <c r="SA5" s="336"/>
      <c r="SB5" s="336"/>
      <c r="SC5" s="336"/>
      <c r="SD5" s="336"/>
      <c r="SE5" s="336"/>
      <c r="SF5" s="336"/>
      <c r="SG5" s="336"/>
      <c r="SH5" s="336"/>
      <c r="SI5" s="336"/>
      <c r="SJ5" s="336"/>
      <c r="SK5" s="336"/>
      <c r="SL5" s="336"/>
      <c r="SM5" s="336"/>
      <c r="SN5" s="336"/>
      <c r="SO5" s="336"/>
      <c r="SP5" s="336"/>
      <c r="SQ5" s="336"/>
      <c r="SR5" s="336"/>
      <c r="SS5" s="337"/>
      <c r="ST5" s="335">
        <v>2024</v>
      </c>
      <c r="SU5" s="336"/>
      <c r="SV5" s="337"/>
      <c r="SW5" s="335">
        <v>2024</v>
      </c>
      <c r="SX5" s="336"/>
      <c r="SY5" s="337"/>
      <c r="SZ5" s="335">
        <v>2025</v>
      </c>
      <c r="TA5" s="336"/>
      <c r="TB5" s="336"/>
      <c r="TC5" s="336"/>
      <c r="TD5" s="336"/>
      <c r="TE5" s="336"/>
      <c r="TF5" s="336"/>
      <c r="TG5" s="336"/>
      <c r="TH5" s="336"/>
      <c r="TI5" s="336"/>
      <c r="TJ5" s="336"/>
      <c r="TK5" s="336"/>
      <c r="TL5" s="336"/>
      <c r="TM5" s="336"/>
      <c r="TN5" s="336"/>
      <c r="TO5" s="336"/>
      <c r="TP5" s="336"/>
      <c r="TQ5" s="336"/>
      <c r="TR5" s="336"/>
      <c r="TS5" s="336"/>
      <c r="TT5" s="336"/>
      <c r="TU5" s="336"/>
      <c r="TV5" s="336"/>
      <c r="TW5" s="336"/>
      <c r="TX5" s="336"/>
      <c r="TY5" s="336"/>
      <c r="TZ5" s="336"/>
      <c r="UA5" s="336"/>
      <c r="UB5" s="336"/>
      <c r="UC5" s="336"/>
      <c r="UD5" s="336"/>
      <c r="UE5" s="336"/>
      <c r="UF5" s="336"/>
      <c r="UG5" s="336"/>
      <c r="UH5" s="336"/>
      <c r="UI5" s="337"/>
      <c r="UJ5" s="335">
        <v>2025</v>
      </c>
      <c r="UK5" s="336"/>
      <c r="UL5" s="337"/>
      <c r="UM5" s="335">
        <v>2026</v>
      </c>
      <c r="UN5" s="336"/>
      <c r="UO5" s="336"/>
      <c r="UP5" s="336"/>
      <c r="UQ5" s="336"/>
      <c r="UR5" s="336"/>
      <c r="US5" s="336"/>
      <c r="UT5" s="336"/>
      <c r="UU5" s="336"/>
      <c r="UV5" s="336"/>
      <c r="UW5" s="336"/>
      <c r="UX5" s="336"/>
      <c r="UY5" s="336"/>
      <c r="UZ5" s="336"/>
      <c r="VA5" s="336"/>
      <c r="VB5" s="336"/>
      <c r="VC5" s="336"/>
      <c r="VD5" s="336"/>
      <c r="VE5" s="336"/>
      <c r="VF5" s="336"/>
      <c r="VG5" s="336"/>
      <c r="VH5" s="336"/>
      <c r="VI5" s="336"/>
      <c r="VJ5" s="336"/>
      <c r="VK5" s="336"/>
      <c r="VL5" s="336"/>
      <c r="VM5" s="336"/>
      <c r="VN5" s="336"/>
      <c r="VO5" s="336"/>
      <c r="VP5" s="336"/>
      <c r="VQ5" s="336"/>
      <c r="VR5" s="336"/>
      <c r="VS5" s="336"/>
      <c r="VT5" s="336"/>
      <c r="VU5" s="336"/>
      <c r="VV5" s="337"/>
      <c r="VW5" s="347">
        <v>2025</v>
      </c>
      <c r="VX5" s="348"/>
      <c r="VY5" s="349"/>
      <c r="VZ5" s="347">
        <v>2026</v>
      </c>
      <c r="WA5" s="348"/>
      <c r="WB5" s="349"/>
      <c r="WC5" s="287" t="s">
        <v>5</v>
      </c>
      <c r="WD5" s="287" t="str">
        <f>WC5</f>
        <v>2026/2025</v>
      </c>
    </row>
    <row r="6" spans="1:602" ht="46.5" customHeight="1">
      <c r="A6" s="343"/>
      <c r="B6" s="353"/>
      <c r="C6" s="343"/>
      <c r="D6" s="344" t="s">
        <v>0</v>
      </c>
      <c r="E6" s="344" t="s">
        <v>0</v>
      </c>
      <c r="F6" s="344" t="s">
        <v>0</v>
      </c>
      <c r="G6" s="344" t="s">
        <v>0</v>
      </c>
      <c r="H6" s="344" t="s">
        <v>6</v>
      </c>
      <c r="I6" s="344" t="s">
        <v>7</v>
      </c>
      <c r="J6" s="344" t="s">
        <v>8</v>
      </c>
      <c r="K6" s="344" t="s">
        <v>9</v>
      </c>
      <c r="L6" s="344" t="s">
        <v>10</v>
      </c>
      <c r="M6" s="344" t="s">
        <v>11</v>
      </c>
      <c r="N6" s="344" t="s">
        <v>12</v>
      </c>
      <c r="O6" s="344" t="s">
        <v>13</v>
      </c>
      <c r="P6" s="344" t="s">
        <v>14</v>
      </c>
      <c r="Q6" s="344" t="s">
        <v>15</v>
      </c>
      <c r="R6" s="344" t="s">
        <v>16</v>
      </c>
      <c r="S6" s="344" t="s">
        <v>17</v>
      </c>
      <c r="T6" s="26" t="s">
        <v>1</v>
      </c>
      <c r="U6" s="26" t="s">
        <v>1</v>
      </c>
      <c r="V6" s="24" t="s">
        <v>1</v>
      </c>
      <c r="W6" s="344" t="s">
        <v>0</v>
      </c>
      <c r="X6" s="344" t="s">
        <v>6</v>
      </c>
      <c r="Y6" s="344" t="s">
        <v>7</v>
      </c>
      <c r="Z6" s="344" t="s">
        <v>8</v>
      </c>
      <c r="AA6" s="344" t="s">
        <v>9</v>
      </c>
      <c r="AB6" s="344" t="s">
        <v>10</v>
      </c>
      <c r="AC6" s="344" t="s">
        <v>11</v>
      </c>
      <c r="AD6" s="344" t="s">
        <v>12</v>
      </c>
      <c r="AE6" s="344" t="s">
        <v>13</v>
      </c>
      <c r="AF6" s="344" t="s">
        <v>14</v>
      </c>
      <c r="AG6" s="344" t="s">
        <v>15</v>
      </c>
      <c r="AH6" s="344" t="s">
        <v>16</v>
      </c>
      <c r="AI6" s="344" t="s">
        <v>17</v>
      </c>
      <c r="AJ6" s="26" t="s">
        <v>1</v>
      </c>
      <c r="AK6" s="26" t="s">
        <v>1</v>
      </c>
      <c r="AL6" s="24" t="s">
        <v>1</v>
      </c>
      <c r="AM6" s="344" t="s">
        <v>0</v>
      </c>
      <c r="AN6" s="344" t="s">
        <v>6</v>
      </c>
      <c r="AO6" s="344" t="s">
        <v>7</v>
      </c>
      <c r="AP6" s="344" t="s">
        <v>8</v>
      </c>
      <c r="AQ6" s="344" t="s">
        <v>9</v>
      </c>
      <c r="AR6" s="344" t="s">
        <v>10</v>
      </c>
      <c r="AS6" s="344" t="s">
        <v>11</v>
      </c>
      <c r="AT6" s="344" t="s">
        <v>12</v>
      </c>
      <c r="AU6" s="344" t="s">
        <v>13</v>
      </c>
      <c r="AV6" s="344" t="s">
        <v>14</v>
      </c>
      <c r="AW6" s="344" t="s">
        <v>15</v>
      </c>
      <c r="AX6" s="344" t="s">
        <v>16</v>
      </c>
      <c r="AY6" s="344" t="s">
        <v>17</v>
      </c>
      <c r="AZ6" s="26" t="s">
        <v>1</v>
      </c>
      <c r="BA6" s="26" t="s">
        <v>1</v>
      </c>
      <c r="BB6" s="24" t="s">
        <v>1</v>
      </c>
      <c r="BC6" s="338" t="s">
        <v>0</v>
      </c>
      <c r="BD6" s="339"/>
      <c r="BE6" s="340"/>
      <c r="BF6" s="338" t="s">
        <v>6</v>
      </c>
      <c r="BG6" s="339"/>
      <c r="BH6" s="340"/>
      <c r="BI6" s="338" t="s">
        <v>7</v>
      </c>
      <c r="BJ6" s="339"/>
      <c r="BK6" s="340"/>
      <c r="BL6" s="338" t="s">
        <v>8</v>
      </c>
      <c r="BM6" s="339"/>
      <c r="BN6" s="340"/>
      <c r="BO6" s="338" t="s">
        <v>9</v>
      </c>
      <c r="BP6" s="339"/>
      <c r="BQ6" s="340"/>
      <c r="BR6" s="338" t="s">
        <v>10</v>
      </c>
      <c r="BS6" s="339"/>
      <c r="BT6" s="340"/>
      <c r="BU6" s="338" t="s">
        <v>11</v>
      </c>
      <c r="BV6" s="339"/>
      <c r="BW6" s="340"/>
      <c r="BX6" s="338" t="s">
        <v>12</v>
      </c>
      <c r="BY6" s="339"/>
      <c r="BZ6" s="340"/>
      <c r="CA6" s="338" t="s">
        <v>13</v>
      </c>
      <c r="CB6" s="339"/>
      <c r="CC6" s="340"/>
      <c r="CD6" s="338" t="s">
        <v>14</v>
      </c>
      <c r="CE6" s="339"/>
      <c r="CF6" s="340"/>
      <c r="CG6" s="338" t="s">
        <v>15</v>
      </c>
      <c r="CH6" s="339"/>
      <c r="CI6" s="340"/>
      <c r="CJ6" s="338" t="s">
        <v>16</v>
      </c>
      <c r="CK6" s="339"/>
      <c r="CL6" s="340"/>
      <c r="CM6" s="338" t="s">
        <v>17</v>
      </c>
      <c r="CN6" s="339"/>
      <c r="CO6" s="340"/>
      <c r="CP6" s="357" t="s">
        <v>1</v>
      </c>
      <c r="CQ6" s="357"/>
      <c r="CR6" s="357"/>
      <c r="CS6" s="338" t="s">
        <v>0</v>
      </c>
      <c r="CT6" s="339"/>
      <c r="CU6" s="340"/>
      <c r="CV6" s="338" t="s">
        <v>6</v>
      </c>
      <c r="CW6" s="339"/>
      <c r="CX6" s="340"/>
      <c r="CY6" s="338" t="s">
        <v>7</v>
      </c>
      <c r="CZ6" s="339"/>
      <c r="DA6" s="340"/>
      <c r="DB6" s="338" t="s">
        <v>8</v>
      </c>
      <c r="DC6" s="339"/>
      <c r="DD6" s="340"/>
      <c r="DE6" s="338" t="s">
        <v>9</v>
      </c>
      <c r="DF6" s="339"/>
      <c r="DG6" s="340"/>
      <c r="DH6" s="338" t="s">
        <v>10</v>
      </c>
      <c r="DI6" s="339"/>
      <c r="DJ6" s="340"/>
      <c r="DK6" s="338" t="s">
        <v>11</v>
      </c>
      <c r="DL6" s="339"/>
      <c r="DM6" s="340"/>
      <c r="DN6" s="338" t="s">
        <v>12</v>
      </c>
      <c r="DO6" s="339"/>
      <c r="DP6" s="340"/>
      <c r="DQ6" s="338" t="s">
        <v>13</v>
      </c>
      <c r="DR6" s="339"/>
      <c r="DS6" s="340"/>
      <c r="DT6" s="338" t="s">
        <v>14</v>
      </c>
      <c r="DU6" s="339"/>
      <c r="DV6" s="340"/>
      <c r="DW6" s="338" t="s">
        <v>15</v>
      </c>
      <c r="DX6" s="339"/>
      <c r="DY6" s="340"/>
      <c r="DZ6" s="338" t="s">
        <v>16</v>
      </c>
      <c r="EA6" s="339"/>
      <c r="EB6" s="340"/>
      <c r="EC6" s="338" t="s">
        <v>17</v>
      </c>
      <c r="ED6" s="339"/>
      <c r="EE6" s="340"/>
      <c r="EF6" s="338" t="s">
        <v>1</v>
      </c>
      <c r="EG6" s="339"/>
      <c r="EH6" s="340"/>
      <c r="EI6" s="338" t="s">
        <v>0</v>
      </c>
      <c r="EJ6" s="339"/>
      <c r="EK6" s="340"/>
      <c r="EL6" s="338" t="s">
        <v>6</v>
      </c>
      <c r="EM6" s="339"/>
      <c r="EN6" s="340"/>
      <c r="EO6" s="338" t="s">
        <v>7</v>
      </c>
      <c r="EP6" s="339"/>
      <c r="EQ6" s="340"/>
      <c r="ER6" s="338" t="s">
        <v>8</v>
      </c>
      <c r="ES6" s="339"/>
      <c r="ET6" s="340"/>
      <c r="EU6" s="338" t="s">
        <v>9</v>
      </c>
      <c r="EV6" s="339"/>
      <c r="EW6" s="340"/>
      <c r="EX6" s="338" t="s">
        <v>10</v>
      </c>
      <c r="EY6" s="339"/>
      <c r="EZ6" s="340"/>
      <c r="FA6" s="338" t="s">
        <v>11</v>
      </c>
      <c r="FB6" s="339"/>
      <c r="FC6" s="340"/>
      <c r="FD6" s="338" t="s">
        <v>12</v>
      </c>
      <c r="FE6" s="339"/>
      <c r="FF6" s="340"/>
      <c r="FG6" s="338" t="s">
        <v>13</v>
      </c>
      <c r="FH6" s="339"/>
      <c r="FI6" s="340"/>
      <c r="FJ6" s="338" t="s">
        <v>14</v>
      </c>
      <c r="FK6" s="339"/>
      <c r="FL6" s="340"/>
      <c r="FM6" s="338" t="s">
        <v>15</v>
      </c>
      <c r="FN6" s="339"/>
      <c r="FO6" s="340"/>
      <c r="FP6" s="338" t="s">
        <v>16</v>
      </c>
      <c r="FQ6" s="339"/>
      <c r="FR6" s="340"/>
      <c r="FS6" s="338" t="s">
        <v>17</v>
      </c>
      <c r="FT6" s="339"/>
      <c r="FU6" s="340"/>
      <c r="FV6" s="338" t="s">
        <v>1</v>
      </c>
      <c r="FW6" s="339"/>
      <c r="FX6" s="340"/>
      <c r="FY6" s="338" t="s">
        <v>0</v>
      </c>
      <c r="FZ6" s="339"/>
      <c r="GA6" s="340"/>
      <c r="GB6" s="338" t="s">
        <v>6</v>
      </c>
      <c r="GC6" s="339"/>
      <c r="GD6" s="340"/>
      <c r="GE6" s="338" t="s">
        <v>7</v>
      </c>
      <c r="GF6" s="339"/>
      <c r="GG6" s="340"/>
      <c r="GH6" s="338" t="s">
        <v>8</v>
      </c>
      <c r="GI6" s="339"/>
      <c r="GJ6" s="340"/>
      <c r="GK6" s="338" t="s">
        <v>9</v>
      </c>
      <c r="GL6" s="339"/>
      <c r="GM6" s="340"/>
      <c r="GN6" s="338" t="s">
        <v>10</v>
      </c>
      <c r="GO6" s="339"/>
      <c r="GP6" s="340"/>
      <c r="GQ6" s="338" t="s">
        <v>11</v>
      </c>
      <c r="GR6" s="339"/>
      <c r="GS6" s="340"/>
      <c r="GT6" s="338" t="s">
        <v>12</v>
      </c>
      <c r="GU6" s="339"/>
      <c r="GV6" s="340"/>
      <c r="GW6" s="338" t="s">
        <v>13</v>
      </c>
      <c r="GX6" s="339"/>
      <c r="GY6" s="340"/>
      <c r="GZ6" s="338" t="s">
        <v>14</v>
      </c>
      <c r="HA6" s="339"/>
      <c r="HB6" s="340"/>
      <c r="HC6" s="338" t="s">
        <v>15</v>
      </c>
      <c r="HD6" s="339"/>
      <c r="HE6" s="340"/>
      <c r="HF6" s="338" t="s">
        <v>16</v>
      </c>
      <c r="HG6" s="339"/>
      <c r="HH6" s="340"/>
      <c r="HI6" s="338" t="s">
        <v>17</v>
      </c>
      <c r="HJ6" s="339"/>
      <c r="HK6" s="340"/>
      <c r="HL6" s="338" t="s">
        <v>1</v>
      </c>
      <c r="HM6" s="339"/>
      <c r="HN6" s="340"/>
      <c r="HO6" s="338" t="s">
        <v>0</v>
      </c>
      <c r="HP6" s="339"/>
      <c r="HQ6" s="340"/>
      <c r="HR6" s="338" t="s">
        <v>6</v>
      </c>
      <c r="HS6" s="339"/>
      <c r="HT6" s="340"/>
      <c r="HU6" s="338" t="s">
        <v>7</v>
      </c>
      <c r="HV6" s="339"/>
      <c r="HW6" s="340"/>
      <c r="HX6" s="338" t="s">
        <v>8</v>
      </c>
      <c r="HY6" s="339"/>
      <c r="HZ6" s="340"/>
      <c r="IA6" s="338" t="s">
        <v>9</v>
      </c>
      <c r="IB6" s="339"/>
      <c r="IC6" s="340"/>
      <c r="ID6" s="338" t="s">
        <v>10</v>
      </c>
      <c r="IE6" s="339"/>
      <c r="IF6" s="340"/>
      <c r="IG6" s="338" t="s">
        <v>11</v>
      </c>
      <c r="IH6" s="339"/>
      <c r="II6" s="340"/>
      <c r="IJ6" s="338" t="s">
        <v>12</v>
      </c>
      <c r="IK6" s="339"/>
      <c r="IL6" s="340"/>
      <c r="IM6" s="338" t="s">
        <v>13</v>
      </c>
      <c r="IN6" s="339"/>
      <c r="IO6" s="340"/>
      <c r="IP6" s="338" t="s">
        <v>14</v>
      </c>
      <c r="IQ6" s="339"/>
      <c r="IR6" s="340"/>
      <c r="IS6" s="338" t="s">
        <v>15</v>
      </c>
      <c r="IT6" s="339"/>
      <c r="IU6" s="340"/>
      <c r="IV6" s="338" t="s">
        <v>16</v>
      </c>
      <c r="IW6" s="339"/>
      <c r="IX6" s="340"/>
      <c r="IY6" s="338" t="s">
        <v>17</v>
      </c>
      <c r="IZ6" s="339"/>
      <c r="JA6" s="340"/>
      <c r="JB6" s="338" t="s">
        <v>1</v>
      </c>
      <c r="JC6" s="339"/>
      <c r="JD6" s="340"/>
      <c r="JE6" s="338" t="s">
        <v>18</v>
      </c>
      <c r="JF6" s="339"/>
      <c r="JG6" s="340"/>
      <c r="JH6" s="338" t="s">
        <v>6</v>
      </c>
      <c r="JI6" s="339"/>
      <c r="JJ6" s="340"/>
      <c r="JK6" s="338" t="s">
        <v>7</v>
      </c>
      <c r="JL6" s="339"/>
      <c r="JM6" s="340"/>
      <c r="JN6" s="338" t="s">
        <v>8</v>
      </c>
      <c r="JO6" s="339"/>
      <c r="JP6" s="340"/>
      <c r="JQ6" s="338" t="s">
        <v>9</v>
      </c>
      <c r="JR6" s="339"/>
      <c r="JS6" s="340"/>
      <c r="JT6" s="338" t="s">
        <v>10</v>
      </c>
      <c r="JU6" s="339"/>
      <c r="JV6" s="340"/>
      <c r="JW6" s="338" t="s">
        <v>11</v>
      </c>
      <c r="JX6" s="339"/>
      <c r="JY6" s="340"/>
      <c r="JZ6" s="338" t="s">
        <v>12</v>
      </c>
      <c r="KA6" s="339"/>
      <c r="KB6" s="340"/>
      <c r="KC6" s="338" t="s">
        <v>13</v>
      </c>
      <c r="KD6" s="339"/>
      <c r="KE6" s="340"/>
      <c r="KF6" s="338" t="s">
        <v>14</v>
      </c>
      <c r="KG6" s="339"/>
      <c r="KH6" s="340"/>
      <c r="KI6" s="338" t="s">
        <v>15</v>
      </c>
      <c r="KJ6" s="339"/>
      <c r="KK6" s="340"/>
      <c r="KL6" s="338" t="s">
        <v>16</v>
      </c>
      <c r="KM6" s="339"/>
      <c r="KN6" s="340"/>
      <c r="KO6" s="338" t="s">
        <v>17</v>
      </c>
      <c r="KP6" s="339"/>
      <c r="KQ6" s="340"/>
      <c r="KR6" s="338" t="s">
        <v>1</v>
      </c>
      <c r="KS6" s="339"/>
      <c r="KT6" s="340"/>
      <c r="KU6" s="338" t="s">
        <v>18</v>
      </c>
      <c r="KV6" s="339"/>
      <c r="KW6" s="340"/>
      <c r="KX6" s="338" t="s">
        <v>6</v>
      </c>
      <c r="KY6" s="339"/>
      <c r="KZ6" s="340"/>
      <c r="LA6" s="338" t="s">
        <v>7</v>
      </c>
      <c r="LB6" s="339"/>
      <c r="LC6" s="340"/>
      <c r="LD6" s="338" t="s">
        <v>8</v>
      </c>
      <c r="LE6" s="339"/>
      <c r="LF6" s="340"/>
      <c r="LG6" s="338" t="s">
        <v>9</v>
      </c>
      <c r="LH6" s="339"/>
      <c r="LI6" s="340"/>
      <c r="LJ6" s="338" t="s">
        <v>10</v>
      </c>
      <c r="LK6" s="339"/>
      <c r="LL6" s="340"/>
      <c r="LM6" s="338" t="s">
        <v>11</v>
      </c>
      <c r="LN6" s="339"/>
      <c r="LO6" s="340"/>
      <c r="LP6" s="338" t="s">
        <v>12</v>
      </c>
      <c r="LQ6" s="339"/>
      <c r="LR6" s="340"/>
      <c r="LS6" s="338" t="s">
        <v>13</v>
      </c>
      <c r="LT6" s="339"/>
      <c r="LU6" s="340"/>
      <c r="LV6" s="338" t="s">
        <v>14</v>
      </c>
      <c r="LW6" s="339"/>
      <c r="LX6" s="340"/>
      <c r="LY6" s="338" t="s">
        <v>15</v>
      </c>
      <c r="LZ6" s="339"/>
      <c r="MA6" s="340"/>
      <c r="MB6" s="338" t="s">
        <v>16</v>
      </c>
      <c r="MC6" s="339"/>
      <c r="MD6" s="340"/>
      <c r="ME6" s="338" t="s">
        <v>17</v>
      </c>
      <c r="MF6" s="339"/>
      <c r="MG6" s="340"/>
      <c r="MH6" s="338" t="s">
        <v>1</v>
      </c>
      <c r="MI6" s="339"/>
      <c r="MJ6" s="340"/>
      <c r="MK6" s="338" t="s">
        <v>18</v>
      </c>
      <c r="ML6" s="339"/>
      <c r="MM6" s="340"/>
      <c r="MN6" s="338" t="s">
        <v>6</v>
      </c>
      <c r="MO6" s="339"/>
      <c r="MP6" s="340"/>
      <c r="MQ6" s="338" t="s">
        <v>7</v>
      </c>
      <c r="MR6" s="339"/>
      <c r="MS6" s="340"/>
      <c r="MT6" s="338" t="s">
        <v>8</v>
      </c>
      <c r="MU6" s="339"/>
      <c r="MV6" s="340"/>
      <c r="MW6" s="338" t="s">
        <v>9</v>
      </c>
      <c r="MX6" s="339"/>
      <c r="MY6" s="340"/>
      <c r="MZ6" s="338" t="s">
        <v>10</v>
      </c>
      <c r="NA6" s="339"/>
      <c r="NB6" s="340"/>
      <c r="NC6" s="338" t="s">
        <v>11</v>
      </c>
      <c r="ND6" s="339"/>
      <c r="NE6" s="340"/>
      <c r="NF6" s="338" t="s">
        <v>12</v>
      </c>
      <c r="NG6" s="339"/>
      <c r="NH6" s="340"/>
      <c r="NI6" s="338" t="s">
        <v>13</v>
      </c>
      <c r="NJ6" s="339"/>
      <c r="NK6" s="340"/>
      <c r="NL6" s="338" t="s">
        <v>14</v>
      </c>
      <c r="NM6" s="339"/>
      <c r="NN6" s="340"/>
      <c r="NO6" s="338" t="s">
        <v>15</v>
      </c>
      <c r="NP6" s="339"/>
      <c r="NQ6" s="340"/>
      <c r="NR6" s="338" t="s">
        <v>16</v>
      </c>
      <c r="NS6" s="339"/>
      <c r="NT6" s="340"/>
      <c r="NU6" s="338" t="s">
        <v>17</v>
      </c>
      <c r="NV6" s="339"/>
      <c r="NW6" s="340"/>
      <c r="NX6" s="338" t="s">
        <v>1</v>
      </c>
      <c r="NY6" s="339"/>
      <c r="NZ6" s="340"/>
      <c r="OA6" s="338" t="s">
        <v>18</v>
      </c>
      <c r="OB6" s="339"/>
      <c r="OC6" s="340"/>
      <c r="OD6" s="338" t="s">
        <v>6</v>
      </c>
      <c r="OE6" s="339"/>
      <c r="OF6" s="340"/>
      <c r="OG6" s="338" t="s">
        <v>7</v>
      </c>
      <c r="OH6" s="339"/>
      <c r="OI6" s="340"/>
      <c r="OJ6" s="338" t="s">
        <v>8</v>
      </c>
      <c r="OK6" s="339"/>
      <c r="OL6" s="340"/>
      <c r="OM6" s="338" t="s">
        <v>9</v>
      </c>
      <c r="ON6" s="339"/>
      <c r="OO6" s="340"/>
      <c r="OP6" s="338" t="s">
        <v>10</v>
      </c>
      <c r="OQ6" s="339"/>
      <c r="OR6" s="340"/>
      <c r="OS6" s="338" t="s">
        <v>11</v>
      </c>
      <c r="OT6" s="339"/>
      <c r="OU6" s="340"/>
      <c r="OV6" s="338" t="s">
        <v>12</v>
      </c>
      <c r="OW6" s="339"/>
      <c r="OX6" s="340"/>
      <c r="OY6" s="338" t="s">
        <v>13</v>
      </c>
      <c r="OZ6" s="339"/>
      <c r="PA6" s="340"/>
      <c r="PB6" s="338" t="s">
        <v>14</v>
      </c>
      <c r="PC6" s="339"/>
      <c r="PD6" s="340"/>
      <c r="PE6" s="338" t="s">
        <v>15</v>
      </c>
      <c r="PF6" s="339"/>
      <c r="PG6" s="340"/>
      <c r="PH6" s="338" t="s">
        <v>16</v>
      </c>
      <c r="PI6" s="339"/>
      <c r="PJ6" s="340"/>
      <c r="PK6" s="338" t="s">
        <v>17</v>
      </c>
      <c r="PL6" s="339"/>
      <c r="PM6" s="340"/>
      <c r="PN6" s="338" t="s">
        <v>1</v>
      </c>
      <c r="PO6" s="339"/>
      <c r="PP6" s="340"/>
      <c r="PQ6" s="338" t="s">
        <v>18</v>
      </c>
      <c r="PR6" s="339"/>
      <c r="PS6" s="340"/>
      <c r="PT6" s="338" t="s">
        <v>6</v>
      </c>
      <c r="PU6" s="339"/>
      <c r="PV6" s="340"/>
      <c r="PW6" s="338" t="s">
        <v>7</v>
      </c>
      <c r="PX6" s="339"/>
      <c r="PY6" s="340"/>
      <c r="PZ6" s="338" t="s">
        <v>8</v>
      </c>
      <c r="QA6" s="339"/>
      <c r="QB6" s="340"/>
      <c r="QC6" s="338" t="s">
        <v>9</v>
      </c>
      <c r="QD6" s="339"/>
      <c r="QE6" s="340"/>
      <c r="QF6" s="338" t="s">
        <v>10</v>
      </c>
      <c r="QG6" s="339"/>
      <c r="QH6" s="340"/>
      <c r="QI6" s="338" t="s">
        <v>11</v>
      </c>
      <c r="QJ6" s="339"/>
      <c r="QK6" s="340"/>
      <c r="QL6" s="338" t="s">
        <v>12</v>
      </c>
      <c r="QM6" s="339"/>
      <c r="QN6" s="340"/>
      <c r="QO6" s="338" t="s">
        <v>13</v>
      </c>
      <c r="QP6" s="339"/>
      <c r="QQ6" s="340"/>
      <c r="QR6" s="338" t="s">
        <v>14</v>
      </c>
      <c r="QS6" s="339"/>
      <c r="QT6" s="340"/>
      <c r="QU6" s="338" t="s">
        <v>15</v>
      </c>
      <c r="QV6" s="339"/>
      <c r="QW6" s="340"/>
      <c r="QX6" s="338" t="s">
        <v>16</v>
      </c>
      <c r="QY6" s="339"/>
      <c r="QZ6" s="340"/>
      <c r="RA6" s="338" t="s">
        <v>17</v>
      </c>
      <c r="RB6" s="339"/>
      <c r="RC6" s="340"/>
      <c r="RD6" s="338" t="s">
        <v>1</v>
      </c>
      <c r="RE6" s="339"/>
      <c r="RF6" s="340"/>
      <c r="RG6" s="338" t="s">
        <v>18</v>
      </c>
      <c r="RH6" s="339"/>
      <c r="RI6" s="340"/>
      <c r="RJ6" s="338" t="s">
        <v>6</v>
      </c>
      <c r="RK6" s="339"/>
      <c r="RL6" s="340"/>
      <c r="RM6" s="338" t="s">
        <v>7</v>
      </c>
      <c r="RN6" s="339"/>
      <c r="RO6" s="340"/>
      <c r="RP6" s="338" t="s">
        <v>8</v>
      </c>
      <c r="RQ6" s="339"/>
      <c r="RR6" s="340"/>
      <c r="RS6" s="338" t="s">
        <v>9</v>
      </c>
      <c r="RT6" s="339"/>
      <c r="RU6" s="340"/>
      <c r="RV6" s="338" t="s">
        <v>10</v>
      </c>
      <c r="RW6" s="339"/>
      <c r="RX6" s="340"/>
      <c r="RY6" s="338" t="s">
        <v>11</v>
      </c>
      <c r="RZ6" s="339"/>
      <c r="SA6" s="340"/>
      <c r="SB6" s="338" t="s">
        <v>12</v>
      </c>
      <c r="SC6" s="339"/>
      <c r="SD6" s="340"/>
      <c r="SE6" s="338" t="s">
        <v>13</v>
      </c>
      <c r="SF6" s="339"/>
      <c r="SG6" s="340"/>
      <c r="SH6" s="338" t="s">
        <v>14</v>
      </c>
      <c r="SI6" s="339"/>
      <c r="SJ6" s="340"/>
      <c r="SK6" s="338" t="s">
        <v>15</v>
      </c>
      <c r="SL6" s="339"/>
      <c r="SM6" s="340"/>
      <c r="SN6" s="338" t="s">
        <v>16</v>
      </c>
      <c r="SO6" s="339"/>
      <c r="SP6" s="340"/>
      <c r="SQ6" s="338" t="s">
        <v>17</v>
      </c>
      <c r="SR6" s="339"/>
      <c r="SS6" s="340"/>
      <c r="ST6" s="338" t="s">
        <v>1</v>
      </c>
      <c r="SU6" s="339"/>
      <c r="SV6" s="340"/>
      <c r="SW6" s="338" t="s">
        <v>18</v>
      </c>
      <c r="SX6" s="339"/>
      <c r="SY6" s="340"/>
      <c r="SZ6" s="338" t="s">
        <v>6</v>
      </c>
      <c r="TA6" s="339"/>
      <c r="TB6" s="340"/>
      <c r="TC6" s="338" t="s">
        <v>7</v>
      </c>
      <c r="TD6" s="339"/>
      <c r="TE6" s="340"/>
      <c r="TF6" s="338" t="s">
        <v>8</v>
      </c>
      <c r="TG6" s="339"/>
      <c r="TH6" s="340"/>
      <c r="TI6" s="338" t="s">
        <v>9</v>
      </c>
      <c r="TJ6" s="339"/>
      <c r="TK6" s="340"/>
      <c r="TL6" s="338" t="s">
        <v>10</v>
      </c>
      <c r="TM6" s="339"/>
      <c r="TN6" s="340"/>
      <c r="TO6" s="338" t="s">
        <v>11</v>
      </c>
      <c r="TP6" s="339"/>
      <c r="TQ6" s="340"/>
      <c r="TR6" s="338" t="s">
        <v>12</v>
      </c>
      <c r="TS6" s="339"/>
      <c r="TT6" s="340"/>
      <c r="TU6" s="338" t="s">
        <v>13</v>
      </c>
      <c r="TV6" s="339"/>
      <c r="TW6" s="340"/>
      <c r="TX6" s="338" t="s">
        <v>14</v>
      </c>
      <c r="TY6" s="339"/>
      <c r="TZ6" s="340"/>
      <c r="UA6" s="338" t="s">
        <v>15</v>
      </c>
      <c r="UB6" s="339"/>
      <c r="UC6" s="340"/>
      <c r="UD6" s="338" t="s">
        <v>16</v>
      </c>
      <c r="UE6" s="339"/>
      <c r="UF6" s="340"/>
      <c r="UG6" s="338" t="s">
        <v>17</v>
      </c>
      <c r="UH6" s="339"/>
      <c r="UI6" s="340"/>
      <c r="UJ6" s="338" t="s">
        <v>1</v>
      </c>
      <c r="UK6" s="339"/>
      <c r="UL6" s="340"/>
      <c r="UM6" s="338" t="s">
        <v>6</v>
      </c>
      <c r="UN6" s="339"/>
      <c r="UO6" s="340"/>
      <c r="UP6" s="338" t="s">
        <v>7</v>
      </c>
      <c r="UQ6" s="339"/>
      <c r="UR6" s="340"/>
      <c r="US6" s="338" t="s">
        <v>8</v>
      </c>
      <c r="UT6" s="339"/>
      <c r="UU6" s="340"/>
      <c r="UV6" s="338" t="s">
        <v>9</v>
      </c>
      <c r="UW6" s="339"/>
      <c r="UX6" s="340"/>
      <c r="UY6" s="338" t="s">
        <v>10</v>
      </c>
      <c r="UZ6" s="339"/>
      <c r="VA6" s="340"/>
      <c r="VB6" s="338" t="s">
        <v>11</v>
      </c>
      <c r="VC6" s="339"/>
      <c r="VD6" s="340"/>
      <c r="VE6" s="338" t="s">
        <v>12</v>
      </c>
      <c r="VF6" s="339"/>
      <c r="VG6" s="340"/>
      <c r="VH6" s="338" t="s">
        <v>13</v>
      </c>
      <c r="VI6" s="339"/>
      <c r="VJ6" s="340"/>
      <c r="VK6" s="338" t="s">
        <v>14</v>
      </c>
      <c r="VL6" s="339"/>
      <c r="VM6" s="340"/>
      <c r="VN6" s="338" t="s">
        <v>15</v>
      </c>
      <c r="VO6" s="339"/>
      <c r="VP6" s="340"/>
      <c r="VQ6" s="338" t="s">
        <v>16</v>
      </c>
      <c r="VR6" s="339"/>
      <c r="VS6" s="340"/>
      <c r="VT6" s="338" t="s">
        <v>17</v>
      </c>
      <c r="VU6" s="339"/>
      <c r="VV6" s="340"/>
      <c r="VW6" s="350" t="str">
        <f>Kopbudžets!HU6</f>
        <v>I-IV</v>
      </c>
      <c r="VX6" s="351"/>
      <c r="VY6" s="352"/>
      <c r="VZ6" s="350" t="str">
        <f>VW6</f>
        <v>I-IV</v>
      </c>
      <c r="WA6" s="351"/>
      <c r="WB6" s="352"/>
      <c r="WC6" s="273" t="str">
        <f>"Izmaiņas "&amp;VZ6&amp;" "&amp;WC5&amp;", milj. euro"</f>
        <v>Izmaiņas I-IV 2026/2025, milj. euro</v>
      </c>
      <c r="WD6" s="273" t="str">
        <f>"Izmaiņas "&amp;VZ6&amp;" "&amp;WD5&amp;", %"</f>
        <v>Izmaiņas I-IV 2026/2025, %</v>
      </c>
    </row>
    <row r="7" spans="1:602" ht="70.5" customHeight="1">
      <c r="A7" s="27"/>
      <c r="B7" s="9"/>
      <c r="C7" s="27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22" t="s">
        <v>19</v>
      </c>
      <c r="U7" s="21" t="s">
        <v>20</v>
      </c>
      <c r="V7" s="21" t="s">
        <v>21</v>
      </c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22" t="s">
        <v>19</v>
      </c>
      <c r="AK7" s="21" t="s">
        <v>20</v>
      </c>
      <c r="AL7" s="21" t="s">
        <v>21</v>
      </c>
      <c r="AM7" s="345"/>
      <c r="AN7" s="345"/>
      <c r="AO7" s="345"/>
      <c r="AP7" s="345"/>
      <c r="AQ7" s="345"/>
      <c r="AR7" s="345"/>
      <c r="AS7" s="345"/>
      <c r="AT7" s="345"/>
      <c r="AU7" s="345"/>
      <c r="AV7" s="345"/>
      <c r="AW7" s="345"/>
      <c r="AX7" s="345"/>
      <c r="AY7" s="345"/>
      <c r="AZ7" s="22" t="s">
        <v>19</v>
      </c>
      <c r="BA7" s="21" t="s">
        <v>20</v>
      </c>
      <c r="BB7" s="21" t="s">
        <v>21</v>
      </c>
      <c r="BC7" s="21" t="s">
        <v>19</v>
      </c>
      <c r="BD7" s="21" t="s">
        <v>20</v>
      </c>
      <c r="BE7" s="98" t="s">
        <v>21</v>
      </c>
      <c r="BF7" s="22" t="s">
        <v>19</v>
      </c>
      <c r="BG7" s="21" t="s">
        <v>20</v>
      </c>
      <c r="BH7" s="21" t="s">
        <v>21</v>
      </c>
      <c r="BI7" s="22" t="s">
        <v>19</v>
      </c>
      <c r="BJ7" s="21" t="s">
        <v>20</v>
      </c>
      <c r="BK7" s="32" t="s">
        <v>21</v>
      </c>
      <c r="BL7" s="22" t="s">
        <v>19</v>
      </c>
      <c r="BM7" s="21" t="s">
        <v>20</v>
      </c>
      <c r="BN7" s="21" t="s">
        <v>21</v>
      </c>
      <c r="BO7" s="22" t="s">
        <v>19</v>
      </c>
      <c r="BP7" s="21" t="s">
        <v>20</v>
      </c>
      <c r="BQ7" s="21" t="s">
        <v>21</v>
      </c>
      <c r="BR7" s="22" t="s">
        <v>19</v>
      </c>
      <c r="BS7" s="21" t="s">
        <v>20</v>
      </c>
      <c r="BT7" s="21" t="s">
        <v>21</v>
      </c>
      <c r="BU7" s="22" t="s">
        <v>19</v>
      </c>
      <c r="BV7" s="21" t="s">
        <v>20</v>
      </c>
      <c r="BW7" s="21" t="s">
        <v>21</v>
      </c>
      <c r="BX7" s="22" t="s">
        <v>19</v>
      </c>
      <c r="BY7" s="21" t="s">
        <v>20</v>
      </c>
      <c r="BZ7" s="21" t="s">
        <v>21</v>
      </c>
      <c r="CA7" s="22" t="s">
        <v>19</v>
      </c>
      <c r="CB7" s="21" t="s">
        <v>20</v>
      </c>
      <c r="CC7" s="21" t="s">
        <v>21</v>
      </c>
      <c r="CD7" s="21" t="s">
        <v>19</v>
      </c>
      <c r="CE7" s="21" t="s">
        <v>20</v>
      </c>
      <c r="CF7" s="21" t="s">
        <v>21</v>
      </c>
      <c r="CG7" s="22" t="s">
        <v>19</v>
      </c>
      <c r="CH7" s="21" t="s">
        <v>20</v>
      </c>
      <c r="CI7" s="21" t="s">
        <v>21</v>
      </c>
      <c r="CJ7" s="22" t="s">
        <v>19</v>
      </c>
      <c r="CK7" s="21" t="s">
        <v>20</v>
      </c>
      <c r="CL7" s="21" t="s">
        <v>21</v>
      </c>
      <c r="CM7" s="22" t="s">
        <v>19</v>
      </c>
      <c r="CN7" s="21" t="s">
        <v>20</v>
      </c>
      <c r="CO7" s="21" t="s">
        <v>21</v>
      </c>
      <c r="CP7" s="22" t="s">
        <v>19</v>
      </c>
      <c r="CQ7" s="22" t="s">
        <v>20</v>
      </c>
      <c r="CR7" s="22" t="s">
        <v>21</v>
      </c>
      <c r="CS7" s="21" t="s">
        <v>19</v>
      </c>
      <c r="CT7" s="21" t="s">
        <v>20</v>
      </c>
      <c r="CU7" s="98" t="s">
        <v>21</v>
      </c>
      <c r="CV7" s="22" t="s">
        <v>19</v>
      </c>
      <c r="CW7" s="21" t="s">
        <v>20</v>
      </c>
      <c r="CX7" s="21" t="s">
        <v>21</v>
      </c>
      <c r="CY7" s="22" t="s">
        <v>19</v>
      </c>
      <c r="CZ7" s="21" t="s">
        <v>20</v>
      </c>
      <c r="DA7" s="32" t="s">
        <v>21</v>
      </c>
      <c r="DB7" s="22" t="s">
        <v>19</v>
      </c>
      <c r="DC7" s="21" t="s">
        <v>20</v>
      </c>
      <c r="DD7" s="21" t="s">
        <v>21</v>
      </c>
      <c r="DE7" s="22" t="s">
        <v>19</v>
      </c>
      <c r="DF7" s="21" t="s">
        <v>20</v>
      </c>
      <c r="DG7" s="21" t="s">
        <v>21</v>
      </c>
      <c r="DH7" s="22" t="s">
        <v>19</v>
      </c>
      <c r="DI7" s="21" t="s">
        <v>20</v>
      </c>
      <c r="DJ7" s="21" t="s">
        <v>21</v>
      </c>
      <c r="DK7" s="22" t="s">
        <v>19</v>
      </c>
      <c r="DL7" s="21" t="s">
        <v>20</v>
      </c>
      <c r="DM7" s="21" t="s">
        <v>21</v>
      </c>
      <c r="DN7" s="22" t="s">
        <v>19</v>
      </c>
      <c r="DO7" s="21" t="s">
        <v>20</v>
      </c>
      <c r="DP7" s="21" t="s">
        <v>21</v>
      </c>
      <c r="DQ7" s="22" t="s">
        <v>19</v>
      </c>
      <c r="DR7" s="21" t="s">
        <v>20</v>
      </c>
      <c r="DS7" s="21" t="s">
        <v>21</v>
      </c>
      <c r="DT7" s="21" t="s">
        <v>19</v>
      </c>
      <c r="DU7" s="21" t="s">
        <v>20</v>
      </c>
      <c r="DV7" s="21" t="s">
        <v>21</v>
      </c>
      <c r="DW7" s="22" t="s">
        <v>19</v>
      </c>
      <c r="DX7" s="21" t="s">
        <v>20</v>
      </c>
      <c r="DY7" s="21" t="s">
        <v>21</v>
      </c>
      <c r="DZ7" s="22" t="s">
        <v>19</v>
      </c>
      <c r="EA7" s="21" t="s">
        <v>20</v>
      </c>
      <c r="EB7" s="21" t="s">
        <v>21</v>
      </c>
      <c r="EC7" s="22" t="s">
        <v>19</v>
      </c>
      <c r="ED7" s="21" t="s">
        <v>20</v>
      </c>
      <c r="EE7" s="21" t="s">
        <v>21</v>
      </c>
      <c r="EF7" s="22" t="s">
        <v>19</v>
      </c>
      <c r="EG7" s="21" t="s">
        <v>20</v>
      </c>
      <c r="EH7" s="21" t="s">
        <v>21</v>
      </c>
      <c r="EI7" s="22" t="s">
        <v>19</v>
      </c>
      <c r="EJ7" s="21" t="s">
        <v>20</v>
      </c>
      <c r="EK7" s="21" t="s">
        <v>21</v>
      </c>
      <c r="EL7" s="22" t="s">
        <v>19</v>
      </c>
      <c r="EM7" s="21" t="s">
        <v>20</v>
      </c>
      <c r="EN7" s="21" t="s">
        <v>21</v>
      </c>
      <c r="EO7" s="22" t="s">
        <v>19</v>
      </c>
      <c r="EP7" s="21" t="s">
        <v>20</v>
      </c>
      <c r="EQ7" s="32" t="s">
        <v>21</v>
      </c>
      <c r="ER7" s="22" t="s">
        <v>19</v>
      </c>
      <c r="ES7" s="21" t="s">
        <v>20</v>
      </c>
      <c r="ET7" s="21" t="s">
        <v>21</v>
      </c>
      <c r="EU7" s="22" t="s">
        <v>19</v>
      </c>
      <c r="EV7" s="21" t="s">
        <v>20</v>
      </c>
      <c r="EW7" s="21" t="s">
        <v>21</v>
      </c>
      <c r="EX7" s="22" t="s">
        <v>19</v>
      </c>
      <c r="EY7" s="21" t="s">
        <v>20</v>
      </c>
      <c r="EZ7" s="21" t="s">
        <v>21</v>
      </c>
      <c r="FA7" s="22" t="s">
        <v>19</v>
      </c>
      <c r="FB7" s="21" t="s">
        <v>20</v>
      </c>
      <c r="FC7" s="21" t="s">
        <v>21</v>
      </c>
      <c r="FD7" s="22" t="s">
        <v>19</v>
      </c>
      <c r="FE7" s="21" t="s">
        <v>20</v>
      </c>
      <c r="FF7" s="21" t="s">
        <v>21</v>
      </c>
      <c r="FG7" s="22" t="s">
        <v>19</v>
      </c>
      <c r="FH7" s="21" t="s">
        <v>20</v>
      </c>
      <c r="FI7" s="21" t="s">
        <v>21</v>
      </c>
      <c r="FJ7" s="21" t="s">
        <v>19</v>
      </c>
      <c r="FK7" s="21" t="s">
        <v>20</v>
      </c>
      <c r="FL7" s="21" t="s">
        <v>21</v>
      </c>
      <c r="FM7" s="22" t="s">
        <v>19</v>
      </c>
      <c r="FN7" s="21" t="s">
        <v>20</v>
      </c>
      <c r="FO7" s="21" t="s">
        <v>21</v>
      </c>
      <c r="FP7" s="22" t="s">
        <v>19</v>
      </c>
      <c r="FQ7" s="21" t="s">
        <v>20</v>
      </c>
      <c r="FR7" s="21" t="s">
        <v>21</v>
      </c>
      <c r="FS7" s="22" t="s">
        <v>19</v>
      </c>
      <c r="FT7" s="21" t="s">
        <v>20</v>
      </c>
      <c r="FU7" s="21" t="s">
        <v>21</v>
      </c>
      <c r="FV7" s="22" t="s">
        <v>19</v>
      </c>
      <c r="FW7" s="21" t="s">
        <v>20</v>
      </c>
      <c r="FX7" s="21" t="s">
        <v>21</v>
      </c>
      <c r="FY7" s="21" t="s">
        <v>19</v>
      </c>
      <c r="FZ7" s="21" t="s">
        <v>20</v>
      </c>
      <c r="GA7" s="21" t="s">
        <v>21</v>
      </c>
      <c r="GB7" s="22" t="s">
        <v>19</v>
      </c>
      <c r="GC7" s="21" t="s">
        <v>20</v>
      </c>
      <c r="GD7" s="21" t="s">
        <v>21</v>
      </c>
      <c r="GE7" s="22" t="s">
        <v>19</v>
      </c>
      <c r="GF7" s="21" t="s">
        <v>20</v>
      </c>
      <c r="GG7" s="32" t="s">
        <v>21</v>
      </c>
      <c r="GH7" s="22" t="s">
        <v>19</v>
      </c>
      <c r="GI7" s="21" t="s">
        <v>20</v>
      </c>
      <c r="GJ7" s="21" t="s">
        <v>21</v>
      </c>
      <c r="GK7" s="22" t="s">
        <v>19</v>
      </c>
      <c r="GL7" s="21" t="s">
        <v>20</v>
      </c>
      <c r="GM7" s="21" t="s">
        <v>21</v>
      </c>
      <c r="GN7" s="22" t="s">
        <v>19</v>
      </c>
      <c r="GO7" s="21" t="s">
        <v>20</v>
      </c>
      <c r="GP7" s="21" t="s">
        <v>21</v>
      </c>
      <c r="GQ7" s="22" t="s">
        <v>19</v>
      </c>
      <c r="GR7" s="21" t="s">
        <v>20</v>
      </c>
      <c r="GS7" s="21" t="s">
        <v>21</v>
      </c>
      <c r="GT7" s="22" t="s">
        <v>19</v>
      </c>
      <c r="GU7" s="21" t="s">
        <v>20</v>
      </c>
      <c r="GV7" s="21" t="s">
        <v>21</v>
      </c>
      <c r="GW7" s="22" t="s">
        <v>19</v>
      </c>
      <c r="GX7" s="21" t="s">
        <v>20</v>
      </c>
      <c r="GY7" s="21" t="s">
        <v>21</v>
      </c>
      <c r="GZ7" s="21" t="s">
        <v>19</v>
      </c>
      <c r="HA7" s="21" t="s">
        <v>20</v>
      </c>
      <c r="HB7" s="21" t="s">
        <v>21</v>
      </c>
      <c r="HC7" s="22" t="s">
        <v>19</v>
      </c>
      <c r="HD7" s="21" t="s">
        <v>20</v>
      </c>
      <c r="HE7" s="21" t="s">
        <v>21</v>
      </c>
      <c r="HF7" s="22" t="s">
        <v>19</v>
      </c>
      <c r="HG7" s="21" t="s">
        <v>20</v>
      </c>
      <c r="HH7" s="21" t="s">
        <v>21</v>
      </c>
      <c r="HI7" s="22" t="s">
        <v>19</v>
      </c>
      <c r="HJ7" s="21" t="s">
        <v>20</v>
      </c>
      <c r="HK7" s="21" t="s">
        <v>21</v>
      </c>
      <c r="HL7" s="22" t="s">
        <v>19</v>
      </c>
      <c r="HM7" s="21" t="s">
        <v>20</v>
      </c>
      <c r="HN7" s="21" t="s">
        <v>21</v>
      </c>
      <c r="HO7" s="22" t="s">
        <v>19</v>
      </c>
      <c r="HP7" s="21" t="s">
        <v>20</v>
      </c>
      <c r="HQ7" s="21" t="s">
        <v>21</v>
      </c>
      <c r="HR7" s="22" t="s">
        <v>22</v>
      </c>
      <c r="HS7" s="21" t="s">
        <v>23</v>
      </c>
      <c r="HT7" s="21" t="s">
        <v>24</v>
      </c>
      <c r="HU7" s="22" t="s">
        <v>22</v>
      </c>
      <c r="HV7" s="21" t="s">
        <v>23</v>
      </c>
      <c r="HW7" s="21" t="s">
        <v>24</v>
      </c>
      <c r="HX7" s="22" t="s">
        <v>22</v>
      </c>
      <c r="HY7" s="21" t="s">
        <v>23</v>
      </c>
      <c r="HZ7" s="21" t="s">
        <v>24</v>
      </c>
      <c r="IA7" s="22" t="s">
        <v>22</v>
      </c>
      <c r="IB7" s="21" t="s">
        <v>23</v>
      </c>
      <c r="IC7" s="21" t="s">
        <v>24</v>
      </c>
      <c r="ID7" s="22" t="s">
        <v>22</v>
      </c>
      <c r="IE7" s="21" t="s">
        <v>23</v>
      </c>
      <c r="IF7" s="21" t="s">
        <v>24</v>
      </c>
      <c r="IG7" s="22" t="s">
        <v>22</v>
      </c>
      <c r="IH7" s="21" t="s">
        <v>23</v>
      </c>
      <c r="II7" s="21" t="s">
        <v>24</v>
      </c>
      <c r="IJ7" s="22" t="s">
        <v>22</v>
      </c>
      <c r="IK7" s="21" t="s">
        <v>23</v>
      </c>
      <c r="IL7" s="21" t="s">
        <v>24</v>
      </c>
      <c r="IM7" s="22" t="s">
        <v>22</v>
      </c>
      <c r="IN7" s="21" t="s">
        <v>23</v>
      </c>
      <c r="IO7" s="21" t="s">
        <v>24</v>
      </c>
      <c r="IP7" s="22" t="s">
        <v>22</v>
      </c>
      <c r="IQ7" s="21" t="s">
        <v>23</v>
      </c>
      <c r="IR7" s="21" t="s">
        <v>24</v>
      </c>
      <c r="IS7" s="22" t="s">
        <v>22</v>
      </c>
      <c r="IT7" s="21" t="s">
        <v>23</v>
      </c>
      <c r="IU7" s="21" t="s">
        <v>24</v>
      </c>
      <c r="IV7" s="22" t="s">
        <v>22</v>
      </c>
      <c r="IW7" s="21" t="s">
        <v>23</v>
      </c>
      <c r="IX7" s="21" t="s">
        <v>24</v>
      </c>
      <c r="IY7" s="22" t="s">
        <v>22</v>
      </c>
      <c r="IZ7" s="21" t="s">
        <v>23</v>
      </c>
      <c r="JA7" s="21" t="s">
        <v>24</v>
      </c>
      <c r="JB7" s="22" t="s">
        <v>22</v>
      </c>
      <c r="JC7" s="21" t="s">
        <v>23</v>
      </c>
      <c r="JD7" s="21" t="s">
        <v>24</v>
      </c>
      <c r="JE7" s="22" t="s">
        <v>22</v>
      </c>
      <c r="JF7" s="21" t="s">
        <v>23</v>
      </c>
      <c r="JG7" s="21" t="s">
        <v>24</v>
      </c>
      <c r="JH7" s="22" t="s">
        <v>22</v>
      </c>
      <c r="JI7" s="21" t="s">
        <v>23</v>
      </c>
      <c r="JJ7" s="21" t="s">
        <v>24</v>
      </c>
      <c r="JK7" s="22" t="s">
        <v>22</v>
      </c>
      <c r="JL7" s="21" t="s">
        <v>23</v>
      </c>
      <c r="JM7" s="21" t="s">
        <v>24</v>
      </c>
      <c r="JN7" s="22" t="s">
        <v>22</v>
      </c>
      <c r="JO7" s="21" t="s">
        <v>23</v>
      </c>
      <c r="JP7" s="21" t="s">
        <v>24</v>
      </c>
      <c r="JQ7" s="22" t="s">
        <v>22</v>
      </c>
      <c r="JR7" s="21" t="s">
        <v>23</v>
      </c>
      <c r="JS7" s="21" t="s">
        <v>24</v>
      </c>
      <c r="JT7" s="22" t="s">
        <v>22</v>
      </c>
      <c r="JU7" s="21" t="s">
        <v>23</v>
      </c>
      <c r="JV7" s="21" t="s">
        <v>24</v>
      </c>
      <c r="JW7" s="22" t="s">
        <v>22</v>
      </c>
      <c r="JX7" s="21" t="s">
        <v>23</v>
      </c>
      <c r="JY7" s="21" t="s">
        <v>24</v>
      </c>
      <c r="JZ7" s="22" t="s">
        <v>22</v>
      </c>
      <c r="KA7" s="21" t="s">
        <v>23</v>
      </c>
      <c r="KB7" s="21" t="s">
        <v>24</v>
      </c>
      <c r="KC7" s="22" t="s">
        <v>22</v>
      </c>
      <c r="KD7" s="21" t="s">
        <v>23</v>
      </c>
      <c r="KE7" s="21" t="s">
        <v>24</v>
      </c>
      <c r="KF7" s="22" t="s">
        <v>22</v>
      </c>
      <c r="KG7" s="21" t="s">
        <v>23</v>
      </c>
      <c r="KH7" s="21" t="s">
        <v>24</v>
      </c>
      <c r="KI7" s="22" t="s">
        <v>22</v>
      </c>
      <c r="KJ7" s="21" t="s">
        <v>23</v>
      </c>
      <c r="KK7" s="21" t="s">
        <v>24</v>
      </c>
      <c r="KL7" s="22" t="s">
        <v>22</v>
      </c>
      <c r="KM7" s="21" t="s">
        <v>23</v>
      </c>
      <c r="KN7" s="21" t="s">
        <v>24</v>
      </c>
      <c r="KO7" s="22" t="s">
        <v>22</v>
      </c>
      <c r="KP7" s="21" t="s">
        <v>23</v>
      </c>
      <c r="KQ7" s="21" t="s">
        <v>24</v>
      </c>
      <c r="KR7" s="22" t="s">
        <v>22</v>
      </c>
      <c r="KS7" s="21" t="s">
        <v>23</v>
      </c>
      <c r="KT7" s="21" t="s">
        <v>24</v>
      </c>
      <c r="KU7" s="22" t="s">
        <v>22</v>
      </c>
      <c r="KV7" s="21" t="s">
        <v>23</v>
      </c>
      <c r="KW7" s="21" t="s">
        <v>24</v>
      </c>
      <c r="KX7" s="22" t="s">
        <v>22</v>
      </c>
      <c r="KY7" s="21" t="s">
        <v>23</v>
      </c>
      <c r="KZ7" s="21" t="s">
        <v>24</v>
      </c>
      <c r="LA7" s="22" t="s">
        <v>22</v>
      </c>
      <c r="LB7" s="21" t="s">
        <v>23</v>
      </c>
      <c r="LC7" s="21" t="s">
        <v>24</v>
      </c>
      <c r="LD7" s="22" t="s">
        <v>22</v>
      </c>
      <c r="LE7" s="21" t="s">
        <v>23</v>
      </c>
      <c r="LF7" s="21" t="s">
        <v>24</v>
      </c>
      <c r="LG7" s="22" t="s">
        <v>22</v>
      </c>
      <c r="LH7" s="21" t="s">
        <v>23</v>
      </c>
      <c r="LI7" s="21" t="s">
        <v>24</v>
      </c>
      <c r="LJ7" s="22" t="s">
        <v>22</v>
      </c>
      <c r="LK7" s="21" t="s">
        <v>23</v>
      </c>
      <c r="LL7" s="21" t="s">
        <v>24</v>
      </c>
      <c r="LM7" s="22" t="s">
        <v>22</v>
      </c>
      <c r="LN7" s="21" t="s">
        <v>23</v>
      </c>
      <c r="LO7" s="21" t="s">
        <v>24</v>
      </c>
      <c r="LP7" s="22" t="s">
        <v>22</v>
      </c>
      <c r="LQ7" s="21" t="s">
        <v>23</v>
      </c>
      <c r="LR7" s="21" t="s">
        <v>24</v>
      </c>
      <c r="LS7" s="22" t="s">
        <v>22</v>
      </c>
      <c r="LT7" s="21" t="s">
        <v>23</v>
      </c>
      <c r="LU7" s="21" t="s">
        <v>24</v>
      </c>
      <c r="LV7" s="22" t="s">
        <v>22</v>
      </c>
      <c r="LW7" s="21" t="s">
        <v>23</v>
      </c>
      <c r="LX7" s="21" t="s">
        <v>24</v>
      </c>
      <c r="LY7" s="22" t="s">
        <v>22</v>
      </c>
      <c r="LZ7" s="21" t="s">
        <v>23</v>
      </c>
      <c r="MA7" s="21" t="s">
        <v>24</v>
      </c>
      <c r="MB7" s="22" t="s">
        <v>22</v>
      </c>
      <c r="MC7" s="21" t="s">
        <v>23</v>
      </c>
      <c r="MD7" s="21" t="s">
        <v>24</v>
      </c>
      <c r="ME7" s="22" t="s">
        <v>22</v>
      </c>
      <c r="MF7" s="21" t="s">
        <v>23</v>
      </c>
      <c r="MG7" s="21" t="s">
        <v>24</v>
      </c>
      <c r="MH7" s="22" t="s">
        <v>22</v>
      </c>
      <c r="MI7" s="21" t="s">
        <v>23</v>
      </c>
      <c r="MJ7" s="21" t="s">
        <v>24</v>
      </c>
      <c r="MK7" s="22" t="s">
        <v>22</v>
      </c>
      <c r="ML7" s="21" t="s">
        <v>23</v>
      </c>
      <c r="MM7" s="21" t="s">
        <v>24</v>
      </c>
      <c r="MN7" s="22" t="s">
        <v>22</v>
      </c>
      <c r="MO7" s="21" t="s">
        <v>23</v>
      </c>
      <c r="MP7" s="21" t="s">
        <v>24</v>
      </c>
      <c r="MQ7" s="22" t="s">
        <v>22</v>
      </c>
      <c r="MR7" s="21" t="s">
        <v>23</v>
      </c>
      <c r="MS7" s="21" t="s">
        <v>24</v>
      </c>
      <c r="MT7" s="22" t="s">
        <v>22</v>
      </c>
      <c r="MU7" s="21" t="s">
        <v>23</v>
      </c>
      <c r="MV7" s="21" t="s">
        <v>24</v>
      </c>
      <c r="MW7" s="22" t="s">
        <v>22</v>
      </c>
      <c r="MX7" s="21" t="s">
        <v>23</v>
      </c>
      <c r="MY7" s="21" t="s">
        <v>24</v>
      </c>
      <c r="MZ7" s="22" t="s">
        <v>22</v>
      </c>
      <c r="NA7" s="21" t="s">
        <v>23</v>
      </c>
      <c r="NB7" s="21" t="s">
        <v>24</v>
      </c>
      <c r="NC7" s="22" t="s">
        <v>22</v>
      </c>
      <c r="ND7" s="21" t="s">
        <v>23</v>
      </c>
      <c r="NE7" s="21" t="s">
        <v>24</v>
      </c>
      <c r="NF7" s="22" t="s">
        <v>22</v>
      </c>
      <c r="NG7" s="21" t="s">
        <v>23</v>
      </c>
      <c r="NH7" s="21" t="s">
        <v>24</v>
      </c>
      <c r="NI7" s="22" t="s">
        <v>22</v>
      </c>
      <c r="NJ7" s="21" t="s">
        <v>23</v>
      </c>
      <c r="NK7" s="21" t="s">
        <v>24</v>
      </c>
      <c r="NL7" s="22" t="s">
        <v>22</v>
      </c>
      <c r="NM7" s="21" t="s">
        <v>23</v>
      </c>
      <c r="NN7" s="21" t="s">
        <v>24</v>
      </c>
      <c r="NO7" s="22" t="s">
        <v>22</v>
      </c>
      <c r="NP7" s="21" t="s">
        <v>23</v>
      </c>
      <c r="NQ7" s="21" t="s">
        <v>24</v>
      </c>
      <c r="NR7" s="22" t="s">
        <v>22</v>
      </c>
      <c r="NS7" s="21" t="s">
        <v>23</v>
      </c>
      <c r="NT7" s="21" t="s">
        <v>24</v>
      </c>
      <c r="NU7" s="22" t="s">
        <v>22</v>
      </c>
      <c r="NV7" s="21" t="s">
        <v>23</v>
      </c>
      <c r="NW7" s="21" t="s">
        <v>24</v>
      </c>
      <c r="NX7" s="22" t="s">
        <v>22</v>
      </c>
      <c r="NY7" s="21" t="s">
        <v>23</v>
      </c>
      <c r="NZ7" s="21" t="s">
        <v>24</v>
      </c>
      <c r="OA7" s="22" t="s">
        <v>22</v>
      </c>
      <c r="OB7" s="21" t="s">
        <v>23</v>
      </c>
      <c r="OC7" s="21" t="s">
        <v>24</v>
      </c>
      <c r="OD7" s="22" t="s">
        <v>22</v>
      </c>
      <c r="OE7" s="21" t="s">
        <v>23</v>
      </c>
      <c r="OF7" s="21" t="s">
        <v>24</v>
      </c>
      <c r="OG7" s="22" t="s">
        <v>22</v>
      </c>
      <c r="OH7" s="21" t="s">
        <v>23</v>
      </c>
      <c r="OI7" s="21" t="s">
        <v>24</v>
      </c>
      <c r="OJ7" s="22" t="s">
        <v>22</v>
      </c>
      <c r="OK7" s="21" t="s">
        <v>23</v>
      </c>
      <c r="OL7" s="21" t="s">
        <v>24</v>
      </c>
      <c r="OM7" s="22" t="s">
        <v>22</v>
      </c>
      <c r="ON7" s="21" t="s">
        <v>23</v>
      </c>
      <c r="OO7" s="21" t="s">
        <v>24</v>
      </c>
      <c r="OP7" s="22" t="s">
        <v>22</v>
      </c>
      <c r="OQ7" s="21" t="s">
        <v>23</v>
      </c>
      <c r="OR7" s="21" t="s">
        <v>24</v>
      </c>
      <c r="OS7" s="22" t="s">
        <v>22</v>
      </c>
      <c r="OT7" s="21" t="s">
        <v>23</v>
      </c>
      <c r="OU7" s="21" t="s">
        <v>24</v>
      </c>
      <c r="OV7" s="22" t="s">
        <v>22</v>
      </c>
      <c r="OW7" s="21" t="s">
        <v>23</v>
      </c>
      <c r="OX7" s="21" t="s">
        <v>24</v>
      </c>
      <c r="OY7" s="22" t="s">
        <v>22</v>
      </c>
      <c r="OZ7" s="21" t="s">
        <v>23</v>
      </c>
      <c r="PA7" s="21" t="s">
        <v>24</v>
      </c>
      <c r="PB7" s="22" t="s">
        <v>22</v>
      </c>
      <c r="PC7" s="21" t="s">
        <v>23</v>
      </c>
      <c r="PD7" s="21" t="s">
        <v>24</v>
      </c>
      <c r="PE7" s="22" t="s">
        <v>22</v>
      </c>
      <c r="PF7" s="21" t="s">
        <v>23</v>
      </c>
      <c r="PG7" s="21" t="s">
        <v>24</v>
      </c>
      <c r="PH7" s="22" t="s">
        <v>22</v>
      </c>
      <c r="PI7" s="21" t="s">
        <v>23</v>
      </c>
      <c r="PJ7" s="21" t="s">
        <v>24</v>
      </c>
      <c r="PK7" s="22" t="s">
        <v>22</v>
      </c>
      <c r="PL7" s="21" t="s">
        <v>23</v>
      </c>
      <c r="PM7" s="21" t="s">
        <v>24</v>
      </c>
      <c r="PN7" s="22" t="s">
        <v>22</v>
      </c>
      <c r="PO7" s="21" t="s">
        <v>23</v>
      </c>
      <c r="PP7" s="21" t="s">
        <v>24</v>
      </c>
      <c r="PQ7" s="22" t="s">
        <v>22</v>
      </c>
      <c r="PR7" s="21" t="s">
        <v>23</v>
      </c>
      <c r="PS7" s="21" t="s">
        <v>24</v>
      </c>
      <c r="PT7" s="22" t="s">
        <v>22</v>
      </c>
      <c r="PU7" s="21" t="s">
        <v>23</v>
      </c>
      <c r="PV7" s="21" t="s">
        <v>24</v>
      </c>
      <c r="PW7" s="22" t="s">
        <v>22</v>
      </c>
      <c r="PX7" s="21" t="s">
        <v>23</v>
      </c>
      <c r="PY7" s="21" t="s">
        <v>24</v>
      </c>
      <c r="PZ7" s="22" t="s">
        <v>22</v>
      </c>
      <c r="QA7" s="21" t="s">
        <v>23</v>
      </c>
      <c r="QB7" s="21" t="s">
        <v>24</v>
      </c>
      <c r="QC7" s="22" t="s">
        <v>22</v>
      </c>
      <c r="QD7" s="21" t="s">
        <v>23</v>
      </c>
      <c r="QE7" s="21" t="s">
        <v>24</v>
      </c>
      <c r="QF7" s="22" t="s">
        <v>22</v>
      </c>
      <c r="QG7" s="21" t="s">
        <v>23</v>
      </c>
      <c r="QH7" s="21" t="s">
        <v>24</v>
      </c>
      <c r="QI7" s="22" t="s">
        <v>22</v>
      </c>
      <c r="QJ7" s="21" t="s">
        <v>23</v>
      </c>
      <c r="QK7" s="21" t="s">
        <v>24</v>
      </c>
      <c r="QL7" s="22" t="s">
        <v>22</v>
      </c>
      <c r="QM7" s="21" t="s">
        <v>23</v>
      </c>
      <c r="QN7" s="21" t="s">
        <v>24</v>
      </c>
      <c r="QO7" s="22" t="s">
        <v>22</v>
      </c>
      <c r="QP7" s="21" t="s">
        <v>23</v>
      </c>
      <c r="QQ7" s="21" t="s">
        <v>24</v>
      </c>
      <c r="QR7" s="22" t="s">
        <v>22</v>
      </c>
      <c r="QS7" s="21" t="s">
        <v>23</v>
      </c>
      <c r="QT7" s="21" t="s">
        <v>24</v>
      </c>
      <c r="QU7" s="22" t="s">
        <v>22</v>
      </c>
      <c r="QV7" s="21" t="s">
        <v>23</v>
      </c>
      <c r="QW7" s="21" t="s">
        <v>24</v>
      </c>
      <c r="QX7" s="22" t="s">
        <v>22</v>
      </c>
      <c r="QY7" s="21" t="s">
        <v>23</v>
      </c>
      <c r="QZ7" s="21" t="s">
        <v>24</v>
      </c>
      <c r="RA7" s="22" t="s">
        <v>22</v>
      </c>
      <c r="RB7" s="21" t="s">
        <v>23</v>
      </c>
      <c r="RC7" s="21" t="s">
        <v>24</v>
      </c>
      <c r="RD7" s="22" t="s">
        <v>22</v>
      </c>
      <c r="RE7" s="21" t="s">
        <v>23</v>
      </c>
      <c r="RF7" s="21" t="s">
        <v>24</v>
      </c>
      <c r="RG7" s="22" t="s">
        <v>22</v>
      </c>
      <c r="RH7" s="21" t="s">
        <v>23</v>
      </c>
      <c r="RI7" s="21" t="s">
        <v>24</v>
      </c>
      <c r="RJ7" s="22" t="s">
        <v>22</v>
      </c>
      <c r="RK7" s="21" t="s">
        <v>23</v>
      </c>
      <c r="RL7" s="21" t="s">
        <v>24</v>
      </c>
      <c r="RM7" s="22" t="s">
        <v>22</v>
      </c>
      <c r="RN7" s="21" t="s">
        <v>23</v>
      </c>
      <c r="RO7" s="21" t="s">
        <v>24</v>
      </c>
      <c r="RP7" s="22" t="s">
        <v>22</v>
      </c>
      <c r="RQ7" s="21" t="s">
        <v>23</v>
      </c>
      <c r="RR7" s="21" t="s">
        <v>24</v>
      </c>
      <c r="RS7" s="22" t="s">
        <v>22</v>
      </c>
      <c r="RT7" s="21" t="s">
        <v>23</v>
      </c>
      <c r="RU7" s="21" t="s">
        <v>24</v>
      </c>
      <c r="RV7" s="22" t="s">
        <v>22</v>
      </c>
      <c r="RW7" s="21" t="s">
        <v>23</v>
      </c>
      <c r="RX7" s="21" t="s">
        <v>24</v>
      </c>
      <c r="RY7" s="22" t="s">
        <v>22</v>
      </c>
      <c r="RZ7" s="21" t="s">
        <v>23</v>
      </c>
      <c r="SA7" s="21" t="s">
        <v>24</v>
      </c>
      <c r="SB7" s="22" t="s">
        <v>22</v>
      </c>
      <c r="SC7" s="21" t="s">
        <v>23</v>
      </c>
      <c r="SD7" s="21" t="s">
        <v>24</v>
      </c>
      <c r="SE7" s="22" t="s">
        <v>22</v>
      </c>
      <c r="SF7" s="21" t="s">
        <v>23</v>
      </c>
      <c r="SG7" s="21" t="s">
        <v>24</v>
      </c>
      <c r="SH7" s="22" t="s">
        <v>22</v>
      </c>
      <c r="SI7" s="21" t="s">
        <v>23</v>
      </c>
      <c r="SJ7" s="21" t="s">
        <v>24</v>
      </c>
      <c r="SK7" s="22" t="s">
        <v>22</v>
      </c>
      <c r="SL7" s="21" t="s">
        <v>23</v>
      </c>
      <c r="SM7" s="21" t="s">
        <v>24</v>
      </c>
      <c r="SN7" s="22" t="s">
        <v>22</v>
      </c>
      <c r="SO7" s="21" t="s">
        <v>23</v>
      </c>
      <c r="SP7" s="21" t="s">
        <v>24</v>
      </c>
      <c r="SQ7" s="22" t="s">
        <v>22</v>
      </c>
      <c r="SR7" s="21" t="s">
        <v>23</v>
      </c>
      <c r="SS7" s="21" t="s">
        <v>24</v>
      </c>
      <c r="ST7" s="22" t="s">
        <v>22</v>
      </c>
      <c r="SU7" s="21" t="s">
        <v>23</v>
      </c>
      <c r="SV7" s="21" t="s">
        <v>24</v>
      </c>
      <c r="SW7" s="22" t="s">
        <v>22</v>
      </c>
      <c r="SX7" s="21" t="s">
        <v>23</v>
      </c>
      <c r="SY7" s="21" t="s">
        <v>24</v>
      </c>
      <c r="SZ7" s="22" t="s">
        <v>22</v>
      </c>
      <c r="TA7" s="21" t="s">
        <v>23</v>
      </c>
      <c r="TB7" s="21" t="s">
        <v>24</v>
      </c>
      <c r="TC7" s="22" t="s">
        <v>22</v>
      </c>
      <c r="TD7" s="21" t="s">
        <v>23</v>
      </c>
      <c r="TE7" s="21" t="s">
        <v>24</v>
      </c>
      <c r="TF7" s="22" t="s">
        <v>22</v>
      </c>
      <c r="TG7" s="21" t="s">
        <v>23</v>
      </c>
      <c r="TH7" s="21" t="s">
        <v>24</v>
      </c>
      <c r="TI7" s="22" t="s">
        <v>22</v>
      </c>
      <c r="TJ7" s="21" t="s">
        <v>23</v>
      </c>
      <c r="TK7" s="21" t="s">
        <v>24</v>
      </c>
      <c r="TL7" s="22" t="s">
        <v>22</v>
      </c>
      <c r="TM7" s="21" t="s">
        <v>23</v>
      </c>
      <c r="TN7" s="21" t="s">
        <v>24</v>
      </c>
      <c r="TO7" s="22" t="s">
        <v>22</v>
      </c>
      <c r="TP7" s="21" t="s">
        <v>23</v>
      </c>
      <c r="TQ7" s="21" t="s">
        <v>24</v>
      </c>
      <c r="TR7" s="22" t="s">
        <v>22</v>
      </c>
      <c r="TS7" s="21" t="s">
        <v>23</v>
      </c>
      <c r="TT7" s="21" t="s">
        <v>24</v>
      </c>
      <c r="TU7" s="22" t="s">
        <v>22</v>
      </c>
      <c r="TV7" s="21" t="s">
        <v>23</v>
      </c>
      <c r="TW7" s="21" t="s">
        <v>24</v>
      </c>
      <c r="TX7" s="22" t="s">
        <v>22</v>
      </c>
      <c r="TY7" s="21" t="s">
        <v>23</v>
      </c>
      <c r="TZ7" s="21" t="s">
        <v>24</v>
      </c>
      <c r="UA7" s="22" t="s">
        <v>22</v>
      </c>
      <c r="UB7" s="21" t="s">
        <v>23</v>
      </c>
      <c r="UC7" s="21" t="s">
        <v>24</v>
      </c>
      <c r="UD7" s="22" t="s">
        <v>22</v>
      </c>
      <c r="UE7" s="21" t="s">
        <v>23</v>
      </c>
      <c r="UF7" s="21" t="s">
        <v>24</v>
      </c>
      <c r="UG7" s="22" t="s">
        <v>22</v>
      </c>
      <c r="UH7" s="21" t="s">
        <v>23</v>
      </c>
      <c r="UI7" s="21" t="s">
        <v>24</v>
      </c>
      <c r="UJ7" s="22" t="s">
        <v>22</v>
      </c>
      <c r="UK7" s="21" t="s">
        <v>23</v>
      </c>
      <c r="UL7" s="21" t="s">
        <v>24</v>
      </c>
      <c r="UM7" s="22" t="s">
        <v>22</v>
      </c>
      <c r="UN7" s="21" t="s">
        <v>23</v>
      </c>
      <c r="UO7" s="21" t="s">
        <v>24</v>
      </c>
      <c r="UP7" s="22" t="s">
        <v>22</v>
      </c>
      <c r="UQ7" s="21" t="s">
        <v>23</v>
      </c>
      <c r="UR7" s="21" t="s">
        <v>24</v>
      </c>
      <c r="US7" s="22" t="s">
        <v>22</v>
      </c>
      <c r="UT7" s="21" t="s">
        <v>23</v>
      </c>
      <c r="UU7" s="21" t="s">
        <v>24</v>
      </c>
      <c r="UV7" s="22" t="s">
        <v>19</v>
      </c>
      <c r="UW7" s="21" t="s">
        <v>20</v>
      </c>
      <c r="UX7" s="21" t="s">
        <v>21</v>
      </c>
      <c r="UY7" s="22" t="s">
        <v>19</v>
      </c>
      <c r="UZ7" s="21" t="s">
        <v>20</v>
      </c>
      <c r="VA7" s="21" t="s">
        <v>21</v>
      </c>
      <c r="VB7" s="22" t="s">
        <v>19</v>
      </c>
      <c r="VC7" s="21" t="s">
        <v>20</v>
      </c>
      <c r="VD7" s="21" t="s">
        <v>21</v>
      </c>
      <c r="VE7" s="22" t="s">
        <v>19</v>
      </c>
      <c r="VF7" s="21" t="s">
        <v>20</v>
      </c>
      <c r="VG7" s="21" t="s">
        <v>21</v>
      </c>
      <c r="VH7" s="22" t="s">
        <v>19</v>
      </c>
      <c r="VI7" s="21" t="s">
        <v>20</v>
      </c>
      <c r="VJ7" s="21" t="s">
        <v>21</v>
      </c>
      <c r="VK7" s="22" t="s">
        <v>19</v>
      </c>
      <c r="VL7" s="21" t="s">
        <v>20</v>
      </c>
      <c r="VM7" s="21" t="s">
        <v>21</v>
      </c>
      <c r="VN7" s="22" t="s">
        <v>19</v>
      </c>
      <c r="VO7" s="21" t="s">
        <v>20</v>
      </c>
      <c r="VP7" s="21" t="s">
        <v>21</v>
      </c>
      <c r="VQ7" s="22" t="s">
        <v>19</v>
      </c>
      <c r="VR7" s="21" t="s">
        <v>20</v>
      </c>
      <c r="VS7" s="21" t="s">
        <v>21</v>
      </c>
      <c r="VT7" s="22" t="s">
        <v>19</v>
      </c>
      <c r="VU7" s="21" t="s">
        <v>20</v>
      </c>
      <c r="VV7" s="21" t="s">
        <v>21</v>
      </c>
      <c r="VW7" s="289" t="s">
        <v>22</v>
      </c>
      <c r="VX7" s="289" t="s">
        <v>23</v>
      </c>
      <c r="VY7" s="289" t="s">
        <v>24</v>
      </c>
      <c r="VZ7" s="289" t="s">
        <v>22</v>
      </c>
      <c r="WA7" s="289" t="s">
        <v>23</v>
      </c>
      <c r="WB7" s="289" t="s">
        <v>24</v>
      </c>
      <c r="WC7" s="304" t="s">
        <v>24</v>
      </c>
      <c r="WD7" s="304" t="s">
        <v>24</v>
      </c>
    </row>
    <row r="8" spans="1:602" s="12" customFormat="1" ht="20">
      <c r="A8" s="40" t="s">
        <v>25</v>
      </c>
      <c r="C8" s="40" t="s">
        <v>26</v>
      </c>
      <c r="D8" s="39">
        <v>4427.9557828356128</v>
      </c>
      <c r="E8" s="40">
        <v>4615.5935908162164</v>
      </c>
      <c r="F8" s="40">
        <v>3801.330772164074</v>
      </c>
      <c r="G8" s="40">
        <v>3731.8320982806017</v>
      </c>
      <c r="H8" s="40">
        <v>312.49681988150326</v>
      </c>
      <c r="I8" s="40">
        <v>242.30178399667616</v>
      </c>
      <c r="J8" s="40">
        <v>236.12262121444505</v>
      </c>
      <c r="K8" s="40">
        <v>306.42021815470599</v>
      </c>
      <c r="L8" s="40">
        <v>340.3147207471784</v>
      </c>
      <c r="M8" s="40">
        <v>410.05650793108754</v>
      </c>
      <c r="N8" s="40">
        <v>298.86417834844428</v>
      </c>
      <c r="O8" s="40">
        <v>611.99008116060816</v>
      </c>
      <c r="P8" s="40">
        <v>377.17866289890213</v>
      </c>
      <c r="Q8" s="40">
        <v>349.73561192025085</v>
      </c>
      <c r="R8" s="40">
        <v>331.44029345308218</v>
      </c>
      <c r="S8" s="40">
        <v>322.95617270248886</v>
      </c>
      <c r="T8" s="40">
        <v>3198.3371363851088</v>
      </c>
      <c r="U8" s="40">
        <v>941.5531843871122</v>
      </c>
      <c r="V8" s="40">
        <v>4139.8903207722205</v>
      </c>
      <c r="W8" s="40">
        <v>4139.3914960643369</v>
      </c>
      <c r="X8" s="40">
        <v>391.88888794030782</v>
      </c>
      <c r="Y8" s="40">
        <v>275.27310601533281</v>
      </c>
      <c r="Z8" s="40">
        <v>314.43850774895986</v>
      </c>
      <c r="AA8" s="40">
        <v>375.99841492080299</v>
      </c>
      <c r="AB8" s="40">
        <v>381.81866637070942</v>
      </c>
      <c r="AC8" s="40">
        <v>427.32570674042836</v>
      </c>
      <c r="AD8" s="40">
        <v>516.45220573588085</v>
      </c>
      <c r="AE8" s="40">
        <v>570.50536280385438</v>
      </c>
      <c r="AF8" s="40">
        <v>392.60124871230096</v>
      </c>
      <c r="AG8" s="40">
        <v>388.45650507111515</v>
      </c>
      <c r="AH8" s="40">
        <v>368.05152218826299</v>
      </c>
      <c r="AI8" s="40">
        <v>442.8816156424835</v>
      </c>
      <c r="AJ8" s="40">
        <f>AJ9+AJ32+AJ33+AJ34+AJ38</f>
        <v>3647.7006663735547</v>
      </c>
      <c r="AK8" s="40">
        <f>AK9+AK32+AK33+AK34+AK38</f>
        <v>1197.9910835595699</v>
      </c>
      <c r="AL8" s="40">
        <v>4845.6917498904404</v>
      </c>
      <c r="AM8" s="40">
        <v>4845.8603109828628</v>
      </c>
      <c r="AN8" s="40">
        <v>383.15786905026152</v>
      </c>
      <c r="AO8" s="40">
        <v>301.10798458745256</v>
      </c>
      <c r="AP8" s="40">
        <v>448.75229366935872</v>
      </c>
      <c r="AQ8" s="40">
        <v>457.5182981314847</v>
      </c>
      <c r="AR8" s="40">
        <v>451.47475966272253</v>
      </c>
      <c r="AS8" s="40">
        <v>405.31478442069192</v>
      </c>
      <c r="AT8" s="40">
        <v>442.75043824451762</v>
      </c>
      <c r="AU8" s="40">
        <v>441.19312212224179</v>
      </c>
      <c r="AV8" s="40">
        <v>411.74966989373996</v>
      </c>
      <c r="AW8" s="40">
        <v>426.53783700718833</v>
      </c>
      <c r="AX8" s="40">
        <v>319.81076374067305</v>
      </c>
      <c r="AY8" s="40">
        <v>350.16884508340877</v>
      </c>
      <c r="AZ8" s="40">
        <v>3738.6126438394726</v>
      </c>
      <c r="BA8" s="40">
        <v>1100.9240203450879</v>
      </c>
      <c r="BB8" s="40">
        <v>4839.5366656137412</v>
      </c>
      <c r="BC8" s="39">
        <f>BE8-BD8</f>
        <v>3738.6365628961594</v>
      </c>
      <c r="BD8" s="39">
        <v>1101.1133175826092</v>
      </c>
      <c r="BE8" s="39">
        <v>4839.7498804787683</v>
      </c>
      <c r="BF8" s="66">
        <f t="shared" ref="BF8:CI8" si="0">BF9+BF32+BF33+BF34+BF38</f>
        <v>359.33425247999992</v>
      </c>
      <c r="BG8" s="67">
        <f t="shared" si="0"/>
        <v>53.279290490000001</v>
      </c>
      <c r="BH8" s="67">
        <f t="shared" si="0"/>
        <v>412.61354296999997</v>
      </c>
      <c r="BI8" s="66">
        <f t="shared" si="0"/>
        <v>251.29209159000004</v>
      </c>
      <c r="BJ8" s="67">
        <f t="shared" si="0"/>
        <v>160.20541480999998</v>
      </c>
      <c r="BK8" s="67">
        <f t="shared" si="0"/>
        <v>411.49750640000002</v>
      </c>
      <c r="BL8" s="66">
        <f t="shared" si="0"/>
        <v>262.44648142999995</v>
      </c>
      <c r="BM8" s="67">
        <f t="shared" si="0"/>
        <v>65.545715450000003</v>
      </c>
      <c r="BN8" s="67">
        <f t="shared" si="0"/>
        <v>327.99219687999999</v>
      </c>
      <c r="BO8" s="66">
        <f t="shared" si="0"/>
        <v>366.86531939999998</v>
      </c>
      <c r="BP8" s="67">
        <f t="shared" si="0"/>
        <v>59.561049849999996</v>
      </c>
      <c r="BQ8" s="67">
        <f t="shared" si="0"/>
        <v>426.42636924999994</v>
      </c>
      <c r="BR8" s="66">
        <f t="shared" si="0"/>
        <v>385.55886529000009</v>
      </c>
      <c r="BS8" s="67">
        <f t="shared" si="0"/>
        <v>11.81042293</v>
      </c>
      <c r="BT8" s="67">
        <f t="shared" si="0"/>
        <v>397.36928822000004</v>
      </c>
      <c r="BU8" s="66">
        <f t="shared" si="0"/>
        <v>330.89615869000005</v>
      </c>
      <c r="BV8" s="67">
        <f t="shared" si="0"/>
        <v>313.28251564999999</v>
      </c>
      <c r="BW8" s="67">
        <f t="shared" si="0"/>
        <v>644.17867434000004</v>
      </c>
      <c r="BX8" s="66">
        <f t="shared" si="0"/>
        <v>329.27334245999992</v>
      </c>
      <c r="BY8" s="67">
        <f t="shared" si="0"/>
        <v>66.236261709999994</v>
      </c>
      <c r="BZ8" s="67">
        <f t="shared" si="0"/>
        <v>395.50960416999999</v>
      </c>
      <c r="CA8" s="66">
        <f t="shared" si="0"/>
        <v>339.6074334600001</v>
      </c>
      <c r="CB8" s="67">
        <f t="shared" si="0"/>
        <v>51.409093640000002</v>
      </c>
      <c r="CC8" s="67">
        <f t="shared" si="0"/>
        <v>391.01652710000008</v>
      </c>
      <c r="CD8" s="66">
        <f t="shared" si="0"/>
        <v>323.50617384999998</v>
      </c>
      <c r="CE8" s="67">
        <f t="shared" si="0"/>
        <v>68.395311450000008</v>
      </c>
      <c r="CF8" s="67">
        <f t="shared" si="0"/>
        <v>391.90148529999999</v>
      </c>
      <c r="CG8" s="66">
        <f t="shared" si="0"/>
        <v>295.93324070999995</v>
      </c>
      <c r="CH8" s="67">
        <f t="shared" si="0"/>
        <v>93.006678929999993</v>
      </c>
      <c r="CI8" s="67">
        <f t="shared" si="0"/>
        <v>388.93991963999997</v>
      </c>
      <c r="CJ8" s="66">
        <f t="shared" ref="CJ8:CO8" si="1">CJ9+CJ32+CJ33+CJ34+CJ38</f>
        <v>319.03509000999998</v>
      </c>
      <c r="CK8" s="67">
        <f t="shared" si="1"/>
        <v>16.945127770000003</v>
      </c>
      <c r="CL8" s="67">
        <f t="shared" si="1"/>
        <v>335.98021777999998</v>
      </c>
      <c r="CM8" s="66">
        <f t="shared" si="1"/>
        <v>310.37174969</v>
      </c>
      <c r="CN8" s="67">
        <f t="shared" si="1"/>
        <v>104.62212099000001</v>
      </c>
      <c r="CO8" s="67">
        <f t="shared" si="1"/>
        <v>414.99387068000004</v>
      </c>
      <c r="CP8" s="67">
        <f>BF8+BI8+BL8+BO8+BR8+BU8+BX8+CA8+CD8+CG8+CJ8+CM8</f>
        <v>3874.1201990600002</v>
      </c>
      <c r="CQ8" s="67">
        <f>BG8+BJ8+BM8+BP8+BS8+BV8+BY8+CB8+CE8+CH8+CK8+CN8</f>
        <v>1064.29900367</v>
      </c>
      <c r="CR8" s="67">
        <f>BH8+BK8+BN8+BQ8+BT8+BW8+BZ8+CC8+CF8+CI8+CL8+CO8</f>
        <v>4938.4192027300005</v>
      </c>
      <c r="CS8" s="39">
        <f t="shared" ref="CS8:CS34" si="2">CU8-CT8</f>
        <v>3874.7811540000002</v>
      </c>
      <c r="CT8" s="39">
        <f>CT32+CT33+CT34+CT38</f>
        <v>1064.451043</v>
      </c>
      <c r="CU8" s="39">
        <f>CU9+CU32+CU33+CU34+CU38</f>
        <v>4939.2321970000003</v>
      </c>
      <c r="CV8" s="66">
        <f>CV9+CV32+CV33+CV34+CV38</f>
        <v>382.63784762999995</v>
      </c>
      <c r="CW8" s="67">
        <f>CW9+CW32+CW33+CW34+CW38</f>
        <v>79.649186659999998</v>
      </c>
      <c r="CX8" s="67">
        <f>CX9+CX32+CX33+CX34+CX38</f>
        <v>462.28703428999995</v>
      </c>
      <c r="CY8" s="66">
        <v>261.43623690999999</v>
      </c>
      <c r="CZ8" s="67">
        <v>106.99744153</v>
      </c>
      <c r="DA8" s="67">
        <v>368.43367843999999</v>
      </c>
      <c r="DB8" s="66">
        <v>282.44294432000004</v>
      </c>
      <c r="DC8" s="67">
        <v>176.54733184</v>
      </c>
      <c r="DD8" s="67">
        <v>458.99027616000001</v>
      </c>
      <c r="DE8" s="66">
        <v>393.76254727999998</v>
      </c>
      <c r="DF8" s="67">
        <v>176.45944972000001</v>
      </c>
      <c r="DG8" s="67">
        <v>570.2219970000001</v>
      </c>
      <c r="DH8" s="66">
        <v>354.46632995999994</v>
      </c>
      <c r="DI8" s="67">
        <v>67.392281830000002</v>
      </c>
      <c r="DJ8" s="67">
        <v>421.85861178999994</v>
      </c>
      <c r="DK8" s="66">
        <v>368.95191738</v>
      </c>
      <c r="DL8" s="67">
        <v>113.57306758999999</v>
      </c>
      <c r="DM8" s="67">
        <v>482.52498496999999</v>
      </c>
      <c r="DN8" s="66">
        <v>334.63776482999998</v>
      </c>
      <c r="DO8" s="67">
        <v>7.0607872299999999</v>
      </c>
      <c r="DP8" s="67">
        <v>341.69855206</v>
      </c>
      <c r="DQ8" s="66">
        <v>351.87788327000004</v>
      </c>
      <c r="DR8" s="67">
        <v>132.66510337</v>
      </c>
      <c r="DS8" s="67">
        <v>484.54298664000004</v>
      </c>
      <c r="DT8" s="66">
        <v>330.15192059000003</v>
      </c>
      <c r="DU8" s="67">
        <v>6.2942306099999996</v>
      </c>
      <c r="DV8" s="67">
        <v>336.44615120000009</v>
      </c>
      <c r="DW8" s="66">
        <v>347.00668815000006</v>
      </c>
      <c r="DX8" s="67">
        <v>83.734187889999987</v>
      </c>
      <c r="DY8" s="67">
        <v>430.74087604000005</v>
      </c>
      <c r="DZ8" s="66">
        <v>344.64956056</v>
      </c>
      <c r="EA8" s="67">
        <v>6.3124102999999998</v>
      </c>
      <c r="EB8" s="67">
        <v>350.96197086000001</v>
      </c>
      <c r="EC8" s="66">
        <v>344.99098943000001</v>
      </c>
      <c r="ED8" s="67">
        <v>38.899472269999997</v>
      </c>
      <c r="EE8" s="67">
        <v>383.8904617</v>
      </c>
      <c r="EF8" s="67">
        <f>CV8+CY8+DB8+DE8+DH8+DK8+DN8+DQ8+DT8+DW8+DZ8+EC8</f>
        <v>4097.0126303099996</v>
      </c>
      <c r="EG8" s="67">
        <f>CW8+CZ8+DC8+DF8+DI8+DL8+DO8+DR8+DU8+DX8+EA8+ED8</f>
        <v>995.58495084000003</v>
      </c>
      <c r="EH8" s="67">
        <f>CX8+DA8+DD8+DG8+DJ8+DM8+DP8+DS8+DV8+DY8+EB8+EE8</f>
        <v>5092.5975811500002</v>
      </c>
      <c r="EI8" s="67">
        <f>EK8-EJ8</f>
        <v>4097.7490850400009</v>
      </c>
      <c r="EJ8" s="67">
        <f>EJ32+EJ33+EJ34+EJ38</f>
        <v>995.34944211000027</v>
      </c>
      <c r="EK8" s="67">
        <f>EK9+EK32+EK33+EK34+EK38</f>
        <v>5093.0985271500012</v>
      </c>
      <c r="EL8" s="67">
        <v>356.54813058000002</v>
      </c>
      <c r="EM8" s="67">
        <v>78.388996689999999</v>
      </c>
      <c r="EN8" s="67">
        <v>434.93712727000002</v>
      </c>
      <c r="EO8" s="67">
        <v>288.43765758000001</v>
      </c>
      <c r="EP8" s="67">
        <v>205.83219052000001</v>
      </c>
      <c r="EQ8" s="67">
        <v>494.26984810000005</v>
      </c>
      <c r="ER8" s="67">
        <v>299.31509061999998</v>
      </c>
      <c r="ES8" s="67">
        <v>38.141442220000002</v>
      </c>
      <c r="ET8" s="67">
        <v>337.45653283999997</v>
      </c>
      <c r="EU8" s="67">
        <v>391.54435497999998</v>
      </c>
      <c r="EV8" s="67">
        <v>52.141153150000001</v>
      </c>
      <c r="EW8" s="67">
        <v>443.68550813000002</v>
      </c>
      <c r="EX8" s="67">
        <v>456.37344222000007</v>
      </c>
      <c r="EY8" s="67">
        <v>55.319237610000002</v>
      </c>
      <c r="EZ8" s="67">
        <v>511.69267983000003</v>
      </c>
      <c r="FA8" s="67">
        <v>348.91815752999997</v>
      </c>
      <c r="FB8" s="67">
        <v>70.936631430000006</v>
      </c>
      <c r="FC8" s="67">
        <v>419.85478895999995</v>
      </c>
      <c r="FD8" s="67">
        <v>396.04055764999993</v>
      </c>
      <c r="FE8" s="67">
        <v>8.4319135299999992</v>
      </c>
      <c r="FF8" s="67">
        <v>404.47247117999996</v>
      </c>
      <c r="FG8" s="67">
        <v>359.54040098000002</v>
      </c>
      <c r="FH8" s="67">
        <v>40.510310169999997</v>
      </c>
      <c r="FI8" s="67">
        <v>400.05071114999998</v>
      </c>
      <c r="FJ8" s="67">
        <v>410.58393691000009</v>
      </c>
      <c r="FK8" s="67">
        <v>7.7735546100000006</v>
      </c>
      <c r="FL8" s="67">
        <v>418.35749152000005</v>
      </c>
      <c r="FM8" s="67">
        <v>382.64290438000006</v>
      </c>
      <c r="FN8" s="67">
        <v>48.903196619999996</v>
      </c>
      <c r="FO8" s="67">
        <v>431.55703761000007</v>
      </c>
      <c r="FP8" s="67">
        <v>354.52609848000003</v>
      </c>
      <c r="FQ8" s="67">
        <v>35.972604070000003</v>
      </c>
      <c r="FR8" s="67">
        <v>390.50891874000007</v>
      </c>
      <c r="FS8" s="67">
        <v>374.08209246999996</v>
      </c>
      <c r="FT8" s="67">
        <v>102.08357633</v>
      </c>
      <c r="FU8" s="67">
        <v>474.56210886999997</v>
      </c>
      <c r="FV8" s="67">
        <f>EL8+EO8+ER8+EU8+EX8+FA8+FD8+FG8+FJ8+FM8+FP8+FS8</f>
        <v>4418.5528243799999</v>
      </c>
      <c r="FW8" s="67">
        <f>EM8+EP8+ES8+EV8+EY8+FB8+FE8+FH8+FK8+FN8+FQ8+FT8</f>
        <v>744.43480695000005</v>
      </c>
      <c r="FX8" s="67">
        <f>EN8+EQ8+ET8+EW8+EZ8+FC8+FF8+FI8+FL8+FO8+FR8+FU8</f>
        <v>5161.4052241999998</v>
      </c>
      <c r="FY8" s="67">
        <f>GA8-FZ8</f>
        <v>4417.0902470000001</v>
      </c>
      <c r="FZ8" s="67">
        <f>FZ32+FZ33+FZ34+FZ38</f>
        <v>744.43480699999998</v>
      </c>
      <c r="GA8" s="67">
        <f>GA9+GA32+GA33+GA34+GA38</f>
        <v>5161.5250539999997</v>
      </c>
      <c r="GB8" s="67">
        <v>403.82287766000002</v>
      </c>
      <c r="GC8" s="67">
        <v>78.718388899999994</v>
      </c>
      <c r="GD8" s="67">
        <v>482.55819820999994</v>
      </c>
      <c r="GE8" s="67">
        <v>296.52180095</v>
      </c>
      <c r="GF8" s="67">
        <v>161.50927807000002</v>
      </c>
      <c r="GG8" s="67">
        <v>458.05734766</v>
      </c>
      <c r="GH8" s="67">
        <v>324.97047871000001</v>
      </c>
      <c r="GI8" s="67">
        <v>41.71799816</v>
      </c>
      <c r="GJ8" s="67">
        <v>366.72660221000001</v>
      </c>
      <c r="GK8" s="67">
        <v>403.59442557999995</v>
      </c>
      <c r="GL8" s="67">
        <v>88.799731940000001</v>
      </c>
      <c r="GM8" s="67">
        <v>492.38638163999997</v>
      </c>
      <c r="GN8" s="67">
        <v>462.22623918999994</v>
      </c>
      <c r="GO8" s="67">
        <v>8.4061889799999996</v>
      </c>
      <c r="GP8" s="67">
        <v>470.64480538999993</v>
      </c>
      <c r="GQ8" s="67">
        <v>431.28785268999997</v>
      </c>
      <c r="GR8" s="67">
        <v>86.62253041000001</v>
      </c>
      <c r="GS8" s="67">
        <v>517.94397688999993</v>
      </c>
      <c r="GT8" s="67">
        <v>377.62176806000002</v>
      </c>
      <c r="GU8" s="67">
        <v>43.112839489999999</v>
      </c>
      <c r="GV8" s="67">
        <v>420.75713772999995</v>
      </c>
      <c r="GW8" s="67">
        <v>399.56592626999992</v>
      </c>
      <c r="GX8" s="67">
        <v>29.663539409999998</v>
      </c>
      <c r="GY8" s="67">
        <v>429.30301482999988</v>
      </c>
      <c r="GZ8" s="67">
        <v>389.94489736999998</v>
      </c>
      <c r="HA8" s="67">
        <v>8.56380111</v>
      </c>
      <c r="HB8" s="67">
        <v>398.49305906000001</v>
      </c>
      <c r="HC8" s="67">
        <v>393.18953652999994</v>
      </c>
      <c r="HD8" s="67">
        <v>66.152745949999996</v>
      </c>
      <c r="HE8" s="67">
        <v>459.35664295999993</v>
      </c>
      <c r="HF8" s="67">
        <v>382.90186845999995</v>
      </c>
      <c r="HG8" s="67">
        <v>7.6172997499999999</v>
      </c>
      <c r="HH8" s="67">
        <v>390.52575997999998</v>
      </c>
      <c r="HI8" s="67">
        <v>408.10819971000006</v>
      </c>
      <c r="HJ8" s="67">
        <v>92.333175889999993</v>
      </c>
      <c r="HK8" s="67">
        <v>500.64011547000007</v>
      </c>
      <c r="HL8" s="67">
        <f>GB8+GE8+GH8+GK8+GN8+GQ8+GT8+GW8+GZ8+HC8+HF8+HI8</f>
        <v>4673.7558711799993</v>
      </c>
      <c r="HM8" s="67">
        <f>GC8+GF8+GI8+GL8+GO8+GR8+GU8+GX8+HA8+HD8+HG8+HJ8</f>
        <v>713.21751806000009</v>
      </c>
      <c r="HN8" s="67">
        <f>GD8+GG8+GJ8+GM8+GP8+GS8+GV8+GY8+HB8+HE8+HH8+HK8</f>
        <v>5387.3930420299994</v>
      </c>
      <c r="HO8" s="67">
        <f t="shared" ref="HO8:HO37" si="3">HQ8-HP8</f>
        <v>4674.4713490000004</v>
      </c>
      <c r="HP8" s="67">
        <f>HP32+HP33+HP34+HP38</f>
        <v>713.21551799999997</v>
      </c>
      <c r="HQ8" s="67">
        <f>HQ9+HQ32+HQ33+HQ34+HQ38</f>
        <v>5387.6868670000003</v>
      </c>
      <c r="HR8" s="67">
        <v>423.60654311999969</v>
      </c>
      <c r="HS8" s="67">
        <v>110.96919609999999</v>
      </c>
      <c r="HT8" s="67">
        <v>534.57573921999995</v>
      </c>
      <c r="HU8" s="67">
        <v>339.16958857000009</v>
      </c>
      <c r="HV8" s="67">
        <v>218.43593231</v>
      </c>
      <c r="HW8" s="67">
        <v>557.60552087999986</v>
      </c>
      <c r="HX8" s="67">
        <v>363.64944751999928</v>
      </c>
      <c r="HY8" s="67">
        <v>37.34054089</v>
      </c>
      <c r="HZ8" s="67">
        <v>400.98998841000008</v>
      </c>
      <c r="IA8" s="67">
        <v>454.3919291199997</v>
      </c>
      <c r="IB8" s="67">
        <v>104.14985231999999</v>
      </c>
      <c r="IC8" s="67">
        <v>558.54178144000002</v>
      </c>
      <c r="ID8" s="67">
        <v>610.74433417000046</v>
      </c>
      <c r="IE8" s="67">
        <v>67.490693739999998</v>
      </c>
      <c r="IF8" s="67">
        <v>678.23502791000021</v>
      </c>
      <c r="IG8" s="67">
        <v>485.68027015000024</v>
      </c>
      <c r="IH8" s="67">
        <v>35.120798130000004</v>
      </c>
      <c r="II8" s="67">
        <v>520.80106827999998</v>
      </c>
      <c r="IJ8" s="67">
        <v>417.10647342999999</v>
      </c>
      <c r="IK8" s="67">
        <v>252.36864630000002</v>
      </c>
      <c r="IL8" s="67">
        <v>669.47511973000007</v>
      </c>
      <c r="IM8" s="67">
        <v>411.86808851999996</v>
      </c>
      <c r="IN8" s="67">
        <v>80.448744219999995</v>
      </c>
      <c r="IO8" s="67">
        <v>492.31683274</v>
      </c>
      <c r="IP8" s="67">
        <v>426.44545128000021</v>
      </c>
      <c r="IQ8" s="67">
        <v>11.734241460000002</v>
      </c>
      <c r="IR8" s="67">
        <v>438.17969273999995</v>
      </c>
      <c r="IS8" s="67">
        <v>389.34403410999994</v>
      </c>
      <c r="IT8" s="67">
        <v>105.56136506999999</v>
      </c>
      <c r="IU8" s="67">
        <v>494.90539918000002</v>
      </c>
      <c r="IV8" s="67">
        <v>470.50312576000016</v>
      </c>
      <c r="IW8" s="67">
        <v>18.907683410000001</v>
      </c>
      <c r="IX8" s="67">
        <v>489.41080916999999</v>
      </c>
      <c r="IY8" s="67">
        <v>417.58424149999985</v>
      </c>
      <c r="IZ8" s="67">
        <v>71.71085029000001</v>
      </c>
      <c r="JA8" s="67">
        <v>489.29509179000013</v>
      </c>
      <c r="JB8" s="67">
        <f>HR8+HU8+HX8+IA8+ID8+IG8+IJ8+IM8+IP8+IS8+IV8+IY8</f>
        <v>5210.0935272500001</v>
      </c>
      <c r="JC8" s="67">
        <f>HS8+HV8+HY8+IB8+IE8+IH8+IK8+IN8+IQ8+IT8+IW8+IZ8</f>
        <v>1114.23854424</v>
      </c>
      <c r="JD8" s="67">
        <f>HT8+HW8+HZ8+IC8+IF8+II8+IL8+IO8+IR8+IU8+IX8+JA8</f>
        <v>6324.3320714900001</v>
      </c>
      <c r="JE8" s="67">
        <f t="shared" ref="JE8:JE37" si="4">JG8-JF8</f>
        <v>5210.4024840000002</v>
      </c>
      <c r="JF8" s="67">
        <f>JF32+JF33+JF34+JF38</f>
        <v>1114.1899659999999</v>
      </c>
      <c r="JG8" s="67">
        <f>JG9+JG32+JG33+JG34+JG38</f>
        <v>6324.5924500000001</v>
      </c>
      <c r="JH8" s="67">
        <v>409.58641674000023</v>
      </c>
      <c r="JI8" s="67">
        <v>183.26020216000001</v>
      </c>
      <c r="JJ8" s="67">
        <v>592.84661889999984</v>
      </c>
      <c r="JK8" s="67">
        <v>344.60512583999952</v>
      </c>
      <c r="JL8" s="67">
        <v>264.85130025000001</v>
      </c>
      <c r="JM8" s="67">
        <v>609.45642609000015</v>
      </c>
      <c r="JN8" s="67">
        <v>340.98798324000006</v>
      </c>
      <c r="JO8" s="67">
        <v>23.34465338</v>
      </c>
      <c r="JP8" s="67">
        <v>364.33263661999996</v>
      </c>
      <c r="JQ8" s="67">
        <v>424.85760558999993</v>
      </c>
      <c r="JR8" s="67">
        <v>181.59658944999998</v>
      </c>
      <c r="JS8" s="67">
        <v>606.45419504000006</v>
      </c>
      <c r="JT8" s="67">
        <v>623.51710746000003</v>
      </c>
      <c r="JU8" s="67">
        <v>63.842232770000102</v>
      </c>
      <c r="JV8" s="67">
        <v>687.35934023000016</v>
      </c>
      <c r="JW8" s="67">
        <v>412.07962066999988</v>
      </c>
      <c r="JX8" s="67">
        <v>281.04237998000002</v>
      </c>
      <c r="JY8" s="67">
        <v>693.12200065000013</v>
      </c>
      <c r="JZ8" s="67">
        <v>419.88515942000004</v>
      </c>
      <c r="KA8" s="67">
        <v>30.885340329999998</v>
      </c>
      <c r="KB8" s="67">
        <v>450.77049974999994</v>
      </c>
      <c r="KC8" s="67">
        <v>415.24506313999979</v>
      </c>
      <c r="KD8" s="67">
        <v>-0.72963865000000006</v>
      </c>
      <c r="KE8" s="67">
        <v>414.51542448999987</v>
      </c>
      <c r="KF8" s="67">
        <v>440.59313426000011</v>
      </c>
      <c r="KG8" s="67">
        <v>-55.428310150000001</v>
      </c>
      <c r="KH8" s="67">
        <v>385.16482411000015</v>
      </c>
      <c r="KI8" s="67">
        <v>426.0105029199994</v>
      </c>
      <c r="KJ8" s="67">
        <v>149.41408724999999</v>
      </c>
      <c r="KK8" s="67">
        <v>575.42459016999999</v>
      </c>
      <c r="KL8" s="67">
        <v>414.29519560000062</v>
      </c>
      <c r="KM8" s="67">
        <v>7.7320887999999997</v>
      </c>
      <c r="KN8" s="67">
        <v>422.02728440000004</v>
      </c>
      <c r="KO8" s="67">
        <v>450.47481922000009</v>
      </c>
      <c r="KP8" s="67">
        <v>179.16994840999999</v>
      </c>
      <c r="KQ8" s="67">
        <v>629.64476763000016</v>
      </c>
      <c r="KR8" s="67">
        <f>JH8+JK8+JN8+JQ8+JT8+JW8+JZ8+KC8+KF8+KI8+KL8+KO8</f>
        <v>5122.1377340999998</v>
      </c>
      <c r="KS8" s="67">
        <f>JI8+JL8+JO8+JR8+JU8+JX8+KA8+KD8+KG8+KJ8+KM8+KP8</f>
        <v>1308.9808739800001</v>
      </c>
      <c r="KT8" s="67">
        <f>JJ8+JM8+JP8+JS8+JV8+JY8+KB8+KE8+KH8+KK8+KN8+KQ8</f>
        <v>6431.1186080800007</v>
      </c>
      <c r="KU8" s="67">
        <f t="shared" ref="KU8:KU36" si="5">KW8-KV8</f>
        <v>5123.0628719999986</v>
      </c>
      <c r="KV8" s="67">
        <f>KV32+KV33+KV34+KV38</f>
        <v>1306.5736979999999</v>
      </c>
      <c r="KW8" s="67">
        <f>KW9+KW32+KW33+KW34+KW38</f>
        <v>6429.6365699999988</v>
      </c>
      <c r="KX8" s="67">
        <v>438.82335643000056</v>
      </c>
      <c r="KY8" s="67">
        <v>98.899591540000003</v>
      </c>
      <c r="KZ8" s="67">
        <v>537.72294797000006</v>
      </c>
      <c r="LA8" s="67">
        <v>376.02624595999998</v>
      </c>
      <c r="LB8" s="67">
        <v>206.07174212999999</v>
      </c>
      <c r="LC8" s="67">
        <v>582.09798808999994</v>
      </c>
      <c r="LD8" s="67">
        <v>341.12600105999962</v>
      </c>
      <c r="LE8" s="67">
        <v>94.957224010000004</v>
      </c>
      <c r="LF8" s="67">
        <v>436.08322507000003</v>
      </c>
      <c r="LG8" s="67">
        <v>419.90216051000044</v>
      </c>
      <c r="LH8" s="67">
        <v>225.35411569999999</v>
      </c>
      <c r="LI8" s="173">
        <v>645.25627621000001</v>
      </c>
      <c r="LJ8" s="173">
        <v>481.33527132000029</v>
      </c>
      <c r="LK8" s="67">
        <v>91.519417709999999</v>
      </c>
      <c r="LL8" s="173">
        <v>572.85468902999992</v>
      </c>
      <c r="LM8" s="173">
        <v>453.79553472999964</v>
      </c>
      <c r="LN8" s="67">
        <v>7.6103911200000001</v>
      </c>
      <c r="LO8" s="173">
        <v>461.40592585000002</v>
      </c>
      <c r="LP8" s="173">
        <v>434.48701738999961</v>
      </c>
      <c r="LQ8" s="67">
        <v>275.44101545000001</v>
      </c>
      <c r="LR8" s="186">
        <v>709.9280328399999</v>
      </c>
      <c r="LS8" s="173">
        <v>441.29013212999968</v>
      </c>
      <c r="LT8" s="67">
        <v>31.315562480000001</v>
      </c>
      <c r="LU8" s="189">
        <v>472.60569460999966</v>
      </c>
      <c r="LV8" s="66">
        <v>444.29718307000019</v>
      </c>
      <c r="LW8" s="67">
        <v>2.4527327400000001</v>
      </c>
      <c r="LX8" s="67">
        <v>446.74991580999995</v>
      </c>
      <c r="LY8" s="67">
        <v>482.27483588000013</v>
      </c>
      <c r="LZ8" s="67">
        <v>8.0606773499999989</v>
      </c>
      <c r="MA8" s="67">
        <v>490.33551323000006</v>
      </c>
      <c r="MB8" s="67">
        <v>450.93015763999995</v>
      </c>
      <c r="MC8" s="67">
        <v>17.630064390000001</v>
      </c>
      <c r="MD8" s="67">
        <v>468.56022203000009</v>
      </c>
      <c r="ME8" s="67">
        <v>401.48885340000049</v>
      </c>
      <c r="MF8" s="67">
        <v>199.99321546000002</v>
      </c>
      <c r="MG8" s="67">
        <v>601.48206885999991</v>
      </c>
      <c r="MH8" s="67">
        <f t="shared" ref="MH8:MJ9" si="6">KX8+LA8+LD8+LG8+LJ8+LM8+LP8+LS8+LV8+LY8+MB8+ME8</f>
        <v>5165.7767495200005</v>
      </c>
      <c r="MI8" s="67">
        <f t="shared" si="6"/>
        <v>1259.3057500800003</v>
      </c>
      <c r="MJ8" s="67">
        <f t="shared" si="6"/>
        <v>6425.0824996000001</v>
      </c>
      <c r="MK8" s="67">
        <f t="shared" ref="MK8:MK37" si="7">MM8-ML8</f>
        <v>5162.2811829999991</v>
      </c>
      <c r="ML8" s="67">
        <f>ML32+ML33+ML34+ML38</f>
        <v>1280.3692579999999</v>
      </c>
      <c r="MM8" s="67">
        <f>MM9+MM32+MM33+MM34+MM38</f>
        <v>6442.6504409999989</v>
      </c>
      <c r="MN8" s="67">
        <v>536.3543971900001</v>
      </c>
      <c r="MO8" s="67">
        <v>176.66023477000002</v>
      </c>
      <c r="MP8" s="67">
        <v>713.0146319600002</v>
      </c>
      <c r="MQ8" s="67">
        <v>404.42369121999997</v>
      </c>
      <c r="MR8" s="67">
        <v>241.69517216999998</v>
      </c>
      <c r="MS8" s="67">
        <v>646.11886338999989</v>
      </c>
      <c r="MT8" s="67">
        <v>308.00047849000032</v>
      </c>
      <c r="MU8" s="67">
        <v>21.035372930000001</v>
      </c>
      <c r="MV8" s="67">
        <v>329.03585142000009</v>
      </c>
      <c r="MW8" s="67">
        <v>608.8259234300009</v>
      </c>
      <c r="MX8" s="67">
        <v>176.89339919</v>
      </c>
      <c r="MY8" s="67">
        <v>785.71932262000007</v>
      </c>
      <c r="MZ8" s="67">
        <v>628.67783236999992</v>
      </c>
      <c r="NA8" s="67">
        <v>36.556389799999998</v>
      </c>
      <c r="NB8" s="67">
        <v>665.23422216999995</v>
      </c>
      <c r="NC8" s="67">
        <v>541.81567815000005</v>
      </c>
      <c r="ND8" s="67">
        <v>47.350498000000002</v>
      </c>
      <c r="NE8" s="67">
        <v>589.16617615000007</v>
      </c>
      <c r="NF8" s="67">
        <v>561.14693414000089</v>
      </c>
      <c r="NG8" s="67">
        <v>156.31115484999998</v>
      </c>
      <c r="NH8" s="67">
        <v>717.45808898999996</v>
      </c>
      <c r="NI8" s="67">
        <v>513.4520701900002</v>
      </c>
      <c r="NJ8" s="67">
        <v>43.685991339999994</v>
      </c>
      <c r="NK8" s="67">
        <v>557.13806199999999</v>
      </c>
      <c r="NL8" s="67">
        <v>520.87520284999925</v>
      </c>
      <c r="NM8" s="67">
        <v>243.62169356000001</v>
      </c>
      <c r="NN8" s="67">
        <v>764.49689640999986</v>
      </c>
      <c r="NO8" s="67">
        <v>502.71902570000071</v>
      </c>
      <c r="NP8" s="67">
        <v>14.18802125</v>
      </c>
      <c r="NQ8" s="67">
        <v>516.90696500000001</v>
      </c>
      <c r="NR8" s="67">
        <v>511.93737741999996</v>
      </c>
      <c r="NS8" s="67">
        <v>150.78125446000001</v>
      </c>
      <c r="NT8" s="67">
        <v>662.71863187999998</v>
      </c>
      <c r="NU8" s="67">
        <v>437.3070693800002</v>
      </c>
      <c r="NV8" s="67">
        <v>65.167419199999998</v>
      </c>
      <c r="NW8" s="67">
        <v>502.47448858000007</v>
      </c>
      <c r="NX8" s="67">
        <f>MN8+MQ8+MT8+MW8+MZ8+NC8+NF8+NI8+NL8+NO8+NR8+NU8</f>
        <v>6075.5356805300034</v>
      </c>
      <c r="NY8" s="67">
        <f>MO8+MR8+MU8+MX8+NA8+ND8+NG8+NJ8+NM8+NP8+NS8+NV8</f>
        <v>1373.9466015200001</v>
      </c>
      <c r="NZ8" s="67">
        <f>MP8+MS8+MV8+MY8+NB8+NE8+NH8+NK8+NN8+NQ8+NT8+NW8</f>
        <v>7449.4822005699998</v>
      </c>
      <c r="OA8" s="67">
        <f t="shared" ref="OA8:OA36" si="8">OC8-OB8</f>
        <v>6063.7670409999992</v>
      </c>
      <c r="OB8" s="67">
        <f>OB32+OB33+OB34+OB38</f>
        <v>1354.872034</v>
      </c>
      <c r="OC8" s="67">
        <f>OC9+OC32+OC33+OC34+OC38</f>
        <v>7418.6390749999991</v>
      </c>
      <c r="OD8" s="67">
        <v>478.84978877999993</v>
      </c>
      <c r="OE8" s="67">
        <v>187.81156347999999</v>
      </c>
      <c r="OF8" s="67">
        <v>666.66135225999994</v>
      </c>
      <c r="OG8" s="67">
        <v>471.21298358999979</v>
      </c>
      <c r="OH8" s="67">
        <v>216.56694759000001</v>
      </c>
      <c r="OI8" s="67">
        <v>687.77993117999983</v>
      </c>
      <c r="OJ8" s="67">
        <v>463.82607051000008</v>
      </c>
      <c r="OK8" s="67">
        <v>23.766263160000005</v>
      </c>
      <c r="OL8" s="67">
        <v>487.59233367000007</v>
      </c>
      <c r="OM8" s="67">
        <v>618.3424586299999</v>
      </c>
      <c r="ON8" s="67">
        <v>168.72033038000004</v>
      </c>
      <c r="OO8" s="67">
        <v>787.06278900999996</v>
      </c>
      <c r="OP8" s="67">
        <v>603.13660671999969</v>
      </c>
      <c r="OQ8" s="67">
        <v>40.867466419999992</v>
      </c>
      <c r="OR8" s="67">
        <v>644.00407313999983</v>
      </c>
      <c r="OS8" s="67">
        <v>548.48340626000015</v>
      </c>
      <c r="OT8" s="67">
        <v>71.790078149999985</v>
      </c>
      <c r="OU8" s="67">
        <v>620.2734844099997</v>
      </c>
      <c r="OV8" s="67">
        <v>689.29213657000025</v>
      </c>
      <c r="OW8" s="67">
        <v>24.670164459999999</v>
      </c>
      <c r="OX8" s="67">
        <v>713.96230103000039</v>
      </c>
      <c r="OY8" s="159">
        <v>539.13874424999983</v>
      </c>
      <c r="OZ8" s="67">
        <v>145.92902190000001</v>
      </c>
      <c r="PA8" s="159">
        <v>685.06776615000012</v>
      </c>
      <c r="PB8" s="67">
        <v>547.11459149999962</v>
      </c>
      <c r="PC8" s="67">
        <v>9.2177268300000001</v>
      </c>
      <c r="PD8" s="67">
        <v>556.33231832999968</v>
      </c>
      <c r="PE8" s="67">
        <v>578.08202446000041</v>
      </c>
      <c r="PF8" s="67">
        <v>216.14817753000003</v>
      </c>
      <c r="PG8" s="67">
        <v>794.23020199000041</v>
      </c>
      <c r="PH8" s="67">
        <v>615.1294287000004</v>
      </c>
      <c r="PI8" s="67">
        <v>132.85990699999999</v>
      </c>
      <c r="PJ8" s="67">
        <v>747.9893357000002</v>
      </c>
      <c r="PK8" s="67">
        <v>724.66449433000003</v>
      </c>
      <c r="PL8" s="67">
        <v>176.29650751000003</v>
      </c>
      <c r="PM8" s="67">
        <v>900.96100184000011</v>
      </c>
      <c r="PN8" s="67">
        <f>OD8+OG8+OJ8+OM8+OP8+OS8+OV8+OY8+PB8+PE8+PH8+PK8</f>
        <v>6877.2727343000006</v>
      </c>
      <c r="PO8" s="67">
        <f>OE8+OH8+OK8+ON8+OQ8+OT8+OW8+OZ8+PC8+PF8+PI8+PL8</f>
        <v>1414.6441544100003</v>
      </c>
      <c r="PP8" s="67">
        <f>OF8+OI8+OL8+OO8+OR8+OU8+OX8+PA8+PD8+PG8+PJ8+PM8</f>
        <v>8291.9168887100004</v>
      </c>
      <c r="PQ8" s="67">
        <f t="shared" ref="PQ8:PQ36" si="9">PS8-PR8</f>
        <v>6870.816620999999</v>
      </c>
      <c r="PR8" s="67">
        <f>PR32+PR33+PR34+PR38</f>
        <v>1441.7152450000001</v>
      </c>
      <c r="PS8" s="67">
        <f>PS9+PS32+PS33+PS34+PS38</f>
        <v>8312.5318659999994</v>
      </c>
      <c r="PT8" s="67">
        <v>586.73240877000023</v>
      </c>
      <c r="PU8" s="67">
        <v>133.20694189</v>
      </c>
      <c r="PV8" s="67">
        <v>719.93935066000006</v>
      </c>
      <c r="PW8" s="67">
        <v>541.13400790000026</v>
      </c>
      <c r="PX8" s="67">
        <v>250.38394647999999</v>
      </c>
      <c r="PY8" s="67">
        <v>791.51795438000011</v>
      </c>
      <c r="PZ8" s="67">
        <v>526.70499110999992</v>
      </c>
      <c r="QA8" s="67">
        <v>6.5192227100000002</v>
      </c>
      <c r="QB8" s="67">
        <v>533.22421381999982</v>
      </c>
      <c r="QC8" s="67">
        <v>686.73346063999929</v>
      </c>
      <c r="QD8" s="67">
        <v>209.26027535999998</v>
      </c>
      <c r="QE8" s="67">
        <v>895.99373599999967</v>
      </c>
      <c r="QF8" s="55">
        <v>749.62623154000005</v>
      </c>
      <c r="QG8" s="67">
        <v>95.531680800000004</v>
      </c>
      <c r="QH8" s="67">
        <v>845.15791234000005</v>
      </c>
      <c r="QI8" s="55">
        <v>746.64514202000009</v>
      </c>
      <c r="QJ8" s="67">
        <v>13.728870220000001</v>
      </c>
      <c r="QK8" s="67">
        <v>760.37401224000007</v>
      </c>
      <c r="QL8" s="67">
        <v>657.19950263999965</v>
      </c>
      <c r="QM8" s="67">
        <v>214.34038178</v>
      </c>
      <c r="QN8" s="67">
        <v>871.53988442000002</v>
      </c>
      <c r="QO8" s="67">
        <v>606.03523062999989</v>
      </c>
      <c r="QP8" s="67">
        <v>71.98751608000002</v>
      </c>
      <c r="QQ8" s="67">
        <v>678.02274670999986</v>
      </c>
      <c r="QR8" s="67">
        <v>633.20558487999995</v>
      </c>
      <c r="QS8" s="67">
        <v>45.43820774000001</v>
      </c>
      <c r="QT8" s="67">
        <v>678.64379262</v>
      </c>
      <c r="QU8" s="67">
        <v>676.39420866</v>
      </c>
      <c r="QV8" s="67">
        <v>13.405320940000003</v>
      </c>
      <c r="QW8" s="67">
        <v>689.79952960000003</v>
      </c>
      <c r="QX8" s="67">
        <v>565.76354314999992</v>
      </c>
      <c r="QY8" s="67">
        <v>211.40587885000005</v>
      </c>
      <c r="QZ8" s="67">
        <v>777.16942199999994</v>
      </c>
      <c r="RA8" s="67">
        <v>721.33627808999961</v>
      </c>
      <c r="RB8" s="67">
        <v>77.708164300000021</v>
      </c>
      <c r="RC8" s="67">
        <v>799.04444238999963</v>
      </c>
      <c r="RD8" s="67">
        <f t="shared" ref="RD8:RF9" si="10">PT8+PW8+PZ8+QC8+QF8+QI8+QL8+QO8+QR8+QU8+QX8+RA8</f>
        <v>7697.5105900299995</v>
      </c>
      <c r="RE8" s="67">
        <f t="shared" si="10"/>
        <v>1342.9164071499999</v>
      </c>
      <c r="RF8" s="67">
        <f t="shared" si="10"/>
        <v>9040.4269971799986</v>
      </c>
      <c r="RG8" s="67">
        <f t="shared" ref="RG8:RG36" si="11">RI8-RH8</f>
        <v>7692.9255539999986</v>
      </c>
      <c r="RH8" s="67">
        <f>RH32+RH33+RH34+RH38</f>
        <v>1436.457298</v>
      </c>
      <c r="RI8" s="67">
        <f>RI9+RI32+RI33+RI34+RI38</f>
        <v>9129.3828519999988</v>
      </c>
      <c r="RJ8" s="67">
        <v>595.57527946999994</v>
      </c>
      <c r="RK8" s="67">
        <v>326.29873335000002</v>
      </c>
      <c r="RL8" s="67">
        <v>921.87401281999973</v>
      </c>
      <c r="RM8" s="67">
        <v>529.07819522999978</v>
      </c>
      <c r="RN8" s="67">
        <v>216.42349761</v>
      </c>
      <c r="RO8" s="67">
        <v>745.50169283999992</v>
      </c>
      <c r="RP8" s="67">
        <v>562.21128801000032</v>
      </c>
      <c r="RQ8" s="67">
        <v>139.65226036999996</v>
      </c>
      <c r="RR8" s="67">
        <v>701.86354838000022</v>
      </c>
      <c r="RS8" s="67">
        <v>644.35226763999981</v>
      </c>
      <c r="RT8" s="67">
        <v>184.38188377999998</v>
      </c>
      <c r="RU8" s="67">
        <v>828.73415141999976</v>
      </c>
      <c r="RV8" s="67">
        <v>734.96507507000035</v>
      </c>
      <c r="RW8" s="67">
        <v>377.92292660999999</v>
      </c>
      <c r="RX8" s="67">
        <v>1112.8880016800003</v>
      </c>
      <c r="RY8" s="67">
        <v>1100.8581100400004</v>
      </c>
      <c r="RZ8" s="67">
        <v>113.54324857000002</v>
      </c>
      <c r="SA8" s="67">
        <v>1214.4013586100004</v>
      </c>
      <c r="SB8" s="67">
        <v>684.83843289000038</v>
      </c>
      <c r="SC8" s="67">
        <v>191.40495126000002</v>
      </c>
      <c r="SD8" s="67">
        <v>876.24338415000034</v>
      </c>
      <c r="SE8" s="67">
        <v>619.74741472000017</v>
      </c>
      <c r="SF8" s="67">
        <v>95.685567429999992</v>
      </c>
      <c r="SG8" s="67">
        <v>715.43298215000016</v>
      </c>
      <c r="SH8" s="67">
        <v>667.41580238000006</v>
      </c>
      <c r="SI8" s="67">
        <v>16.866718730000002</v>
      </c>
      <c r="SJ8" s="67">
        <v>684.28252111000006</v>
      </c>
      <c r="SK8" s="67">
        <v>678.21652712999958</v>
      </c>
      <c r="SL8" s="67">
        <v>7.1738247100000017</v>
      </c>
      <c r="SM8" s="67">
        <v>685.39035183999965</v>
      </c>
      <c r="SN8" s="67">
        <v>620.77801715999988</v>
      </c>
      <c r="SO8" s="67">
        <v>18.655578049999999</v>
      </c>
      <c r="SP8" s="67">
        <v>639.43359520999991</v>
      </c>
      <c r="SQ8" s="67">
        <v>818.36769904999971</v>
      </c>
      <c r="SR8" s="67">
        <v>58.995525259999994</v>
      </c>
      <c r="SS8" s="67">
        <v>877.36322430999974</v>
      </c>
      <c r="ST8" s="67">
        <f t="shared" ref="ST8:ST9" si="12">RJ8+RM8+RP8+RS8+RV8+RY8+SB8+SE8+SH8+SK8+SN8+SQ8</f>
        <v>8256.4041087900005</v>
      </c>
      <c r="SU8" s="67">
        <f t="shared" ref="SU8:SU9" si="13">RK8+RN8+RQ8+RT8+RW8+RZ8+SC8+SF8+SI8+SL8+SO8+SR8</f>
        <v>1747.0047157299998</v>
      </c>
      <c r="SV8" s="67">
        <f t="shared" ref="SV8:SV9" si="14">RL8+RO8+RR8+RU8+RX8+SA8+SD8+SG8+SJ8+SM8+SP8+SS8</f>
        <v>10003.408824520002</v>
      </c>
      <c r="SW8" s="67">
        <f>SY8-SX8</f>
        <v>8250.2154069999997</v>
      </c>
      <c r="SX8" s="67">
        <f>SX32+SX33+SX34+SX38</f>
        <v>1780.9877610000001</v>
      </c>
      <c r="SY8" s="67">
        <f>SY9+SY32+SY33+SY34+SY38</f>
        <v>10031.203168</v>
      </c>
      <c r="SZ8" s="67">
        <v>702.86872411999991</v>
      </c>
      <c r="TA8" s="67">
        <v>118.35580548</v>
      </c>
      <c r="TB8" s="67">
        <v>821.22452959999964</v>
      </c>
      <c r="TC8" s="67">
        <v>578.95413451000036</v>
      </c>
      <c r="TD8" s="67">
        <v>266.16400396999995</v>
      </c>
      <c r="TE8" s="67">
        <v>845.11813848000031</v>
      </c>
      <c r="TF8" s="67">
        <v>461.6531523299999</v>
      </c>
      <c r="TG8" s="67">
        <v>79.789864080000001</v>
      </c>
      <c r="TH8" s="67">
        <v>541.44301640999993</v>
      </c>
      <c r="TI8" s="67">
        <v>678.83321069999988</v>
      </c>
      <c r="TJ8" s="67">
        <v>131.33575332000004</v>
      </c>
      <c r="TK8" s="67">
        <v>810.16896401999998</v>
      </c>
      <c r="TL8" s="67">
        <v>717.6716255300006</v>
      </c>
      <c r="TM8" s="67">
        <v>415.35561795000001</v>
      </c>
      <c r="TN8" s="67">
        <v>1133.0272434800006</v>
      </c>
      <c r="TO8" s="67">
        <v>1067.3270575399999</v>
      </c>
      <c r="TP8" s="67">
        <v>50.417043759999999</v>
      </c>
      <c r="TQ8" s="67">
        <v>1117.7441013</v>
      </c>
      <c r="TR8" s="67">
        <v>762.51059670000006</v>
      </c>
      <c r="TS8" s="67">
        <v>3.3061859000000005</v>
      </c>
      <c r="TT8" s="67">
        <v>765.81678260000001</v>
      </c>
      <c r="TU8" s="67">
        <v>714.93152963000011</v>
      </c>
      <c r="TV8" s="67">
        <v>185.59329373</v>
      </c>
      <c r="TW8" s="67">
        <v>900.52482336000014</v>
      </c>
      <c r="TX8" s="67">
        <v>657.84342412000012</v>
      </c>
      <c r="TY8" s="67">
        <v>9.7692609600000004</v>
      </c>
      <c r="TZ8" s="67">
        <v>667.61268508000012</v>
      </c>
      <c r="UA8" s="67">
        <v>686.8646143499999</v>
      </c>
      <c r="UB8" s="67">
        <v>5.2678354799999996</v>
      </c>
      <c r="UC8" s="67">
        <v>692.13244982999993</v>
      </c>
      <c r="UD8" s="67">
        <v>641.49766665000004</v>
      </c>
      <c r="UE8" s="67">
        <v>23.458006300000001</v>
      </c>
      <c r="UF8" s="67">
        <v>664.95567295000001</v>
      </c>
      <c r="UG8" s="67">
        <v>763.66549612000017</v>
      </c>
      <c r="UH8" s="67">
        <v>392.98318251999996</v>
      </c>
      <c r="UI8" s="67">
        <v>1156.6486786400001</v>
      </c>
      <c r="UJ8" s="67">
        <f>SZ8+TC8+TF8+TI8+TL8+TO8+TR8+TU8+TX8+UA8+UD8+UG8</f>
        <v>8434.6212323</v>
      </c>
      <c r="UK8" s="67">
        <f t="shared" ref="UK8:UK71" si="15">TA8+TD8+TG8+TJ8+TM8+TP8+TS8+TV8+TY8+UB8+UE8+UH8</f>
        <v>1681.7958534499999</v>
      </c>
      <c r="UL8" s="67">
        <f t="shared" ref="UL8:UL71" si="16">TB8+TE8+TH8+TK8+TN8+TQ8+TT8+TW8+TZ8+UC8+UF8+UI8</f>
        <v>10116.417085750001</v>
      </c>
      <c r="UM8" s="67">
        <v>703.35163977000025</v>
      </c>
      <c r="UN8" s="67">
        <v>130.73390217000002</v>
      </c>
      <c r="UO8" s="67">
        <v>834.08554194000021</v>
      </c>
      <c r="UP8" s="67">
        <v>653.50994509999975</v>
      </c>
      <c r="UQ8" s="67">
        <v>739.23316075000014</v>
      </c>
      <c r="UR8" s="67">
        <v>1392.7431058499999</v>
      </c>
      <c r="US8" s="67">
        <v>499.44421544999977</v>
      </c>
      <c r="UT8" s="67">
        <v>89.073663830000001</v>
      </c>
      <c r="UU8" s="67">
        <v>588.51787927999976</v>
      </c>
      <c r="UV8" s="67">
        <v>748.72317236000004</v>
      </c>
      <c r="UW8" s="67">
        <v>34.567802440000001</v>
      </c>
      <c r="UX8" s="67">
        <v>783.29097480000007</v>
      </c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290">
        <f t="shared" ref="VW8:VY9" si="17">ROUND(SUM(SZ8+TC8+TF8+TI8),6)</f>
        <v>2422.3092219999999</v>
      </c>
      <c r="VX8" s="291">
        <f t="shared" si="17"/>
        <v>595.64542700000004</v>
      </c>
      <c r="VY8" s="291">
        <f t="shared" si="17"/>
        <v>3017.9546489999998</v>
      </c>
      <c r="VZ8" s="290">
        <f t="shared" ref="VZ8:WB9" si="18">ROUND(SUM(UM8+UP8+US8+UV8),6)</f>
        <v>2605.028973</v>
      </c>
      <c r="WA8" s="291">
        <f t="shared" si="18"/>
        <v>993.60852899999998</v>
      </c>
      <c r="WB8" s="291">
        <f t="shared" si="18"/>
        <v>3598.637502</v>
      </c>
      <c r="WC8" s="275">
        <f t="shared" ref="WC8:WC9" si="19">WB8-VY8</f>
        <v>580.68285300000025</v>
      </c>
      <c r="WD8" s="275">
        <f t="shared" ref="WD8:WD9" si="20">WB8/VY8*100-100</f>
        <v>19.240940323354749</v>
      </c>
    </row>
    <row r="9" spans="1:602" s="12" customFormat="1" ht="20.5">
      <c r="A9" s="42" t="s">
        <v>27</v>
      </c>
      <c r="B9" s="12" t="s">
        <v>28</v>
      </c>
      <c r="C9" s="42" t="s">
        <v>29</v>
      </c>
      <c r="D9" s="45">
        <v>3290.1260237562674</v>
      </c>
      <c r="E9" s="42">
        <v>3458.3000239042467</v>
      </c>
      <c r="F9" s="42">
        <v>2366.1641609894082</v>
      </c>
      <c r="G9" s="42">
        <v>2261.8211677793524</v>
      </c>
      <c r="H9" s="42">
        <v>239.94961610918551</v>
      </c>
      <c r="I9" s="42">
        <v>146.11042481260779</v>
      </c>
      <c r="J9" s="42">
        <v>174.87524544538732</v>
      </c>
      <c r="K9" s="42">
        <v>223.54505096726825</v>
      </c>
      <c r="L9" s="42">
        <v>220.43572888031369</v>
      </c>
      <c r="M9" s="42">
        <v>223.7721711885533</v>
      </c>
      <c r="N9" s="42">
        <v>251.24050802215126</v>
      </c>
      <c r="O9" s="42">
        <v>238.6736728874622</v>
      </c>
      <c r="P9" s="42">
        <v>250.11040204665883</v>
      </c>
      <c r="Q9" s="42">
        <v>253.83344147159093</v>
      </c>
      <c r="R9" s="42">
        <v>240.53474083812839</v>
      </c>
      <c r="S9" s="42">
        <v>213.01774036573499</v>
      </c>
      <c r="T9" s="42">
        <v>2676.0987430350424</v>
      </c>
      <c r="U9" s="42">
        <v>0</v>
      </c>
      <c r="V9" s="42">
        <v>2676.0987430350424</v>
      </c>
      <c r="W9" s="42">
        <v>2676.0987430350424</v>
      </c>
      <c r="X9" s="42">
        <v>281.9060662716775</v>
      </c>
      <c r="Y9" s="42">
        <v>197.94335974183412</v>
      </c>
      <c r="Z9" s="42">
        <v>221.44163379832784</v>
      </c>
      <c r="AA9" s="42">
        <v>253.32895942538744</v>
      </c>
      <c r="AB9" s="42">
        <v>259.66409980592033</v>
      </c>
      <c r="AC9" s="42">
        <v>262.53229349861414</v>
      </c>
      <c r="AD9" s="42">
        <v>269.67654139703245</v>
      </c>
      <c r="AE9" s="42">
        <v>261.44368842522243</v>
      </c>
      <c r="AF9" s="42">
        <v>263.89392063790194</v>
      </c>
      <c r="AG9" s="42">
        <v>259.49945788584012</v>
      </c>
      <c r="AH9" s="42">
        <v>256.80695186709238</v>
      </c>
      <c r="AI9" s="42">
        <v>256.25714423936114</v>
      </c>
      <c r="AJ9" s="42">
        <f>AL9</f>
        <v>3044.3941169942113</v>
      </c>
      <c r="AK9" s="42">
        <v>0</v>
      </c>
      <c r="AL9" s="42">
        <v>3044.3941169942113</v>
      </c>
      <c r="AM9" s="42">
        <v>3044.3941169942123</v>
      </c>
      <c r="AN9" s="42">
        <v>292.94613861048032</v>
      </c>
      <c r="AO9" s="42">
        <v>209.89911554288253</v>
      </c>
      <c r="AP9" s="42">
        <v>233.14415825749433</v>
      </c>
      <c r="AQ9" s="42">
        <v>280.18229122201927</v>
      </c>
      <c r="AR9" s="42">
        <v>274.48424880905634</v>
      </c>
      <c r="AS9" s="42">
        <v>263.7791560662717</v>
      </c>
      <c r="AT9" s="42">
        <v>283.73987768993919</v>
      </c>
      <c r="AU9" s="42">
        <v>285.53567851065162</v>
      </c>
      <c r="AV9" s="42">
        <v>276.06053608118339</v>
      </c>
      <c r="AW9" s="42">
        <v>260.71554800484915</v>
      </c>
      <c r="AX9" s="42">
        <v>269.02836921816038</v>
      </c>
      <c r="AY9" s="42">
        <v>259.74991605056317</v>
      </c>
      <c r="AZ9" s="42">
        <v>3189.265034063551</v>
      </c>
      <c r="BA9" s="42"/>
      <c r="BB9" s="42">
        <v>3189.265034063551</v>
      </c>
      <c r="BC9" s="45">
        <f t="shared" ref="BC9:BC73" si="21">BE9-BD9</f>
        <v>3189.265034063551</v>
      </c>
      <c r="BD9" s="45"/>
      <c r="BE9" s="45">
        <v>3189.265034063551</v>
      </c>
      <c r="BF9" s="44">
        <f t="shared" ref="BF9:CI9" si="22">BF10+BF16+BF30</f>
        <v>330.45092099999994</v>
      </c>
      <c r="BG9" s="117">
        <f t="shared" si="22"/>
        <v>0</v>
      </c>
      <c r="BH9" s="50">
        <f t="shared" si="22"/>
        <v>330.45092099999994</v>
      </c>
      <c r="BI9" s="44">
        <f t="shared" si="22"/>
        <v>221.58135700000003</v>
      </c>
      <c r="BJ9" s="117">
        <f t="shared" si="22"/>
        <v>0</v>
      </c>
      <c r="BK9" s="50">
        <f t="shared" si="22"/>
        <v>221.58135700000003</v>
      </c>
      <c r="BL9" s="44">
        <f t="shared" si="22"/>
        <v>239.50367299999999</v>
      </c>
      <c r="BM9" s="117">
        <f t="shared" si="22"/>
        <v>0</v>
      </c>
      <c r="BN9" s="50">
        <f t="shared" si="22"/>
        <v>239.50367299999999</v>
      </c>
      <c r="BO9" s="44">
        <f t="shared" si="22"/>
        <v>297.12239999999997</v>
      </c>
      <c r="BP9" s="117">
        <f t="shared" si="22"/>
        <v>0</v>
      </c>
      <c r="BQ9" s="50">
        <f t="shared" si="22"/>
        <v>297.12239999999997</v>
      </c>
      <c r="BR9" s="44">
        <f t="shared" si="22"/>
        <v>266.59060400000004</v>
      </c>
      <c r="BS9" s="117">
        <f t="shared" si="22"/>
        <v>0</v>
      </c>
      <c r="BT9" s="50">
        <f t="shared" si="22"/>
        <v>266.59060400000004</v>
      </c>
      <c r="BU9" s="44">
        <f t="shared" si="22"/>
        <v>300.08749499999999</v>
      </c>
      <c r="BV9" s="117">
        <f t="shared" si="22"/>
        <v>0</v>
      </c>
      <c r="BW9" s="50">
        <f t="shared" si="22"/>
        <v>300.08749499999999</v>
      </c>
      <c r="BX9" s="44">
        <f t="shared" si="22"/>
        <v>289.92797599999994</v>
      </c>
      <c r="BY9" s="117">
        <f t="shared" si="22"/>
        <v>0</v>
      </c>
      <c r="BZ9" s="50">
        <f t="shared" si="22"/>
        <v>289.92797599999994</v>
      </c>
      <c r="CA9" s="44">
        <f t="shared" si="22"/>
        <v>307.83479000000005</v>
      </c>
      <c r="CB9" s="117">
        <f t="shared" si="22"/>
        <v>0</v>
      </c>
      <c r="CC9" s="50">
        <f t="shared" si="22"/>
        <v>307.83479000000005</v>
      </c>
      <c r="CD9" s="44">
        <f t="shared" si="22"/>
        <v>300.00767436999996</v>
      </c>
      <c r="CE9" s="117">
        <f t="shared" si="22"/>
        <v>0</v>
      </c>
      <c r="CF9" s="50">
        <f t="shared" si="22"/>
        <v>300.00767436999996</v>
      </c>
      <c r="CG9" s="44">
        <f t="shared" si="22"/>
        <v>265.49776051999999</v>
      </c>
      <c r="CH9" s="117">
        <f t="shared" si="22"/>
        <v>0</v>
      </c>
      <c r="CI9" s="50">
        <f t="shared" si="22"/>
        <v>265.49776051999999</v>
      </c>
      <c r="CJ9" s="44">
        <f t="shared" ref="CJ9:CO9" si="23">CJ10+CJ16+CJ30</f>
        <v>292.46271565000001</v>
      </c>
      <c r="CK9" s="50">
        <f t="shared" si="23"/>
        <v>0</v>
      </c>
      <c r="CL9" s="50">
        <f t="shared" si="23"/>
        <v>292.46271565000001</v>
      </c>
      <c r="CM9" s="44">
        <f t="shared" si="23"/>
        <v>272.73225488999998</v>
      </c>
      <c r="CN9" s="50">
        <f t="shared" si="23"/>
        <v>0</v>
      </c>
      <c r="CO9" s="50">
        <f t="shared" si="23"/>
        <v>272.73225488999998</v>
      </c>
      <c r="CP9" s="50">
        <f t="shared" ref="CP9:CP73" si="24">BF9+BI9+BL9+BO9+BR9+BU9+BX9+CA9+CD9+CG9+CJ9+CM9</f>
        <v>3383.7996214300001</v>
      </c>
      <c r="CQ9" s="50">
        <f t="shared" ref="CQ9:CQ73" si="25">BG9+BJ9+BM9+BP9+BS9+BV9+BY9+CB9+CE9+CH9+CK9+CN9</f>
        <v>0</v>
      </c>
      <c r="CR9" s="50">
        <f t="shared" ref="CR9:CR73" si="26">BH9+BK9+BN9+BQ9+BT9+BW9+BZ9+CC9+CF9+CI9+CL9+CO9</f>
        <v>3383.7996214300001</v>
      </c>
      <c r="CS9" s="45">
        <f t="shared" si="2"/>
        <v>3383.7996220000005</v>
      </c>
      <c r="CT9" s="45"/>
      <c r="CU9" s="45">
        <f>CU10+CU16+CU30</f>
        <v>3383.7996220000005</v>
      </c>
      <c r="CV9" s="44">
        <f>CV10+CV16+CV30</f>
        <v>343.99393945999998</v>
      </c>
      <c r="CW9" s="50">
        <f>CW10+CW16+CW30</f>
        <v>0</v>
      </c>
      <c r="CX9" s="50">
        <f>CX10+CX16+CX30</f>
        <v>343.99393945999998</v>
      </c>
      <c r="CY9" s="44">
        <v>231.75829653</v>
      </c>
      <c r="CZ9" s="50">
        <v>0</v>
      </c>
      <c r="DA9" s="50">
        <v>231.75829653</v>
      </c>
      <c r="DB9" s="44">
        <v>260.30795835999999</v>
      </c>
      <c r="DC9" s="50">
        <v>0</v>
      </c>
      <c r="DD9" s="50">
        <v>260.30795835999999</v>
      </c>
      <c r="DE9" s="44">
        <v>306.82809032</v>
      </c>
      <c r="DF9" s="50">
        <v>0</v>
      </c>
      <c r="DG9" s="50">
        <v>306.82809032</v>
      </c>
      <c r="DH9" s="44">
        <v>311.77818959999996</v>
      </c>
      <c r="DI9" s="50">
        <v>0</v>
      </c>
      <c r="DJ9" s="50">
        <v>311.77818959999996</v>
      </c>
      <c r="DK9" s="44">
        <v>291.62716432999997</v>
      </c>
      <c r="DL9" s="50">
        <v>0</v>
      </c>
      <c r="DM9" s="50">
        <v>291.62716432999997</v>
      </c>
      <c r="DN9" s="44">
        <v>293.03354405000005</v>
      </c>
      <c r="DO9" s="50">
        <v>0</v>
      </c>
      <c r="DP9" s="50">
        <v>293.03354405000005</v>
      </c>
      <c r="DQ9" s="44">
        <v>320.04090472000001</v>
      </c>
      <c r="DR9" s="50">
        <v>0</v>
      </c>
      <c r="DS9" s="50">
        <v>320.04090472000001</v>
      </c>
      <c r="DT9" s="44">
        <v>306.33495473000005</v>
      </c>
      <c r="DU9" s="50">
        <v>0</v>
      </c>
      <c r="DV9" s="50">
        <v>306.33495473000005</v>
      </c>
      <c r="DW9" s="44">
        <v>319.82258745000007</v>
      </c>
      <c r="DX9" s="50">
        <v>0</v>
      </c>
      <c r="DY9" s="50">
        <v>319.82258745000001</v>
      </c>
      <c r="DZ9" s="44">
        <v>317.98594082</v>
      </c>
      <c r="EA9" s="50">
        <v>0</v>
      </c>
      <c r="EB9" s="50">
        <v>317.98594082</v>
      </c>
      <c r="EC9" s="44">
        <v>287.58199744000001</v>
      </c>
      <c r="ED9" s="50">
        <v>0</v>
      </c>
      <c r="EE9" s="50">
        <v>287.58199744000001</v>
      </c>
      <c r="EF9" s="50">
        <f t="shared" ref="EF9:EF73" si="27">CV9+CY9+DB9+DE9+DH9+DK9+DN9+DQ9+DT9+DW9+DZ9+EC9</f>
        <v>3591.0935678099995</v>
      </c>
      <c r="EG9" s="50">
        <f t="shared" ref="EG9:EG73" si="28">CW9+CZ9+DC9+DF9+DI9+DL9+DO9+DR9+DU9+DX9+EA9+ED9</f>
        <v>0</v>
      </c>
      <c r="EH9" s="50">
        <f t="shared" ref="EH9:EH73" si="29">CX9+DA9+DD9+DG9+DJ9+DM9+DP9+DS9+DV9+DY9+EB9+EE9</f>
        <v>3591.0935678099995</v>
      </c>
      <c r="EI9" s="50">
        <f>EK9-EJ9</f>
        <v>3591.09356815</v>
      </c>
      <c r="EJ9" s="50"/>
      <c r="EK9" s="50">
        <f>EK10+EK16+EK30</f>
        <v>3591.09356815</v>
      </c>
      <c r="EL9" s="50">
        <v>331.98420367000006</v>
      </c>
      <c r="EM9" s="50">
        <v>0</v>
      </c>
      <c r="EN9" s="50">
        <v>331.98420367000006</v>
      </c>
      <c r="EO9" s="50">
        <v>260.15000799000001</v>
      </c>
      <c r="EP9" s="50">
        <v>0</v>
      </c>
      <c r="EQ9" s="50">
        <v>260.15000799000001</v>
      </c>
      <c r="ER9" s="50">
        <v>274.39553970999998</v>
      </c>
      <c r="ES9" s="50">
        <v>0</v>
      </c>
      <c r="ET9" s="50">
        <v>274.39553970999998</v>
      </c>
      <c r="EU9" s="50">
        <v>323.11220521999996</v>
      </c>
      <c r="EV9" s="50">
        <v>0</v>
      </c>
      <c r="EW9" s="50">
        <v>323.11220521999996</v>
      </c>
      <c r="EX9" s="50">
        <v>337.47574181000005</v>
      </c>
      <c r="EY9" s="50">
        <v>0</v>
      </c>
      <c r="EZ9" s="50">
        <v>337.47574181000005</v>
      </c>
      <c r="FA9" s="50">
        <v>323.19596860999997</v>
      </c>
      <c r="FB9" s="50">
        <v>0</v>
      </c>
      <c r="FC9" s="50">
        <v>323.19596860999997</v>
      </c>
      <c r="FD9" s="50">
        <v>323.42598471000002</v>
      </c>
      <c r="FE9" s="50">
        <v>0</v>
      </c>
      <c r="FF9" s="50">
        <v>323.42598470999997</v>
      </c>
      <c r="FG9" s="50">
        <v>330.68647002</v>
      </c>
      <c r="FH9" s="50">
        <v>0</v>
      </c>
      <c r="FI9" s="50">
        <v>330.68647002</v>
      </c>
      <c r="FJ9" s="50">
        <v>334.42688543000003</v>
      </c>
      <c r="FK9" s="50">
        <v>0</v>
      </c>
      <c r="FL9" s="50">
        <v>334.42688543000003</v>
      </c>
      <c r="FM9" s="50">
        <v>351.93226265000004</v>
      </c>
      <c r="FN9" s="50">
        <v>0</v>
      </c>
      <c r="FO9" s="50">
        <v>351.93226265000004</v>
      </c>
      <c r="FP9" s="50">
        <v>325.11821120000002</v>
      </c>
      <c r="FQ9" s="50">
        <v>0</v>
      </c>
      <c r="FR9" s="50">
        <v>325.11821120000002</v>
      </c>
      <c r="FS9" s="50">
        <v>329.75288538000001</v>
      </c>
      <c r="FT9" s="50">
        <v>0</v>
      </c>
      <c r="FU9" s="50">
        <v>329.75288538000001</v>
      </c>
      <c r="FV9" s="50">
        <f t="shared" ref="FV9:FV73" si="30">EL9+EO9+ER9+EU9+EX9+FA9+FD9+FG9+FJ9+FM9+FP9+FS9</f>
        <v>3845.6563664</v>
      </c>
      <c r="FW9" s="50">
        <f t="shared" ref="FW9:FW73" si="31">EM9+EP9+ES9+EV9+EY9+FB9+FE9+FH9+FK9+FN9+FQ9+FT9</f>
        <v>0</v>
      </c>
      <c r="FX9" s="50">
        <f t="shared" ref="FX9:FX73" si="32">EN9+EQ9+ET9+EW9+EZ9+FC9+FF9+FI9+FL9+FO9+FR9+FU9</f>
        <v>3845.6563664</v>
      </c>
      <c r="FY9" s="50">
        <f>GA9-FZ9</f>
        <v>3845.6563669999996</v>
      </c>
      <c r="FZ9" s="50"/>
      <c r="GA9" s="50">
        <f>GA10+GA16+GA30</f>
        <v>3845.6563669999996</v>
      </c>
      <c r="GB9" s="50">
        <v>375.63099464999999</v>
      </c>
      <c r="GC9" s="50">
        <v>0</v>
      </c>
      <c r="GD9" s="50">
        <v>375.63099464999999</v>
      </c>
      <c r="GE9" s="50">
        <v>266.90113405</v>
      </c>
      <c r="GF9" s="50">
        <v>0</v>
      </c>
      <c r="GG9" s="50">
        <v>266.90113405</v>
      </c>
      <c r="GH9" s="50">
        <v>299.58949265000001</v>
      </c>
      <c r="GI9" s="50">
        <v>0</v>
      </c>
      <c r="GJ9" s="50">
        <v>299.58949265000001</v>
      </c>
      <c r="GK9" s="50">
        <v>347.38979067999998</v>
      </c>
      <c r="GL9" s="50">
        <v>0</v>
      </c>
      <c r="GM9" s="50">
        <v>347.38979067999998</v>
      </c>
      <c r="GN9" s="50">
        <v>341.59146502999994</v>
      </c>
      <c r="GO9" s="50">
        <v>0</v>
      </c>
      <c r="GP9" s="50">
        <v>341.59146502999994</v>
      </c>
      <c r="GQ9" s="50">
        <v>364.04123486999998</v>
      </c>
      <c r="GR9" s="50">
        <v>0</v>
      </c>
      <c r="GS9" s="50">
        <v>364.04123486999998</v>
      </c>
      <c r="GT9" s="50">
        <v>344.39376612000001</v>
      </c>
      <c r="GU9" s="50">
        <v>0</v>
      </c>
      <c r="GV9" s="50">
        <v>344.39376612000001</v>
      </c>
      <c r="GW9" s="50">
        <v>369.79118956999997</v>
      </c>
      <c r="GX9" s="50">
        <v>0</v>
      </c>
      <c r="GY9" s="50">
        <v>369.79118956999997</v>
      </c>
      <c r="GZ9" s="50">
        <v>367.68490664000001</v>
      </c>
      <c r="HA9" s="50">
        <v>0</v>
      </c>
      <c r="HB9" s="50">
        <v>367.68490664000001</v>
      </c>
      <c r="HC9" s="50">
        <v>361.80130881999997</v>
      </c>
      <c r="HD9" s="50">
        <v>0</v>
      </c>
      <c r="HE9" s="50">
        <v>361.80130881999997</v>
      </c>
      <c r="HF9" s="50">
        <v>350.72115377999995</v>
      </c>
      <c r="HG9" s="50">
        <v>0</v>
      </c>
      <c r="HH9" s="50">
        <v>350.72115377999995</v>
      </c>
      <c r="HI9" s="50">
        <v>371.67560039000006</v>
      </c>
      <c r="HJ9" s="50">
        <v>0</v>
      </c>
      <c r="HK9" s="50">
        <v>371.67560039000006</v>
      </c>
      <c r="HL9" s="50">
        <f t="shared" ref="HL9:HL73" si="33">GB9+GE9+GH9+GK9+GN9+GQ9+GT9+GW9+GZ9+HC9+HF9+HI9</f>
        <v>4161.2120372499994</v>
      </c>
      <c r="HM9" s="50">
        <f t="shared" ref="HM9:HM73" si="34">GC9+GF9+GI9+GL9+GO9+GR9+GU9+GX9+HA9+HD9+HG9+HJ9</f>
        <v>0</v>
      </c>
      <c r="HN9" s="50">
        <f t="shared" ref="HN9:HN73" si="35">GD9+GG9+GJ9+GM9+GP9+GS9+GV9+GY9+HB9+HE9+HH9+HK9</f>
        <v>4161.2120372499994</v>
      </c>
      <c r="HO9" s="50">
        <f t="shared" si="3"/>
        <v>4161.1933390000004</v>
      </c>
      <c r="HP9" s="50"/>
      <c r="HQ9" s="50">
        <f>HQ10+HQ16+HQ30</f>
        <v>4161.1933390000004</v>
      </c>
      <c r="HR9" s="50">
        <v>392.08589712999975</v>
      </c>
      <c r="HS9" s="50">
        <v>0</v>
      </c>
      <c r="HT9" s="50">
        <v>392.08589712999992</v>
      </c>
      <c r="HU9" s="50">
        <v>314.61958363999997</v>
      </c>
      <c r="HV9" s="50">
        <v>0</v>
      </c>
      <c r="HW9" s="50">
        <v>314.61958363999992</v>
      </c>
      <c r="HX9" s="50">
        <v>334.46244688999991</v>
      </c>
      <c r="HY9" s="50">
        <v>0</v>
      </c>
      <c r="HZ9" s="50">
        <v>334.46244689000002</v>
      </c>
      <c r="IA9" s="50">
        <v>384.87327521999998</v>
      </c>
      <c r="IB9" s="50">
        <v>0</v>
      </c>
      <c r="IC9" s="50">
        <v>384.87327522000004</v>
      </c>
      <c r="ID9" s="50">
        <v>401.5424829100001</v>
      </c>
      <c r="IE9" s="50">
        <v>0</v>
      </c>
      <c r="IF9" s="50">
        <v>401.54248291000005</v>
      </c>
      <c r="IG9" s="50">
        <v>412.33073578000017</v>
      </c>
      <c r="IH9" s="50">
        <v>0</v>
      </c>
      <c r="II9" s="50">
        <v>412.33073578</v>
      </c>
      <c r="IJ9" s="50">
        <v>378.14469743999996</v>
      </c>
      <c r="IK9" s="50">
        <v>0</v>
      </c>
      <c r="IL9" s="50">
        <v>378.14469743999996</v>
      </c>
      <c r="IM9" s="50">
        <v>381.52754453000006</v>
      </c>
      <c r="IN9" s="50">
        <v>0</v>
      </c>
      <c r="IO9" s="50">
        <v>381.52754453000006</v>
      </c>
      <c r="IP9" s="50">
        <v>375.72768970999999</v>
      </c>
      <c r="IQ9" s="50">
        <v>0</v>
      </c>
      <c r="IR9" s="50">
        <v>375.72768970999999</v>
      </c>
      <c r="IS9" s="50">
        <v>349.96090717999982</v>
      </c>
      <c r="IT9" s="50">
        <v>0</v>
      </c>
      <c r="IU9" s="50">
        <v>349.96090717999999</v>
      </c>
      <c r="IV9" s="50">
        <v>372.87125828000001</v>
      </c>
      <c r="IW9" s="50">
        <v>0</v>
      </c>
      <c r="IX9" s="50">
        <v>372.87125828000001</v>
      </c>
      <c r="IY9" s="50">
        <v>384.59672828000009</v>
      </c>
      <c r="IZ9" s="50">
        <v>0</v>
      </c>
      <c r="JA9" s="50">
        <v>384.59672828000009</v>
      </c>
      <c r="JB9" s="50">
        <f t="shared" ref="JB9:JB73" si="36">HR9+HU9+HX9+IA9+ID9+IG9+IJ9+IM9+IP9+IS9+IV9+IY9</f>
        <v>4482.7432469899995</v>
      </c>
      <c r="JC9" s="50">
        <f t="shared" ref="JC9:JC73" si="37">HS9+HV9+HY9+IB9+IE9+IH9+IK9+IN9+IQ9+IT9+IW9+IZ9</f>
        <v>0</v>
      </c>
      <c r="JD9" s="50">
        <f t="shared" ref="JD9:JD73" si="38">HT9+HW9+HZ9+IC9+IF9+II9+IL9+IO9+IR9+IU9+IX9+JA9</f>
        <v>4482.7432469900004</v>
      </c>
      <c r="JE9" s="50">
        <f t="shared" si="4"/>
        <v>4482.7432469999994</v>
      </c>
      <c r="JF9" s="50"/>
      <c r="JG9" s="50">
        <f>JG10+JG16+JG30</f>
        <v>4482.7432469999994</v>
      </c>
      <c r="JH9" s="50">
        <v>377.19976792</v>
      </c>
      <c r="JI9" s="50">
        <v>0</v>
      </c>
      <c r="JJ9" s="50">
        <v>377.19976791999983</v>
      </c>
      <c r="JK9" s="50">
        <v>315.48970028999992</v>
      </c>
      <c r="JL9" s="50">
        <v>0</v>
      </c>
      <c r="JM9" s="50">
        <v>315.48970029000009</v>
      </c>
      <c r="JN9" s="50">
        <v>306.25909339999987</v>
      </c>
      <c r="JO9" s="50">
        <v>0</v>
      </c>
      <c r="JP9" s="50">
        <v>306.25909339999998</v>
      </c>
      <c r="JQ9" s="50">
        <v>358.61955333999992</v>
      </c>
      <c r="JR9" s="50">
        <v>0</v>
      </c>
      <c r="JS9" s="50">
        <v>358.61955334000004</v>
      </c>
      <c r="JT9" s="50">
        <v>384.53934929999997</v>
      </c>
      <c r="JU9" s="50">
        <v>0</v>
      </c>
      <c r="JV9" s="50">
        <v>384.53934930000003</v>
      </c>
      <c r="JW9" s="50">
        <v>370.94338326000013</v>
      </c>
      <c r="JX9" s="50">
        <v>0</v>
      </c>
      <c r="JY9" s="50">
        <v>370.94338326000002</v>
      </c>
      <c r="JZ9" s="50">
        <v>376.41594456999997</v>
      </c>
      <c r="KA9" s="50">
        <v>0</v>
      </c>
      <c r="KB9" s="50">
        <v>376.41594456999991</v>
      </c>
      <c r="KC9" s="50">
        <v>383.69058945</v>
      </c>
      <c r="KD9" s="50">
        <v>0</v>
      </c>
      <c r="KE9" s="50">
        <v>383.69058944999995</v>
      </c>
      <c r="KF9" s="50">
        <v>411.25664524000018</v>
      </c>
      <c r="KG9" s="50">
        <v>0</v>
      </c>
      <c r="KH9" s="50">
        <v>411.25664524000007</v>
      </c>
      <c r="KI9" s="50">
        <v>392.26187330000005</v>
      </c>
      <c r="KJ9" s="50">
        <v>0</v>
      </c>
      <c r="KK9" s="50">
        <v>392.26187329999993</v>
      </c>
      <c r="KL9" s="50">
        <v>383.46451484999994</v>
      </c>
      <c r="KM9" s="50">
        <v>0</v>
      </c>
      <c r="KN9" s="50">
        <v>383.46451485</v>
      </c>
      <c r="KO9" s="50">
        <v>412.90124666999992</v>
      </c>
      <c r="KP9" s="50">
        <v>0</v>
      </c>
      <c r="KQ9" s="50">
        <v>412.90124667000003</v>
      </c>
      <c r="KR9" s="50">
        <f>JH9+JK9+JN9+JQ9+JT9+JW9+JZ9+KC9+KF9+KI9+KL9+KO9</f>
        <v>4473.0416615899994</v>
      </c>
      <c r="KS9" s="50">
        <f t="shared" ref="KS9:KS73" si="39">JI9+JL9+JO9+JR9+JU9+JX9+KA9+KD9+KG9+KJ9+KM9+KP9</f>
        <v>0</v>
      </c>
      <c r="KT9" s="50">
        <f>JJ9+JM9+JP9+JS9+JV9+JY9+KB9+KE9+KH9+KK9+KN9+KQ9</f>
        <v>4473.0416615899994</v>
      </c>
      <c r="KU9" s="50">
        <f t="shared" si="5"/>
        <v>4473.0416619999996</v>
      </c>
      <c r="KV9" s="50"/>
      <c r="KW9" s="50">
        <f>KW10+KW16+KW30</f>
        <v>4473.0416619999996</v>
      </c>
      <c r="KX9" s="50">
        <v>400.40063865999997</v>
      </c>
      <c r="KY9" s="50">
        <v>0</v>
      </c>
      <c r="KZ9" s="50">
        <v>400.40063865999997</v>
      </c>
      <c r="LA9" s="50">
        <v>344.71008008000001</v>
      </c>
      <c r="LB9" s="50">
        <v>0</v>
      </c>
      <c r="LC9" s="50">
        <v>344.71008007999984</v>
      </c>
      <c r="LD9" s="50">
        <v>294.20281910999989</v>
      </c>
      <c r="LE9" s="50">
        <v>0</v>
      </c>
      <c r="LF9" s="50">
        <v>294.20281911000006</v>
      </c>
      <c r="LG9" s="50">
        <v>344.88156530999993</v>
      </c>
      <c r="LH9" s="50">
        <v>0</v>
      </c>
      <c r="LI9" s="174">
        <v>344.88156530999998</v>
      </c>
      <c r="LJ9" s="174">
        <v>313.38276370000011</v>
      </c>
      <c r="LK9" s="50">
        <v>0</v>
      </c>
      <c r="LL9" s="174">
        <v>313.3827637</v>
      </c>
      <c r="LM9" s="174">
        <v>362.8305546800002</v>
      </c>
      <c r="LN9" s="50">
        <v>0</v>
      </c>
      <c r="LO9" s="174">
        <v>362.83055468000003</v>
      </c>
      <c r="LP9" s="50">
        <v>398.89850011999994</v>
      </c>
      <c r="LQ9" s="179"/>
      <c r="LR9" s="44">
        <v>398.89850011999994</v>
      </c>
      <c r="LS9" s="50">
        <v>414.32397161000006</v>
      </c>
      <c r="LU9" s="49">
        <v>414.32397160999994</v>
      </c>
      <c r="LV9" s="44">
        <v>414.96381475999999</v>
      </c>
      <c r="LW9" s="50">
        <v>0</v>
      </c>
      <c r="LX9" s="50">
        <v>414.96381475999993</v>
      </c>
      <c r="LY9" s="50">
        <v>441.61986197999988</v>
      </c>
      <c r="LZ9" s="50">
        <v>0</v>
      </c>
      <c r="MA9" s="50">
        <v>441.61986198</v>
      </c>
      <c r="MB9" s="50">
        <v>405.86028111000002</v>
      </c>
      <c r="MC9" s="50">
        <v>0</v>
      </c>
      <c r="MD9" s="50">
        <v>405.86028111000002</v>
      </c>
      <c r="ME9" s="50">
        <v>366.18819218000016</v>
      </c>
      <c r="MF9" s="50">
        <v>0</v>
      </c>
      <c r="MG9" s="50">
        <v>366.18819217999993</v>
      </c>
      <c r="MH9" s="50">
        <f t="shared" si="6"/>
        <v>4502.2630433000004</v>
      </c>
      <c r="MI9" s="50">
        <f t="shared" si="6"/>
        <v>0</v>
      </c>
      <c r="MJ9" s="50">
        <f t="shared" si="6"/>
        <v>4502.2630432999986</v>
      </c>
      <c r="MK9" s="50">
        <f t="shared" si="7"/>
        <v>4502.2630449999997</v>
      </c>
      <c r="ML9" s="50"/>
      <c r="MM9" s="50">
        <f>MM10+MM16+MM30</f>
        <v>4502.2630449999997</v>
      </c>
      <c r="MN9" s="50">
        <v>501.66005291000016</v>
      </c>
      <c r="MO9" s="50">
        <v>0</v>
      </c>
      <c r="MP9" s="50">
        <v>501.66005291000016</v>
      </c>
      <c r="MQ9" s="50">
        <v>363.23183630999995</v>
      </c>
      <c r="MR9" s="50">
        <v>0</v>
      </c>
      <c r="MS9" s="50">
        <v>363.23183630999995</v>
      </c>
      <c r="MT9" s="50">
        <v>270.63567231000007</v>
      </c>
      <c r="MU9" s="50">
        <v>0</v>
      </c>
      <c r="MV9" s="50">
        <v>270.63567231000007</v>
      </c>
      <c r="MW9" s="50">
        <v>558.38677495999991</v>
      </c>
      <c r="MX9" s="50">
        <v>0</v>
      </c>
      <c r="MY9" s="50">
        <v>558.38677496000014</v>
      </c>
      <c r="MZ9" s="50">
        <v>451.3903059299999</v>
      </c>
      <c r="NA9" s="50">
        <v>0</v>
      </c>
      <c r="NB9" s="50">
        <v>451.39030593000001</v>
      </c>
      <c r="NC9" s="50">
        <v>411.20441355000014</v>
      </c>
      <c r="ND9" s="50">
        <v>0</v>
      </c>
      <c r="NE9" s="50">
        <v>411.20441354999997</v>
      </c>
      <c r="NF9" s="50">
        <v>513.59755319999999</v>
      </c>
      <c r="NG9" s="50">
        <v>0</v>
      </c>
      <c r="NH9" s="50">
        <v>513.59755319999999</v>
      </c>
      <c r="NI9" s="50">
        <v>480.20368938000018</v>
      </c>
      <c r="NJ9" s="50">
        <v>0</v>
      </c>
      <c r="NK9" s="50">
        <v>480.20368938000001</v>
      </c>
      <c r="NL9" s="50">
        <v>465.10694612999998</v>
      </c>
      <c r="NM9" s="50">
        <v>0</v>
      </c>
      <c r="NN9" s="50">
        <v>465.10694612999993</v>
      </c>
      <c r="NO9" s="50">
        <v>453.87161052000005</v>
      </c>
      <c r="NP9" s="50">
        <v>0</v>
      </c>
      <c r="NQ9" s="50">
        <v>453.8716105200001</v>
      </c>
      <c r="NR9" s="50">
        <v>471.57664749999998</v>
      </c>
      <c r="NS9" s="50">
        <v>0</v>
      </c>
      <c r="NT9" s="50">
        <v>471.57664749999992</v>
      </c>
      <c r="NU9" s="50">
        <v>388.28343109999997</v>
      </c>
      <c r="NV9" s="50">
        <v>0</v>
      </c>
      <c r="NW9" s="50">
        <v>388.28343110000003</v>
      </c>
      <c r="NX9" s="50">
        <f>MN9+MQ9+MT9+MW9+MZ9+NC9+NF9+NI9+NL9+NO9+NR9+NU9</f>
        <v>5329.1489338000001</v>
      </c>
      <c r="NY9" s="50">
        <f t="shared" ref="NY9:NY73" si="40">MO9+MR9+MU9+MX9+NA9+ND9+NG9+NJ9+NM9+NP9+NS9+NV9</f>
        <v>0</v>
      </c>
      <c r="NZ9" s="50">
        <f t="shared" ref="NZ9:NZ73" si="41">MP9+MS9+MV9+MY9+NB9+NE9+NH9+NK9+NN9+NQ9+NT9+NW9</f>
        <v>5329.1489338000001</v>
      </c>
      <c r="OA9" s="50">
        <f t="shared" si="8"/>
        <v>5329.1488529999997</v>
      </c>
      <c r="OB9" s="50"/>
      <c r="OC9" s="50">
        <f>OC10+OC16+OC30+OC31</f>
        <v>5329.1488529999997</v>
      </c>
      <c r="OD9" s="50">
        <v>441.05471844000004</v>
      </c>
      <c r="OE9" s="50"/>
      <c r="OF9" s="50">
        <v>441.05471844000004</v>
      </c>
      <c r="OG9" s="50">
        <v>427.23047408000002</v>
      </c>
      <c r="OH9" s="50"/>
      <c r="OI9" s="50">
        <v>427.23047408000002</v>
      </c>
      <c r="OJ9" s="50">
        <v>398.85862550000007</v>
      </c>
      <c r="OK9" s="50"/>
      <c r="OL9" s="50">
        <v>398.85862550000007</v>
      </c>
      <c r="OM9" s="50">
        <v>537.54737823999994</v>
      </c>
      <c r="ON9" s="50"/>
      <c r="OO9" s="50">
        <v>537.54737823999994</v>
      </c>
      <c r="OP9" s="50">
        <v>519.47499111999991</v>
      </c>
      <c r="OQ9" s="50"/>
      <c r="OR9" s="50">
        <v>519.47499111999991</v>
      </c>
      <c r="OS9" s="50">
        <v>426.91886314000004</v>
      </c>
      <c r="OT9" s="50"/>
      <c r="OU9" s="50">
        <v>426.91886314000004</v>
      </c>
      <c r="OV9" s="50">
        <v>555.02523882000014</v>
      </c>
      <c r="OW9" s="50"/>
      <c r="OX9" s="50">
        <v>555.02523882000014</v>
      </c>
      <c r="OY9" s="94">
        <v>490.66822314000001</v>
      </c>
      <c r="OZ9" s="50"/>
      <c r="PA9" s="94">
        <v>490.66822314000001</v>
      </c>
      <c r="PB9" s="50">
        <v>508.73060019999991</v>
      </c>
      <c r="PC9" s="50"/>
      <c r="PD9" s="50">
        <v>508.73060019999991</v>
      </c>
      <c r="PE9" s="50">
        <v>526.64794801000005</v>
      </c>
      <c r="PF9" s="50"/>
      <c r="PG9" s="50">
        <v>526.64794801000005</v>
      </c>
      <c r="PH9" s="50">
        <v>568.02136169000005</v>
      </c>
      <c r="PI9" s="50"/>
      <c r="PJ9" s="50">
        <v>568.02136169000005</v>
      </c>
      <c r="PK9" s="50">
        <v>678.0879532099998</v>
      </c>
      <c r="PL9" s="50"/>
      <c r="PM9" s="50">
        <v>678.0879532099998</v>
      </c>
      <c r="PN9" s="50">
        <f>OD9+OG9+OJ9+OM9+OP9+OS9+OV9+OY9+PB9+PE9+PH9+PK9</f>
        <v>6078.2663755899994</v>
      </c>
      <c r="PO9" s="50">
        <f t="shared" ref="PO9:PO38" si="42">OE9+OH9+OK9+ON9+OQ9+OT9+OW9+OZ9+PC9+PF9+PI9+PL9</f>
        <v>0</v>
      </c>
      <c r="PP9" s="50">
        <f t="shared" ref="PP9:PP43" si="43">OF9+OI9+OL9+OO9+OR9+OU9+OX9+PA9+PD9+PG9+PJ9+PM9</f>
        <v>6078.2663755899994</v>
      </c>
      <c r="PQ9" s="50">
        <f t="shared" si="9"/>
        <v>6078.2663739999998</v>
      </c>
      <c r="PR9" s="50"/>
      <c r="PS9" s="50">
        <f>PS10+PS16+PS30+PS31</f>
        <v>6078.2663739999998</v>
      </c>
      <c r="PT9" s="50">
        <v>530.62141647999999</v>
      </c>
      <c r="PU9" s="50"/>
      <c r="PV9" s="50">
        <v>530.62141647999999</v>
      </c>
      <c r="PW9" s="50">
        <v>491.84947309999995</v>
      </c>
      <c r="PX9" s="50"/>
      <c r="PY9" s="50">
        <v>491.84947309999995</v>
      </c>
      <c r="PZ9" s="50">
        <v>473.80196955000002</v>
      </c>
      <c r="QA9" s="50"/>
      <c r="QB9" s="50">
        <v>473.80196955000002</v>
      </c>
      <c r="QC9" s="50">
        <v>597.76315932</v>
      </c>
      <c r="QD9" s="50"/>
      <c r="QE9" s="50">
        <v>597.76315932</v>
      </c>
      <c r="QF9" s="50">
        <v>555.30232963999981</v>
      </c>
      <c r="QG9" s="50"/>
      <c r="QH9" s="50">
        <v>555.30232963999981</v>
      </c>
      <c r="QI9" s="50">
        <v>512.43071272999998</v>
      </c>
      <c r="QJ9" s="50"/>
      <c r="QK9" s="50">
        <v>512.43071272999998</v>
      </c>
      <c r="QL9" s="50">
        <v>561.17271968999989</v>
      </c>
      <c r="QM9" s="50"/>
      <c r="QN9" s="50">
        <v>561.17271968999989</v>
      </c>
      <c r="QO9" s="50">
        <v>529.50198072000012</v>
      </c>
      <c r="QP9" s="50"/>
      <c r="QQ9" s="50">
        <v>529.50198072000012</v>
      </c>
      <c r="QR9" s="50">
        <v>580.91849840999987</v>
      </c>
      <c r="QS9" s="50"/>
      <c r="QT9" s="50">
        <v>580.91849840999987</v>
      </c>
      <c r="QU9" s="50">
        <v>599.80087651999986</v>
      </c>
      <c r="QV9" s="50"/>
      <c r="QW9" s="50">
        <v>599.80087651999986</v>
      </c>
      <c r="QX9" s="50">
        <v>489.14367181000006</v>
      </c>
      <c r="QY9" s="50"/>
      <c r="QZ9" s="50">
        <v>489.14367181000006</v>
      </c>
      <c r="RA9" s="50">
        <v>668.85324628000001</v>
      </c>
      <c r="RB9" s="50"/>
      <c r="RC9" s="50">
        <v>668.85324628000001</v>
      </c>
      <c r="RD9" s="50">
        <f t="shared" si="10"/>
        <v>6591.16005425</v>
      </c>
      <c r="RE9" s="50">
        <f t="shared" si="10"/>
        <v>0</v>
      </c>
      <c r="RF9" s="50">
        <f t="shared" si="10"/>
        <v>6591.16005425</v>
      </c>
      <c r="RG9" s="50">
        <f t="shared" si="11"/>
        <v>6591.1600539999999</v>
      </c>
      <c r="RH9" s="50"/>
      <c r="RI9" s="50">
        <f>RI10+RI16+RI30+RI31</f>
        <v>6591.1600539999999</v>
      </c>
      <c r="RJ9" s="50">
        <v>484.44294244000008</v>
      </c>
      <c r="RK9" s="50"/>
      <c r="RL9" s="50">
        <v>484.44294244000008</v>
      </c>
      <c r="RM9" s="50">
        <v>459.78999520000008</v>
      </c>
      <c r="RN9" s="50"/>
      <c r="RO9" s="50">
        <v>459.78999520000008</v>
      </c>
      <c r="RP9" s="50">
        <v>515.63722583000003</v>
      </c>
      <c r="RQ9" s="50"/>
      <c r="RR9" s="50">
        <v>515.63722583000003</v>
      </c>
      <c r="RS9" s="50">
        <v>539.15483570999993</v>
      </c>
      <c r="RT9" s="50"/>
      <c r="RU9" s="50">
        <v>539.15483570999993</v>
      </c>
      <c r="RV9" s="50">
        <v>636.49901148000004</v>
      </c>
      <c r="RW9" s="50"/>
      <c r="RX9" s="50">
        <v>636.49901148000004</v>
      </c>
      <c r="RY9" s="50">
        <v>653.09398104999991</v>
      </c>
      <c r="RZ9" s="50"/>
      <c r="SA9" s="50">
        <v>653.09398104999991</v>
      </c>
      <c r="SB9" s="50">
        <v>592.88925432000008</v>
      </c>
      <c r="SC9" s="50"/>
      <c r="SD9" s="50">
        <v>592.88925432000008</v>
      </c>
      <c r="SE9" s="50">
        <v>566.77015855000002</v>
      </c>
      <c r="SF9" s="50"/>
      <c r="SG9" s="50">
        <v>566.77015855000002</v>
      </c>
      <c r="SH9" s="50">
        <v>614.59500894000007</v>
      </c>
      <c r="SI9" s="50"/>
      <c r="SJ9" s="50">
        <v>614.59500894000007</v>
      </c>
      <c r="SK9" s="50">
        <v>576.27594795999994</v>
      </c>
      <c r="SL9" s="50"/>
      <c r="SM9" s="50">
        <v>576.27594795999994</v>
      </c>
      <c r="SN9" s="50">
        <v>565.90778106000005</v>
      </c>
      <c r="SO9" s="50"/>
      <c r="SP9" s="50">
        <v>565.90778106000005</v>
      </c>
      <c r="SQ9" s="50">
        <v>769.77501732999997</v>
      </c>
      <c r="SR9" s="50"/>
      <c r="SS9" s="50">
        <v>769.77501732999997</v>
      </c>
      <c r="ST9" s="50">
        <f t="shared" si="12"/>
        <v>6974.8311598700011</v>
      </c>
      <c r="SU9" s="50">
        <f t="shared" si="13"/>
        <v>0</v>
      </c>
      <c r="SV9" s="50">
        <f t="shared" si="14"/>
        <v>6974.8311598700011</v>
      </c>
      <c r="SW9" s="50">
        <f t="shared" ref="SW9:SW38" si="44">SY9-SX9</f>
        <v>6974.8311619999995</v>
      </c>
      <c r="SX9" s="50"/>
      <c r="SY9" s="50">
        <f>SY10+SY16+SY30+SY31</f>
        <v>6974.8311619999995</v>
      </c>
      <c r="SZ9" s="50">
        <v>615.66576881000003</v>
      </c>
      <c r="TA9" s="50"/>
      <c r="TB9" s="50">
        <v>615.66576881000003</v>
      </c>
      <c r="TC9" s="50">
        <v>524.0741346399999</v>
      </c>
      <c r="TD9" s="50"/>
      <c r="TE9" s="50">
        <v>524.0741346399999</v>
      </c>
      <c r="TF9" s="50">
        <v>417.02217805999999</v>
      </c>
      <c r="TG9" s="50"/>
      <c r="TH9" s="50">
        <v>417.02217805999999</v>
      </c>
      <c r="TI9" s="50">
        <v>599.82829219999996</v>
      </c>
      <c r="TJ9" s="50"/>
      <c r="TK9" s="50">
        <v>599.82829219999996</v>
      </c>
      <c r="TL9" s="50">
        <v>640.80761399999994</v>
      </c>
      <c r="TM9" s="50"/>
      <c r="TN9" s="50">
        <v>640.80761399999994</v>
      </c>
      <c r="TO9" s="50">
        <v>698.75294210999994</v>
      </c>
      <c r="TP9" s="50"/>
      <c r="TQ9" s="50">
        <v>698.75294210999994</v>
      </c>
      <c r="TR9" s="50">
        <v>618.66051491999997</v>
      </c>
      <c r="TS9" s="50"/>
      <c r="TT9" s="50">
        <v>618.66051491999997</v>
      </c>
      <c r="TU9" s="50">
        <v>628.47730733999992</v>
      </c>
      <c r="TV9" s="50"/>
      <c r="TW9" s="50">
        <v>628.47730733999992</v>
      </c>
      <c r="TX9" s="50">
        <v>605.63459726000008</v>
      </c>
      <c r="TY9" s="50"/>
      <c r="TZ9" s="50">
        <v>605.63459726000008</v>
      </c>
      <c r="UA9" s="50">
        <v>616.28288934000022</v>
      </c>
      <c r="UB9" s="50"/>
      <c r="UC9" s="50">
        <v>616.28288934000022</v>
      </c>
      <c r="UD9" s="50">
        <v>588.85493669000005</v>
      </c>
      <c r="UE9" s="50"/>
      <c r="UF9" s="50">
        <v>588.85493669000005</v>
      </c>
      <c r="UG9" s="50">
        <v>712.64112317999991</v>
      </c>
      <c r="UH9" s="50"/>
      <c r="UI9" s="50">
        <v>712.64112317999991</v>
      </c>
      <c r="UJ9" s="50">
        <f t="shared" ref="UJ9:UJ71" si="45">SZ9+TC9+TF9+TI9+TL9+TO9+TR9+TU9+TX9+UA9+UD9+UG9</f>
        <v>7266.7022985499998</v>
      </c>
      <c r="UK9" s="50">
        <f t="shared" si="15"/>
        <v>0</v>
      </c>
      <c r="UL9" s="50">
        <f t="shared" si="16"/>
        <v>7266.7022985499998</v>
      </c>
      <c r="UM9" s="50">
        <v>629.24291197999992</v>
      </c>
      <c r="UN9" s="50"/>
      <c r="UO9" s="50">
        <v>629.24291197999992</v>
      </c>
      <c r="UP9" s="50">
        <v>579.76194249999992</v>
      </c>
      <c r="UQ9" s="50"/>
      <c r="UR9" s="50">
        <v>579.76194249999992</v>
      </c>
      <c r="US9" s="50">
        <v>451.68895560999999</v>
      </c>
      <c r="UT9" s="50"/>
      <c r="UU9" s="50">
        <v>451.68895560999999</v>
      </c>
      <c r="UV9" s="50">
        <v>650.38999021999996</v>
      </c>
      <c r="UW9" s="50"/>
      <c r="UX9" s="50">
        <v>650.38999021999996</v>
      </c>
      <c r="UY9" s="50"/>
      <c r="UZ9" s="50"/>
      <c r="VA9" s="50"/>
      <c r="VB9" s="50"/>
      <c r="VC9" s="50"/>
      <c r="VD9" s="50"/>
      <c r="VE9" s="50"/>
      <c r="VF9" s="50"/>
      <c r="VG9" s="50"/>
      <c r="VH9" s="50"/>
      <c r="VI9" s="50"/>
      <c r="VJ9" s="50"/>
      <c r="VK9" s="50"/>
      <c r="VL9" s="50"/>
      <c r="VM9" s="50"/>
      <c r="VN9" s="50"/>
      <c r="VO9" s="50"/>
      <c r="VP9" s="50"/>
      <c r="VQ9" s="50"/>
      <c r="VR9" s="50"/>
      <c r="VS9" s="50"/>
      <c r="VT9" s="50"/>
      <c r="VU9" s="50"/>
      <c r="VV9" s="50"/>
      <c r="VW9" s="276">
        <f t="shared" si="17"/>
        <v>2156.5903739999999</v>
      </c>
      <c r="VX9" s="292">
        <f t="shared" si="17"/>
        <v>0</v>
      </c>
      <c r="VY9" s="292">
        <f t="shared" si="17"/>
        <v>2156.5903739999999</v>
      </c>
      <c r="VZ9" s="276">
        <f t="shared" si="18"/>
        <v>2311.0837999999999</v>
      </c>
      <c r="WA9" s="292">
        <f t="shared" si="18"/>
        <v>0</v>
      </c>
      <c r="WB9" s="292">
        <f t="shared" si="18"/>
        <v>2311.0837999999999</v>
      </c>
      <c r="WC9" s="277">
        <f t="shared" si="19"/>
        <v>154.493426</v>
      </c>
      <c r="WD9" s="277">
        <f t="shared" si="20"/>
        <v>7.1637816741919664</v>
      </c>
    </row>
    <row r="10" spans="1:602" s="12" customFormat="1" ht="20.5">
      <c r="A10" s="46" t="s">
        <v>30</v>
      </c>
      <c r="C10" s="46" t="s">
        <v>31</v>
      </c>
      <c r="D10" s="45">
        <v>834.11346548966719</v>
      </c>
      <c r="E10" s="42">
        <v>1007.1901184398496</v>
      </c>
      <c r="F10" s="42">
        <v>457.71547686125859</v>
      </c>
      <c r="G10" s="42">
        <v>380.96620252588207</v>
      </c>
      <c r="H10" s="42">
        <v>29.993419217875825</v>
      </c>
      <c r="I10" s="42">
        <v>32.267586695579425</v>
      </c>
      <c r="J10" s="42">
        <v>33.551907786523699</v>
      </c>
      <c r="K10" s="42">
        <v>39.884949431135851</v>
      </c>
      <c r="L10" s="42">
        <v>55.067751464135092</v>
      </c>
      <c r="M10" s="42">
        <v>30.584188479291523</v>
      </c>
      <c r="N10" s="42">
        <v>49.184761327482491</v>
      </c>
      <c r="O10" s="42">
        <v>37.375450338928069</v>
      </c>
      <c r="P10" s="42">
        <v>37.953139139788618</v>
      </c>
      <c r="Q10" s="42">
        <v>42.394613576473674</v>
      </c>
      <c r="R10" s="42">
        <v>44.991794298268083</v>
      </c>
      <c r="S10" s="42">
        <v>49.376094899858288</v>
      </c>
      <c r="T10" s="42">
        <v>482.62565665534061</v>
      </c>
      <c r="U10" s="42">
        <v>0</v>
      </c>
      <c r="V10" s="42">
        <v>482.62565665534061</v>
      </c>
      <c r="W10" s="42">
        <v>482.62565665534061</v>
      </c>
      <c r="X10" s="42">
        <v>41.206396093363161</v>
      </c>
      <c r="Y10" s="42">
        <v>41.397749585944304</v>
      </c>
      <c r="Z10" s="42">
        <v>40.174892288603935</v>
      </c>
      <c r="AA10" s="42">
        <v>49.574113124000434</v>
      </c>
      <c r="AB10" s="42">
        <v>69.62875282440055</v>
      </c>
      <c r="AC10" s="42">
        <v>56.002299360845988</v>
      </c>
      <c r="AD10" s="42">
        <v>51.243299696643739</v>
      </c>
      <c r="AE10" s="42">
        <v>47.691490088274968</v>
      </c>
      <c r="AF10" s="42">
        <v>44.532874030312861</v>
      </c>
      <c r="AG10" s="42">
        <v>51.076650104438791</v>
      </c>
      <c r="AH10" s="42">
        <v>52.636321079561306</v>
      </c>
      <c r="AI10" s="42">
        <v>50.034728032282125</v>
      </c>
      <c r="AJ10" s="42">
        <f t="shared" ref="AJ10:AJ32" si="46">AL10</f>
        <v>595.19956630867227</v>
      </c>
      <c r="AK10" s="42">
        <v>0</v>
      </c>
      <c r="AL10" s="42">
        <v>595.19956630867227</v>
      </c>
      <c r="AM10" s="42">
        <v>595.19956630867205</v>
      </c>
      <c r="AN10" s="42">
        <v>52.634101399536711</v>
      </c>
      <c r="AO10" s="42">
        <v>45.079097443953081</v>
      </c>
      <c r="AP10" s="42">
        <v>47.821541994638622</v>
      </c>
      <c r="AQ10" s="42">
        <v>58.519341096521941</v>
      </c>
      <c r="AR10" s="42">
        <v>78.07633849551226</v>
      </c>
      <c r="AS10" s="42">
        <v>37.633715801276033</v>
      </c>
      <c r="AT10" s="42">
        <v>52.83452569991065</v>
      </c>
      <c r="AU10" s="42">
        <v>48.092513702255538</v>
      </c>
      <c r="AV10" s="42">
        <v>47.917651293959629</v>
      </c>
      <c r="AW10" s="42">
        <v>49.344891321051108</v>
      </c>
      <c r="AX10" s="42">
        <v>52.7122497879921</v>
      </c>
      <c r="AY10" s="42">
        <v>57.768875817439856</v>
      </c>
      <c r="AZ10" s="42">
        <v>628.43484385404747</v>
      </c>
      <c r="BA10" s="42"/>
      <c r="BB10" s="42">
        <v>628.43484385404747</v>
      </c>
      <c r="BC10" s="45">
        <f t="shared" si="21"/>
        <v>628.43484385404747</v>
      </c>
      <c r="BD10" s="45"/>
      <c r="BE10" s="45">
        <v>628.43484385404747</v>
      </c>
      <c r="BF10" s="44">
        <f t="shared" ref="BF10:BL10" si="47">BF11+BF13</f>
        <v>49.229812000000003</v>
      </c>
      <c r="BG10" s="118">
        <f t="shared" si="47"/>
        <v>0</v>
      </c>
      <c r="BH10" s="50">
        <f t="shared" si="47"/>
        <v>49.229812000000003</v>
      </c>
      <c r="BI10" s="44">
        <f t="shared" si="47"/>
        <v>47.417209999999997</v>
      </c>
      <c r="BJ10" s="119">
        <f t="shared" si="47"/>
        <v>0</v>
      </c>
      <c r="BK10" s="50">
        <f t="shared" si="47"/>
        <v>47.417209999999997</v>
      </c>
      <c r="BL10" s="44">
        <f t="shared" si="47"/>
        <v>50.481802000000002</v>
      </c>
      <c r="BM10" s="50"/>
      <c r="BN10" s="50">
        <f>BN11+BN13</f>
        <v>50.481802000000002</v>
      </c>
      <c r="BO10" s="44">
        <f>BO11+BO13</f>
        <v>67.977159999999998</v>
      </c>
      <c r="BP10" s="50"/>
      <c r="BQ10" s="50">
        <f>BQ11+BQ13</f>
        <v>67.977159999999998</v>
      </c>
      <c r="BR10" s="44">
        <f>BR11+BR13</f>
        <v>56.500916000000004</v>
      </c>
      <c r="BS10" s="50"/>
      <c r="BT10" s="50">
        <f>BT11+BT13</f>
        <v>56.500916000000004</v>
      </c>
      <c r="BU10" s="44">
        <f>BU11+BU13</f>
        <v>45.738138999999997</v>
      </c>
      <c r="BV10" s="50"/>
      <c r="BW10" s="50">
        <f>BW11+BW13</f>
        <v>45.738138999999997</v>
      </c>
      <c r="BX10" s="44">
        <f>BX11+BX13</f>
        <v>52.723157999999998</v>
      </c>
      <c r="BY10" s="50"/>
      <c r="BZ10" s="50">
        <f>BZ11+BZ13</f>
        <v>52.723157999999998</v>
      </c>
      <c r="CA10" s="44">
        <f>CA11+CA13</f>
        <v>53.005702999999997</v>
      </c>
      <c r="CB10" s="50"/>
      <c r="CC10" s="50">
        <f>CC11+CC13</f>
        <v>53.005702999999997</v>
      </c>
      <c r="CD10" s="44">
        <f>CD11+CD13</f>
        <v>47.029685610000001</v>
      </c>
      <c r="CE10" s="50"/>
      <c r="CF10" s="50">
        <f>CF11+CF13</f>
        <v>47.029685610000001</v>
      </c>
      <c r="CG10" s="44">
        <f>CG11+CG13</f>
        <v>51.993310479999998</v>
      </c>
      <c r="CH10" s="50"/>
      <c r="CI10" s="50">
        <f>CI11+CI13</f>
        <v>51.993310479999998</v>
      </c>
      <c r="CJ10" s="44">
        <f>CJ11+CJ13</f>
        <v>51.453550219999997</v>
      </c>
      <c r="CK10" s="45"/>
      <c r="CL10" s="50">
        <f>CL11+CL13</f>
        <v>51.453550219999997</v>
      </c>
      <c r="CM10" s="44">
        <f>CM11+CM13</f>
        <v>58.445566259999993</v>
      </c>
      <c r="CN10" s="45"/>
      <c r="CO10" s="50">
        <f>CO11+CO13</f>
        <v>58.445566259999993</v>
      </c>
      <c r="CP10" s="50">
        <f t="shared" si="24"/>
        <v>631.99601256999995</v>
      </c>
      <c r="CQ10" s="50">
        <f t="shared" si="25"/>
        <v>0</v>
      </c>
      <c r="CR10" s="50">
        <f t="shared" si="26"/>
        <v>631.99601256999995</v>
      </c>
      <c r="CS10" s="45">
        <f t="shared" si="2"/>
        <v>631.99601299999995</v>
      </c>
      <c r="CT10" s="45"/>
      <c r="CU10" s="45">
        <f>CU11+CU13</f>
        <v>631.99601299999995</v>
      </c>
      <c r="CV10" s="44">
        <f>CV11+CV13</f>
        <v>51.525868010000003</v>
      </c>
      <c r="CW10" s="45"/>
      <c r="CX10" s="50">
        <f>CX11+CX13</f>
        <v>51.525868010000003</v>
      </c>
      <c r="CY10" s="44">
        <v>49.681990200000001</v>
      </c>
      <c r="CZ10" s="45"/>
      <c r="DA10" s="50">
        <v>49.681990200000001</v>
      </c>
      <c r="DB10" s="44">
        <v>56.646853530000001</v>
      </c>
      <c r="DC10" s="45"/>
      <c r="DD10" s="50">
        <v>56.646853530000001</v>
      </c>
      <c r="DE10" s="44">
        <v>62.481822030000004</v>
      </c>
      <c r="DF10" s="45"/>
      <c r="DG10" s="50">
        <v>62.481822030000004</v>
      </c>
      <c r="DH10" s="44">
        <v>76.764116239999993</v>
      </c>
      <c r="DI10" s="45"/>
      <c r="DJ10" s="50">
        <v>76.764116239999993</v>
      </c>
      <c r="DK10" s="44">
        <v>39.026170380000003</v>
      </c>
      <c r="DL10" s="45"/>
      <c r="DM10" s="50">
        <v>39.026170380000003</v>
      </c>
      <c r="DN10" s="44">
        <v>52.200332160000002</v>
      </c>
      <c r="DO10" s="45"/>
      <c r="DP10" s="50">
        <v>52.200332160000002</v>
      </c>
      <c r="DQ10" s="44">
        <v>57.300587039999996</v>
      </c>
      <c r="DR10" s="45"/>
      <c r="DS10" s="50">
        <v>57.300587039999996</v>
      </c>
      <c r="DT10" s="44">
        <v>52.712190039999996</v>
      </c>
      <c r="DU10" s="45"/>
      <c r="DV10" s="50">
        <v>52.712190039999996</v>
      </c>
      <c r="DW10" s="44">
        <v>57.965935389999999</v>
      </c>
      <c r="DX10" s="45"/>
      <c r="DY10" s="50">
        <v>57.965935389999999</v>
      </c>
      <c r="DZ10" s="44">
        <v>55.149281469999998</v>
      </c>
      <c r="EA10" s="45"/>
      <c r="EB10" s="50">
        <v>55.149281469999998</v>
      </c>
      <c r="EC10" s="44">
        <v>60.444753419999998</v>
      </c>
      <c r="ED10" s="45"/>
      <c r="EE10" s="50">
        <v>60.444753419999998</v>
      </c>
      <c r="EF10" s="50">
        <f t="shared" si="27"/>
        <v>671.89989990999993</v>
      </c>
      <c r="EG10" s="50">
        <f t="shared" si="28"/>
        <v>0</v>
      </c>
      <c r="EH10" s="50">
        <f t="shared" si="29"/>
        <v>671.89989990999993</v>
      </c>
      <c r="EI10" s="50">
        <f>EK10-EJ10</f>
        <v>671.89989990999993</v>
      </c>
      <c r="EJ10" s="50"/>
      <c r="EK10" s="50">
        <f>EK11+EK13</f>
        <v>671.89989990999993</v>
      </c>
      <c r="EL10" s="50">
        <v>53.86610237</v>
      </c>
      <c r="EM10" s="50"/>
      <c r="EN10" s="50">
        <v>53.86610237</v>
      </c>
      <c r="EO10" s="50">
        <v>52.580425980000001</v>
      </c>
      <c r="EP10" s="50"/>
      <c r="EQ10" s="50">
        <v>52.580425980000001</v>
      </c>
      <c r="ER10" s="50">
        <v>51.176589929999999</v>
      </c>
      <c r="ES10" s="50"/>
      <c r="ET10" s="50">
        <v>51.176589929999999</v>
      </c>
      <c r="EU10" s="50">
        <v>75.358869999999996</v>
      </c>
      <c r="EV10" s="50"/>
      <c r="EW10" s="50">
        <v>75.358869999999996</v>
      </c>
      <c r="EX10" s="50">
        <v>82.104477270000004</v>
      </c>
      <c r="EY10" s="50"/>
      <c r="EZ10" s="50">
        <v>82.104477270000004</v>
      </c>
      <c r="FA10" s="50">
        <v>53.163619019999999</v>
      </c>
      <c r="FB10" s="50"/>
      <c r="FC10" s="50">
        <v>53.163619019999999</v>
      </c>
      <c r="FD10" s="50">
        <v>53.885720110000008</v>
      </c>
      <c r="FE10" s="50"/>
      <c r="FF10" s="50">
        <v>53.885720110000008</v>
      </c>
      <c r="FG10" s="50">
        <v>65.695722709999998</v>
      </c>
      <c r="FH10" s="50"/>
      <c r="FI10" s="50">
        <v>65.695722709999998</v>
      </c>
      <c r="FJ10" s="50">
        <v>54.830768469999995</v>
      </c>
      <c r="FK10" s="50"/>
      <c r="FL10" s="50">
        <v>54.830768469999995</v>
      </c>
      <c r="FM10" s="50">
        <v>71.878248540000001</v>
      </c>
      <c r="FN10" s="50"/>
      <c r="FO10" s="50">
        <v>71.878248540000001</v>
      </c>
      <c r="FP10" s="50">
        <v>58.630935610000002</v>
      </c>
      <c r="FQ10" s="50"/>
      <c r="FR10" s="50">
        <v>58.630935610000002</v>
      </c>
      <c r="FS10" s="50">
        <v>67.85660141000001</v>
      </c>
      <c r="FT10" s="50"/>
      <c r="FU10" s="50">
        <v>67.85660141000001</v>
      </c>
      <c r="FV10" s="50">
        <f t="shared" si="30"/>
        <v>741.02808142000003</v>
      </c>
      <c r="FW10" s="50">
        <f t="shared" si="31"/>
        <v>0</v>
      </c>
      <c r="FX10" s="50">
        <f t="shared" si="32"/>
        <v>741.02808142000003</v>
      </c>
      <c r="FY10" s="50">
        <f>GA10-FZ10</f>
        <v>741.02808100000004</v>
      </c>
      <c r="FZ10" s="50"/>
      <c r="GA10" s="50">
        <f>GA11+GA13+GA14</f>
        <v>741.02808100000004</v>
      </c>
      <c r="GB10" s="50">
        <v>65.099382030000001</v>
      </c>
      <c r="GC10" s="50"/>
      <c r="GD10" s="50">
        <v>65.099382030000001</v>
      </c>
      <c r="GE10" s="50">
        <v>65.200445979999998</v>
      </c>
      <c r="GF10" s="50"/>
      <c r="GG10" s="50">
        <v>65.200445979999998</v>
      </c>
      <c r="GH10" s="50">
        <v>67.088751209999998</v>
      </c>
      <c r="GI10" s="50"/>
      <c r="GJ10" s="50">
        <v>67.088751209999998</v>
      </c>
      <c r="GK10" s="50">
        <v>71.113391280000002</v>
      </c>
      <c r="GL10" s="50"/>
      <c r="GM10" s="50">
        <v>71.113391280000002</v>
      </c>
      <c r="GN10" s="50">
        <v>76.002641730000008</v>
      </c>
      <c r="GO10" s="50"/>
      <c r="GP10" s="50">
        <v>76.002641730000008</v>
      </c>
      <c r="GQ10" s="50">
        <v>75.440816829999989</v>
      </c>
      <c r="GR10" s="50"/>
      <c r="GS10" s="50">
        <v>75.440816829999989</v>
      </c>
      <c r="GT10" s="50">
        <v>66.327720560000003</v>
      </c>
      <c r="GU10" s="50"/>
      <c r="GV10" s="50">
        <v>66.327720560000003</v>
      </c>
      <c r="GW10" s="50">
        <v>69.772530109999991</v>
      </c>
      <c r="GX10" s="50"/>
      <c r="GY10" s="50">
        <v>69.772530109999991</v>
      </c>
      <c r="GZ10" s="50">
        <v>61.106740929999994</v>
      </c>
      <c r="HA10" s="50"/>
      <c r="HB10" s="50">
        <v>61.106740929999994</v>
      </c>
      <c r="HC10" s="50">
        <v>67.095751340000007</v>
      </c>
      <c r="HD10" s="50"/>
      <c r="HE10" s="50">
        <v>67.095751340000007</v>
      </c>
      <c r="HF10" s="50">
        <v>67.19498999999999</v>
      </c>
      <c r="HG10" s="50"/>
      <c r="HH10" s="50">
        <v>67.19498999999999</v>
      </c>
      <c r="HI10" s="50">
        <v>76.468084610000005</v>
      </c>
      <c r="HJ10" s="50"/>
      <c r="HK10" s="50">
        <v>76.468084610000005</v>
      </c>
      <c r="HL10" s="50">
        <f t="shared" si="33"/>
        <v>827.91124660999981</v>
      </c>
      <c r="HM10" s="50">
        <f t="shared" si="34"/>
        <v>0</v>
      </c>
      <c r="HN10" s="50">
        <f t="shared" si="35"/>
        <v>827.91124660999981</v>
      </c>
      <c r="HO10" s="50">
        <f t="shared" si="3"/>
        <v>827.911247</v>
      </c>
      <c r="HP10" s="50"/>
      <c r="HQ10" s="50">
        <f>HQ11+HQ13+HQ14</f>
        <v>827.911247</v>
      </c>
      <c r="HR10" s="50">
        <v>74.762046870000006</v>
      </c>
      <c r="HS10" s="50">
        <v>0</v>
      </c>
      <c r="HT10" s="50">
        <v>74.762046870000006</v>
      </c>
      <c r="HU10" s="50">
        <v>72.735493200000008</v>
      </c>
      <c r="HV10" s="50">
        <v>0</v>
      </c>
      <c r="HW10" s="50">
        <v>72.735493200000008</v>
      </c>
      <c r="HX10" s="50">
        <v>77.391220719999993</v>
      </c>
      <c r="HY10" s="50">
        <v>0</v>
      </c>
      <c r="HZ10" s="50">
        <v>77.391220719999993</v>
      </c>
      <c r="IA10" s="50">
        <v>85.254365960000015</v>
      </c>
      <c r="IB10" s="50">
        <v>0</v>
      </c>
      <c r="IC10" s="50">
        <v>85.254365960000015</v>
      </c>
      <c r="ID10" s="50">
        <v>110.48801879000001</v>
      </c>
      <c r="IE10" s="50">
        <v>0</v>
      </c>
      <c r="IF10" s="50">
        <v>110.48801879000001</v>
      </c>
      <c r="IG10" s="50">
        <v>90.16236352</v>
      </c>
      <c r="IH10" s="50">
        <v>0</v>
      </c>
      <c r="II10" s="50">
        <v>90.16236352</v>
      </c>
      <c r="IJ10" s="50">
        <v>45.123502930000001</v>
      </c>
      <c r="IK10" s="50">
        <v>0</v>
      </c>
      <c r="IL10" s="50">
        <v>45.123502930000001</v>
      </c>
      <c r="IM10" s="50">
        <v>39.850969319999997</v>
      </c>
      <c r="IN10" s="50">
        <v>0</v>
      </c>
      <c r="IO10" s="50">
        <v>39.850969319999997</v>
      </c>
      <c r="IP10" s="50">
        <v>29.028189880000003</v>
      </c>
      <c r="IQ10" s="50">
        <v>0</v>
      </c>
      <c r="IR10" s="50">
        <v>29.028189880000003</v>
      </c>
      <c r="IS10" s="50">
        <v>39.55163409</v>
      </c>
      <c r="IT10" s="50">
        <v>0</v>
      </c>
      <c r="IU10" s="50">
        <v>39.55163409</v>
      </c>
      <c r="IV10" s="50">
        <v>47.939574700000001</v>
      </c>
      <c r="IW10" s="50">
        <v>0</v>
      </c>
      <c r="IX10" s="50">
        <v>47.939574700000001</v>
      </c>
      <c r="IY10" s="50">
        <v>51.706911049999995</v>
      </c>
      <c r="IZ10" s="50">
        <v>0</v>
      </c>
      <c r="JA10" s="50">
        <v>51.706911049999995</v>
      </c>
      <c r="JB10" s="50">
        <f t="shared" si="36"/>
        <v>763.99429103</v>
      </c>
      <c r="JC10" s="50">
        <f t="shared" si="37"/>
        <v>0</v>
      </c>
      <c r="JD10" s="50">
        <f t="shared" si="38"/>
        <v>763.99429103</v>
      </c>
      <c r="JE10" s="50">
        <f t="shared" si="4"/>
        <v>763.99429099999998</v>
      </c>
      <c r="JF10" s="50"/>
      <c r="JG10" s="50">
        <f>JG11+JG13+JG14+JG15</f>
        <v>763.99429099999998</v>
      </c>
      <c r="JH10" s="50">
        <v>42.359068919999999</v>
      </c>
      <c r="JI10" s="50">
        <v>0</v>
      </c>
      <c r="JJ10" s="50">
        <v>42.359068919999999</v>
      </c>
      <c r="JK10" s="50">
        <v>29.770972899999997</v>
      </c>
      <c r="JL10" s="50">
        <v>0</v>
      </c>
      <c r="JM10" s="50">
        <v>29.770972899999997</v>
      </c>
      <c r="JN10" s="50">
        <v>22.01639935</v>
      </c>
      <c r="JO10" s="50">
        <v>0</v>
      </c>
      <c r="JP10" s="50">
        <v>22.01639935</v>
      </c>
      <c r="JQ10" s="50">
        <v>32.78834148</v>
      </c>
      <c r="JR10" s="50">
        <v>0</v>
      </c>
      <c r="JS10" s="50">
        <v>32.78834148</v>
      </c>
      <c r="JT10" s="50">
        <v>72.435028479999986</v>
      </c>
      <c r="JU10" s="50">
        <v>0</v>
      </c>
      <c r="JV10" s="50">
        <v>72.435028479999986</v>
      </c>
      <c r="JW10" s="50">
        <v>28.590805859999996</v>
      </c>
      <c r="JX10" s="50">
        <v>0</v>
      </c>
      <c r="JY10" s="50">
        <v>28.590805859999996</v>
      </c>
      <c r="JZ10" s="50">
        <v>49.184185280000001</v>
      </c>
      <c r="KA10" s="50">
        <v>0</v>
      </c>
      <c r="KB10" s="50">
        <v>49.184185280000001</v>
      </c>
      <c r="KC10" s="50">
        <v>43.917050369999998</v>
      </c>
      <c r="KD10" s="50">
        <v>0</v>
      </c>
      <c r="KE10" s="50">
        <v>43.917050369999998</v>
      </c>
      <c r="KF10" s="50">
        <v>45.781740460000009</v>
      </c>
      <c r="KG10" s="50">
        <v>0</v>
      </c>
      <c r="KH10" s="50">
        <v>45.781740460000009</v>
      </c>
      <c r="KI10" s="50">
        <v>49.180315520000008</v>
      </c>
      <c r="KJ10" s="50">
        <v>0</v>
      </c>
      <c r="KK10" s="50">
        <v>49.180315520000008</v>
      </c>
      <c r="KL10" s="50">
        <v>57.484575849999999</v>
      </c>
      <c r="KM10" s="50">
        <v>0</v>
      </c>
      <c r="KN10" s="50">
        <v>57.484575849999999</v>
      </c>
      <c r="KO10" s="50">
        <v>61.154116009999989</v>
      </c>
      <c r="KP10" s="50">
        <v>0</v>
      </c>
      <c r="KQ10" s="50">
        <v>61.154116009999989</v>
      </c>
      <c r="KR10" s="50">
        <f t="shared" ref="KR10:KR73" si="48">JH10+JK10+JN10+JQ10+JT10+JW10+JZ10+KC10+KF10+KI10+KL10+KO10</f>
        <v>534.66260048000004</v>
      </c>
      <c r="KS10" s="50">
        <f t="shared" si="39"/>
        <v>0</v>
      </c>
      <c r="KT10" s="50">
        <f t="shared" ref="KT10:KT73" si="49">JJ10+JM10+JP10+JS10+JV10+JY10+KB10+KE10+KH10+KK10+KN10+KQ10</f>
        <v>534.66260048000004</v>
      </c>
      <c r="KU10" s="50">
        <f t="shared" si="5"/>
        <v>534.662601</v>
      </c>
      <c r="KV10" s="50"/>
      <c r="KW10" s="50">
        <f>KW11+KW13+KW14+KW15</f>
        <v>534.662601</v>
      </c>
      <c r="KX10" s="50">
        <v>59.013510250000003</v>
      </c>
      <c r="KY10" s="50">
        <v>0</v>
      </c>
      <c r="KZ10" s="50">
        <v>59.013510250000003</v>
      </c>
      <c r="LA10" s="50">
        <v>47.349119250000001</v>
      </c>
      <c r="LB10" s="50">
        <v>0</v>
      </c>
      <c r="LC10" s="50">
        <v>47.349119250000001</v>
      </c>
      <c r="LD10" s="50">
        <v>37.738349920000005</v>
      </c>
      <c r="LE10" s="50">
        <v>0</v>
      </c>
      <c r="LF10" s="50">
        <v>37.738349920000005</v>
      </c>
      <c r="LG10" s="50">
        <v>65.872974659999997</v>
      </c>
      <c r="LH10" s="50">
        <v>0</v>
      </c>
      <c r="LI10" s="174">
        <v>65.872974659999997</v>
      </c>
      <c r="LJ10" s="174">
        <v>56.918933480000007</v>
      </c>
      <c r="LK10" s="50">
        <v>0</v>
      </c>
      <c r="LL10" s="174">
        <v>56.918933480000007</v>
      </c>
      <c r="LM10" s="174">
        <v>54.201494289999999</v>
      </c>
      <c r="LN10" s="50">
        <v>0</v>
      </c>
      <c r="LO10" s="174">
        <v>54.201494289999999</v>
      </c>
      <c r="LP10" s="50">
        <v>61.195290459999995</v>
      </c>
      <c r="LQ10" s="50">
        <v>0</v>
      </c>
      <c r="LR10" s="44">
        <v>61.195290459999995</v>
      </c>
      <c r="LS10" s="50">
        <v>54.029237939999994</v>
      </c>
      <c r="LT10" s="50">
        <v>0</v>
      </c>
      <c r="LU10" s="52">
        <v>54.029237939999994</v>
      </c>
      <c r="LV10" s="44">
        <v>54.5871244</v>
      </c>
      <c r="LW10" s="50">
        <v>0</v>
      </c>
      <c r="LX10" s="50">
        <v>54.5871244</v>
      </c>
      <c r="LY10" s="50">
        <v>87.30648386</v>
      </c>
      <c r="LZ10" s="50">
        <v>0</v>
      </c>
      <c r="MA10" s="50">
        <v>87.30648386</v>
      </c>
      <c r="MB10" s="50">
        <v>52.98156358</v>
      </c>
      <c r="MC10" s="50">
        <v>0</v>
      </c>
      <c r="MD10" s="50">
        <v>52.98156358</v>
      </c>
      <c r="ME10" s="50">
        <v>36.882554519999999</v>
      </c>
      <c r="MF10" s="50">
        <v>0</v>
      </c>
      <c r="MG10" s="50">
        <v>36.882554519999999</v>
      </c>
      <c r="MH10" s="50">
        <f>KX10+LA10+LD10+LG10+LJ10+LM10+LP10+LS10+LV10+LY10+MB10+ME10</f>
        <v>668.07663660999992</v>
      </c>
      <c r="MI10" s="50">
        <f t="shared" ref="MI10:MI73" si="50">KY10+LB10+LE10+LH10+LK10+LN10+LQ10+LT10+LW10+LZ10+MC10+MF10</f>
        <v>0</v>
      </c>
      <c r="MJ10" s="50">
        <f t="shared" ref="MJ10:MJ73" si="51">KZ10+LC10+LF10+LI10+LL10+LO10+LR10+LU10+LX10+MA10+MD10+MG10</f>
        <v>668.07663660999992</v>
      </c>
      <c r="MK10" s="50">
        <f t="shared" si="7"/>
        <v>668.076638</v>
      </c>
      <c r="ML10" s="50"/>
      <c r="MM10" s="50">
        <f>MM11+MM13+MM14+MM15</f>
        <v>668.076638</v>
      </c>
      <c r="MN10" s="50">
        <v>61.476116290000007</v>
      </c>
      <c r="MO10" s="50">
        <v>0</v>
      </c>
      <c r="MP10" s="50">
        <v>61.47611629</v>
      </c>
      <c r="MQ10" s="50">
        <v>49.341378920000004</v>
      </c>
      <c r="MR10" s="50">
        <v>0</v>
      </c>
      <c r="MS10" s="50">
        <v>49.341378920000004</v>
      </c>
      <c r="MT10" s="50">
        <v>-38.85286586999996</v>
      </c>
      <c r="MU10" s="50">
        <v>0</v>
      </c>
      <c r="MV10" s="50">
        <v>-38.852865869999953</v>
      </c>
      <c r="MW10" s="50">
        <v>136.46972091999999</v>
      </c>
      <c r="MX10" s="50">
        <v>0</v>
      </c>
      <c r="MY10" s="50">
        <v>136.46972091999999</v>
      </c>
      <c r="MZ10" s="50">
        <v>45.085825280000002</v>
      </c>
      <c r="NA10" s="50">
        <v>0</v>
      </c>
      <c r="NB10" s="50">
        <v>45.085825280000002</v>
      </c>
      <c r="NC10" s="50">
        <v>85.982958159999995</v>
      </c>
      <c r="ND10" s="50">
        <v>0</v>
      </c>
      <c r="NE10" s="50">
        <v>85.982958159999995</v>
      </c>
      <c r="NF10" s="50">
        <v>98.65712649000001</v>
      </c>
      <c r="NG10" s="50">
        <v>0</v>
      </c>
      <c r="NH10" s="50">
        <v>98.65712649000001</v>
      </c>
      <c r="NI10" s="50">
        <v>85.718269930000005</v>
      </c>
      <c r="NJ10" s="50">
        <v>0</v>
      </c>
      <c r="NK10" s="50">
        <v>85.718269930000005</v>
      </c>
      <c r="NL10" s="50">
        <v>76.186368110000018</v>
      </c>
      <c r="NM10" s="50">
        <v>0</v>
      </c>
      <c r="NN10" s="50">
        <v>76.186368110000004</v>
      </c>
      <c r="NO10" s="50">
        <v>122.87047701</v>
      </c>
      <c r="NP10" s="50">
        <v>0</v>
      </c>
      <c r="NQ10" s="50">
        <v>122.87047701</v>
      </c>
      <c r="NR10" s="50">
        <v>79.060172969999996</v>
      </c>
      <c r="NS10" s="50">
        <v>0</v>
      </c>
      <c r="NT10" s="50">
        <v>79.060172969999996</v>
      </c>
      <c r="NU10" s="50">
        <v>59.357891610000003</v>
      </c>
      <c r="NV10" s="50">
        <v>0</v>
      </c>
      <c r="NW10" s="50">
        <v>59.357891610000003</v>
      </c>
      <c r="NX10" s="50">
        <f>MN10+MQ10+MT10+MW10+MZ10+NC10+NF10+NI10+NL10+NO10+NR10+NU10</f>
        <v>861.35343981999995</v>
      </c>
      <c r="NY10" s="50">
        <f t="shared" si="40"/>
        <v>0</v>
      </c>
      <c r="NZ10" s="50">
        <f t="shared" si="41"/>
        <v>861.35343981999995</v>
      </c>
      <c r="OA10" s="50">
        <f t="shared" si="8"/>
        <v>861.35344500000008</v>
      </c>
      <c r="OB10" s="50"/>
      <c r="OC10" s="50">
        <f>OC11+OC13+OC14+OC15</f>
        <v>861.35344500000008</v>
      </c>
      <c r="OD10" s="50">
        <v>104.66289383000002</v>
      </c>
      <c r="OE10" s="50"/>
      <c r="OF10" s="50">
        <v>104.66289383000002</v>
      </c>
      <c r="OG10" s="50">
        <v>83.850103560000008</v>
      </c>
      <c r="OH10" s="50"/>
      <c r="OI10" s="50">
        <v>83.850103560000008</v>
      </c>
      <c r="OJ10" s="50">
        <v>41.197160929999995</v>
      </c>
      <c r="OK10" s="50"/>
      <c r="OL10" s="50">
        <v>41.197160929999995</v>
      </c>
      <c r="OM10" s="50">
        <v>87.982800740000002</v>
      </c>
      <c r="ON10" s="50"/>
      <c r="OO10" s="50">
        <v>87.982800740000002</v>
      </c>
      <c r="OP10" s="50">
        <v>105.98256687</v>
      </c>
      <c r="OQ10" s="50"/>
      <c r="OR10" s="50">
        <v>105.98256687</v>
      </c>
      <c r="OS10" s="50">
        <v>103.99332594000001</v>
      </c>
      <c r="OT10" s="50"/>
      <c r="OU10" s="50">
        <v>103.99332594000001</v>
      </c>
      <c r="OV10" s="50">
        <v>94.056617989999992</v>
      </c>
      <c r="OW10" s="50"/>
      <c r="OX10" s="50">
        <v>94.056617989999992</v>
      </c>
      <c r="OY10" s="94">
        <v>92.338507579999998</v>
      </c>
      <c r="OZ10" s="50"/>
      <c r="PA10" s="94">
        <v>92.338507579999998</v>
      </c>
      <c r="PB10" s="50">
        <v>88.514336729999997</v>
      </c>
      <c r="PC10" s="50"/>
      <c r="PD10" s="50">
        <v>88.514336729999997</v>
      </c>
      <c r="PE10" s="50">
        <v>95.027865450000007</v>
      </c>
      <c r="PF10" s="50"/>
      <c r="PG10" s="50">
        <v>95.027865450000007</v>
      </c>
      <c r="PH10" s="50">
        <v>84.950725349999999</v>
      </c>
      <c r="PI10" s="50"/>
      <c r="PJ10" s="50">
        <v>84.950725349999999</v>
      </c>
      <c r="PK10" s="50">
        <v>88.542240639999989</v>
      </c>
      <c r="PL10" s="50"/>
      <c r="PM10" s="50">
        <v>88.542240639999989</v>
      </c>
      <c r="PN10" s="50">
        <f>OD10+OG10+OJ10+OM10+OP10+OS10+OV10+OY10+PB10+PE10+PH10+PK10</f>
        <v>1071.0991456099998</v>
      </c>
      <c r="PO10" s="50">
        <f t="shared" si="42"/>
        <v>0</v>
      </c>
      <c r="PP10" s="50">
        <f t="shared" si="43"/>
        <v>1071.0991456099998</v>
      </c>
      <c r="PQ10" s="50">
        <f t="shared" si="9"/>
        <v>1071.0991610000001</v>
      </c>
      <c r="PR10" s="50"/>
      <c r="PS10" s="50">
        <f>PS11+PS13+PS14+PS15</f>
        <v>1071.0991610000001</v>
      </c>
      <c r="PT10" s="50">
        <v>134.18763114000001</v>
      </c>
      <c r="PU10" s="50"/>
      <c r="PV10" s="50">
        <v>134.18763114000001</v>
      </c>
      <c r="PW10" s="50">
        <v>80.802374499999985</v>
      </c>
      <c r="PX10" s="50"/>
      <c r="PY10" s="50">
        <v>80.802374499999985</v>
      </c>
      <c r="PZ10" s="50">
        <v>44.666728810000038</v>
      </c>
      <c r="QA10" s="50"/>
      <c r="QB10" s="50">
        <v>44.666728810000038</v>
      </c>
      <c r="QC10" s="50">
        <v>115.71603531</v>
      </c>
      <c r="QD10" s="50"/>
      <c r="QE10" s="50">
        <v>115.71603531</v>
      </c>
      <c r="QF10" s="50">
        <v>80.057458529999991</v>
      </c>
      <c r="QG10" s="50"/>
      <c r="QH10" s="50">
        <v>80.057458529999991</v>
      </c>
      <c r="QI10" s="50">
        <v>189.85655333999998</v>
      </c>
      <c r="QJ10" s="50"/>
      <c r="QK10" s="50">
        <v>189.85655333999998</v>
      </c>
      <c r="QL10" s="50">
        <v>109.59311031999999</v>
      </c>
      <c r="QM10" s="50"/>
      <c r="QN10" s="50">
        <v>109.59311031999999</v>
      </c>
      <c r="QO10" s="50">
        <v>104.15682733999999</v>
      </c>
      <c r="QP10" s="50"/>
      <c r="QQ10" s="50">
        <v>104.15682733999999</v>
      </c>
      <c r="QR10" s="50">
        <v>141.92900583999995</v>
      </c>
      <c r="QS10" s="50"/>
      <c r="QT10" s="50">
        <v>141.92900583999995</v>
      </c>
      <c r="QU10" s="50">
        <v>106.65673065999999</v>
      </c>
      <c r="QV10" s="50"/>
      <c r="QW10" s="50">
        <v>106.65673065999999</v>
      </c>
      <c r="QX10" s="50">
        <v>105.22877344000007</v>
      </c>
      <c r="QY10" s="50"/>
      <c r="QZ10" s="50">
        <v>105.22877344000007</v>
      </c>
      <c r="RA10" s="50">
        <v>96.870892710000007</v>
      </c>
      <c r="RB10" s="50"/>
      <c r="RC10" s="50">
        <v>96.870892710000007</v>
      </c>
      <c r="RD10" s="50">
        <f t="shared" ref="RD10:RD73" si="52">PT10+PW10+PZ10+QC10+QF10+QI10+QL10+QO10+QR10+QU10+QX10+RA10</f>
        <v>1309.7221219400001</v>
      </c>
      <c r="RE10" s="50">
        <f t="shared" ref="RE10:RE73" si="53">PU10+PX10+QA10+QD10+QG10+QJ10+QM10+QP10+QS10+QV10+QY10+RB10</f>
        <v>0</v>
      </c>
      <c r="RF10" s="50">
        <f t="shared" ref="RF10:RF73" si="54">PV10+PY10+QB10+QE10+QH10+QK10+QN10+QQ10+QT10+QW10+QZ10+RC10</f>
        <v>1309.7221219400001</v>
      </c>
      <c r="RG10" s="50">
        <f t="shared" si="11"/>
        <v>1309.7221210000002</v>
      </c>
      <c r="RH10" s="50"/>
      <c r="RI10" s="50">
        <f>RI11+RI13+RI14+RI15</f>
        <v>1309.7221210000002</v>
      </c>
      <c r="RJ10" s="50">
        <v>147.3463993</v>
      </c>
      <c r="RK10" s="50"/>
      <c r="RL10" s="50">
        <v>147.3463993</v>
      </c>
      <c r="RM10" s="50">
        <v>93.456802909999993</v>
      </c>
      <c r="RN10" s="50"/>
      <c r="RO10" s="50">
        <v>93.456802909999993</v>
      </c>
      <c r="RP10" s="50">
        <v>34.518948330000001</v>
      </c>
      <c r="RQ10" s="50"/>
      <c r="RR10" s="50">
        <v>34.518948330000001</v>
      </c>
      <c r="RS10" s="50">
        <v>190.31942522999998</v>
      </c>
      <c r="RT10" s="50"/>
      <c r="RU10" s="50">
        <v>190.31942522999998</v>
      </c>
      <c r="RV10" s="50">
        <v>154.34372374999998</v>
      </c>
      <c r="RW10" s="50"/>
      <c r="RX10" s="50">
        <v>154.34372374999998</v>
      </c>
      <c r="RY10" s="50">
        <v>179.32078458000001</v>
      </c>
      <c r="RZ10" s="50"/>
      <c r="SA10" s="50">
        <v>179.32078458000001</v>
      </c>
      <c r="SB10" s="50">
        <v>165.94954523000007</v>
      </c>
      <c r="SC10" s="50"/>
      <c r="SD10" s="50">
        <v>165.94954523000007</v>
      </c>
      <c r="SE10" s="50">
        <v>116.50556232999999</v>
      </c>
      <c r="SF10" s="50"/>
      <c r="SG10" s="50">
        <v>116.50556232999999</v>
      </c>
      <c r="SH10" s="50">
        <v>145.54390424000002</v>
      </c>
      <c r="SI10" s="50"/>
      <c r="SJ10" s="50">
        <v>145.54390424000002</v>
      </c>
      <c r="SK10" s="50">
        <v>118.81384451</v>
      </c>
      <c r="SL10" s="50"/>
      <c r="SM10" s="50">
        <v>118.81384451</v>
      </c>
      <c r="SN10" s="50">
        <v>105.26738958</v>
      </c>
      <c r="SO10" s="50"/>
      <c r="SP10" s="50">
        <v>105.26738958</v>
      </c>
      <c r="SQ10" s="50">
        <v>124.32585040000001</v>
      </c>
      <c r="SR10" s="50"/>
      <c r="SS10" s="50">
        <v>124.32585040000001</v>
      </c>
      <c r="ST10" s="50">
        <f t="shared" ref="ST10:ST73" si="55">RJ10+RM10+RP10+RS10+RV10+RY10+SB10+SE10+SH10+SK10+SN10+SQ10</f>
        <v>1575.7121803900002</v>
      </c>
      <c r="SU10" s="50">
        <f>RK10+RN10+RQ10+RT10+RW10+RZ10+SC10+SF10+SI10+SL10+SO10+SR10</f>
        <v>0</v>
      </c>
      <c r="SV10" s="50">
        <f t="shared" ref="SV10:SV73" si="56">RL10+RO10+RR10+RU10+RX10+SA10+SD10+SG10+SJ10+SM10+SP10+SS10</f>
        <v>1575.7121803900002</v>
      </c>
      <c r="SW10" s="50">
        <f t="shared" si="44"/>
        <v>1575.683045</v>
      </c>
      <c r="SX10" s="50"/>
      <c r="SY10" s="50">
        <f>SY11+SY13+SY14+SY15</f>
        <v>1575.683045</v>
      </c>
      <c r="SZ10" s="50">
        <v>311.51933823000002</v>
      </c>
      <c r="TA10" s="50"/>
      <c r="TB10" s="50">
        <v>311.51933823000002</v>
      </c>
      <c r="TC10" s="50">
        <v>117.61956796000001</v>
      </c>
      <c r="TD10" s="50"/>
      <c r="TE10" s="50">
        <v>117.61956796000001</v>
      </c>
      <c r="TF10" s="50">
        <v>-57.460108640000001</v>
      </c>
      <c r="TG10" s="50"/>
      <c r="TH10" s="50">
        <v>-57.460108640000001</v>
      </c>
      <c r="TI10" s="50">
        <v>162.97545442000001</v>
      </c>
      <c r="TJ10" s="50"/>
      <c r="TK10" s="50">
        <v>162.97545442000001</v>
      </c>
      <c r="TL10" s="50">
        <v>169.27742567999999</v>
      </c>
      <c r="TM10" s="50"/>
      <c r="TN10" s="50">
        <v>169.27742567999999</v>
      </c>
      <c r="TO10" s="50">
        <v>198.42581430999999</v>
      </c>
      <c r="TP10" s="50"/>
      <c r="TQ10" s="50">
        <v>198.42581430999999</v>
      </c>
      <c r="TR10" s="50">
        <v>155.04056313000001</v>
      </c>
      <c r="TS10" s="50"/>
      <c r="TT10" s="50">
        <v>155.04056313000001</v>
      </c>
      <c r="TU10" s="50">
        <v>136.16247128999998</v>
      </c>
      <c r="TV10" s="50"/>
      <c r="TW10" s="50">
        <v>136.16247128999998</v>
      </c>
      <c r="TX10" s="50">
        <v>164.23700794999999</v>
      </c>
      <c r="TY10" s="50"/>
      <c r="TZ10" s="50">
        <v>164.23700794999999</v>
      </c>
      <c r="UA10" s="50">
        <v>107.29890184000021</v>
      </c>
      <c r="UB10" s="50"/>
      <c r="UC10" s="50">
        <v>107.29890184000021</v>
      </c>
      <c r="UD10" s="50">
        <v>102.37905631</v>
      </c>
      <c r="UE10" s="50"/>
      <c r="UF10" s="50">
        <v>102.37905631</v>
      </c>
      <c r="UG10" s="50">
        <v>65.802009089999842</v>
      </c>
      <c r="UH10" s="50"/>
      <c r="UI10" s="50">
        <v>65.802009089999842</v>
      </c>
      <c r="UJ10" s="50">
        <f t="shared" si="45"/>
        <v>1633.2775015699999</v>
      </c>
      <c r="UK10" s="50">
        <f t="shared" si="15"/>
        <v>0</v>
      </c>
      <c r="UL10" s="50">
        <f t="shared" si="16"/>
        <v>1633.2775015699999</v>
      </c>
      <c r="UM10" s="50">
        <v>243.1311273</v>
      </c>
      <c r="UN10" s="50"/>
      <c r="UO10" s="50">
        <v>243.1311273</v>
      </c>
      <c r="UP10" s="50">
        <v>122.27772182000001</v>
      </c>
      <c r="UQ10" s="50"/>
      <c r="UR10" s="50">
        <v>122.27772182000001</v>
      </c>
      <c r="US10" s="50">
        <v>-30.407292639999998</v>
      </c>
      <c r="UT10" s="50"/>
      <c r="UU10" s="50">
        <v>-30.407292639999998</v>
      </c>
      <c r="UV10" s="50">
        <v>137.86579246000002</v>
      </c>
      <c r="UW10" s="50"/>
      <c r="UX10" s="50">
        <v>137.86579246000002</v>
      </c>
      <c r="UY10" s="50"/>
      <c r="UZ10" s="50"/>
      <c r="VA10" s="50"/>
      <c r="VB10" s="50"/>
      <c r="VC10" s="50"/>
      <c r="VD10" s="50"/>
      <c r="VE10" s="50"/>
      <c r="VF10" s="50"/>
      <c r="VG10" s="50"/>
      <c r="VH10" s="50"/>
      <c r="VI10" s="50"/>
      <c r="VJ10" s="50"/>
      <c r="VK10" s="50"/>
      <c r="VL10" s="50"/>
      <c r="VM10" s="50"/>
      <c r="VN10" s="50"/>
      <c r="VO10" s="50"/>
      <c r="VP10" s="50"/>
      <c r="VQ10" s="50"/>
      <c r="VR10" s="50"/>
      <c r="VS10" s="50"/>
      <c r="VT10" s="50"/>
      <c r="VU10" s="50"/>
      <c r="VV10" s="50"/>
      <c r="VW10" s="276">
        <f t="shared" ref="VW10:VW73" si="57">ROUND(SUM(SZ10+TC10+TF10+TI10),6)</f>
        <v>534.65425200000004</v>
      </c>
      <c r="VX10" s="292">
        <f t="shared" ref="VX10:VX73" si="58">ROUND(SUM(TA10+TD10+TG10+TJ10),6)</f>
        <v>0</v>
      </c>
      <c r="VY10" s="292">
        <f t="shared" ref="VY10:VY73" si="59">ROUND(SUM(TB10+TE10+TH10+TK10),6)</f>
        <v>534.65425200000004</v>
      </c>
      <c r="VZ10" s="276">
        <f t="shared" ref="VZ10:VZ73" si="60">ROUND(SUM(UM10+UP10+US10+UV10),6)</f>
        <v>472.86734899999999</v>
      </c>
      <c r="WA10" s="292">
        <f t="shared" ref="WA10:WA73" si="61">ROUND(SUM(UN10+UQ10+UT10+UW10),6)</f>
        <v>0</v>
      </c>
      <c r="WB10" s="292">
        <f t="shared" ref="WB10:WB73" si="62">ROUND(SUM(UO10+UR10+UU10+UX10),6)</f>
        <v>472.86734899999999</v>
      </c>
      <c r="WC10" s="277">
        <f t="shared" ref="WC10:WC41" si="63">WB10-VY10</f>
        <v>-61.786903000000052</v>
      </c>
      <c r="WD10" s="277">
        <f t="shared" ref="WD10:WD23" si="64">WB10/VY10*100-100</f>
        <v>-11.556422261465542</v>
      </c>
    </row>
    <row r="11" spans="1:602" s="12" customFormat="1" ht="20.5">
      <c r="A11" s="47" t="s">
        <v>32</v>
      </c>
      <c r="B11" s="12" t="s">
        <v>33</v>
      </c>
      <c r="C11" s="47" t="s">
        <v>34</v>
      </c>
      <c r="D11" s="45">
        <v>568.79496274921598</v>
      </c>
      <c r="E11" s="42">
        <v>715.87073778749129</v>
      </c>
      <c r="F11" s="42">
        <v>280.55708419417078</v>
      </c>
      <c r="G11" s="42">
        <v>159.61333316258873</v>
      </c>
      <c r="H11" s="42">
        <v>14.441666524379485</v>
      </c>
      <c r="I11" s="42">
        <v>17.225195075725239</v>
      </c>
      <c r="J11" s="42">
        <v>17.137531943472148</v>
      </c>
      <c r="K11" s="42">
        <v>22.853811304431961</v>
      </c>
      <c r="L11" s="42">
        <v>37.771722983932932</v>
      </c>
      <c r="M11" s="42">
        <v>13.327372923318594</v>
      </c>
      <c r="N11" s="42">
        <v>31.110616900302219</v>
      </c>
      <c r="O11" s="42">
        <v>20.93976699051229</v>
      </c>
      <c r="P11" s="42">
        <v>21.794194398438258</v>
      </c>
      <c r="Q11" s="42">
        <v>25.951868515261726</v>
      </c>
      <c r="R11" s="42">
        <v>27.641386503207151</v>
      </c>
      <c r="S11" s="42">
        <v>29.303576815157573</v>
      </c>
      <c r="T11" s="42">
        <v>279.49871087813955</v>
      </c>
      <c r="U11" s="42">
        <v>0</v>
      </c>
      <c r="V11" s="42">
        <v>279.49871087813955</v>
      </c>
      <c r="W11" s="42">
        <v>279.4987108781396</v>
      </c>
      <c r="X11" s="42">
        <v>21.806744127808038</v>
      </c>
      <c r="Y11" s="42">
        <v>22.126234341295724</v>
      </c>
      <c r="Z11" s="42">
        <v>21.388371437840423</v>
      </c>
      <c r="AA11" s="42">
        <v>28.664721600901533</v>
      </c>
      <c r="AB11" s="42">
        <v>49.389246504003964</v>
      </c>
      <c r="AC11" s="42">
        <v>34.283628152372501</v>
      </c>
      <c r="AD11" s="42">
        <v>28.17673775334233</v>
      </c>
      <c r="AE11" s="42">
        <v>26.859165571055374</v>
      </c>
      <c r="AF11" s="42">
        <v>25.36023414778516</v>
      </c>
      <c r="AG11" s="42">
        <v>30.118483958543205</v>
      </c>
      <c r="AH11" s="42">
        <v>30.818117142190427</v>
      </c>
      <c r="AI11" s="42">
        <v>28.002665038901316</v>
      </c>
      <c r="AJ11" s="42">
        <f t="shared" si="46"/>
        <v>346.99434977604005</v>
      </c>
      <c r="AK11" s="42">
        <v>0</v>
      </c>
      <c r="AL11" s="42">
        <v>346.99434977604005</v>
      </c>
      <c r="AM11" s="42">
        <v>346.99434977604</v>
      </c>
      <c r="AN11" s="42">
        <v>29.245751304773449</v>
      </c>
      <c r="AO11" s="42">
        <v>25.421729244568898</v>
      </c>
      <c r="AP11" s="42">
        <v>26.90054695192401</v>
      </c>
      <c r="AQ11" s="42">
        <v>36.651736472757698</v>
      </c>
      <c r="AR11" s="42">
        <v>55.095050682693895</v>
      </c>
      <c r="AS11" s="42">
        <v>15.696521362997364</v>
      </c>
      <c r="AT11" s="42">
        <v>29.564596957330924</v>
      </c>
      <c r="AU11" s="42">
        <v>27.12316378392838</v>
      </c>
      <c r="AV11" s="42">
        <v>27.198553223942952</v>
      </c>
      <c r="AW11" s="42">
        <v>27.26917462052009</v>
      </c>
      <c r="AX11" s="42">
        <v>30.734183356953007</v>
      </c>
      <c r="AY11" s="42">
        <v>31.589531362940452</v>
      </c>
      <c r="AZ11" s="42">
        <v>362.4905393253311</v>
      </c>
      <c r="BA11" s="42"/>
      <c r="BB11" s="42">
        <v>362.4905393253311</v>
      </c>
      <c r="BC11" s="45">
        <f t="shared" si="21"/>
        <v>362.4905393253311</v>
      </c>
      <c r="BD11" s="45"/>
      <c r="BE11" s="45">
        <v>362.4905393253311</v>
      </c>
      <c r="BF11" s="44">
        <v>28.247026000000002</v>
      </c>
      <c r="BG11" s="50"/>
      <c r="BH11" s="50">
        <f>BF11+BG11</f>
        <v>28.247026000000002</v>
      </c>
      <c r="BI11" s="45">
        <v>26.132507</v>
      </c>
      <c r="BJ11" s="120"/>
      <c r="BK11" s="50">
        <f>BI11+BJ11</f>
        <v>26.132507</v>
      </c>
      <c r="BL11" s="50">
        <v>29.393079</v>
      </c>
      <c r="BM11" s="50"/>
      <c r="BN11" s="50">
        <f>BL11+BM11</f>
        <v>29.393079</v>
      </c>
      <c r="BO11" s="50">
        <v>44.586378000000003</v>
      </c>
      <c r="BP11" s="50"/>
      <c r="BQ11" s="50">
        <f>BO11+BP11</f>
        <v>44.586378000000003</v>
      </c>
      <c r="BR11" s="50">
        <v>33.826210000000003</v>
      </c>
      <c r="BS11" s="50"/>
      <c r="BT11" s="50">
        <f>BR11+BS11</f>
        <v>33.826210000000003</v>
      </c>
      <c r="BU11" s="50">
        <v>23.007891999999998</v>
      </c>
      <c r="BV11" s="50"/>
      <c r="BW11" s="50">
        <f>BU11+BV11</f>
        <v>23.007891999999998</v>
      </c>
      <c r="BX11" s="50">
        <v>26.330514999999998</v>
      </c>
      <c r="BY11" s="50"/>
      <c r="BZ11" s="50">
        <f>BX11+BY11</f>
        <v>26.330514999999998</v>
      </c>
      <c r="CA11" s="50">
        <v>29.809446000000001</v>
      </c>
      <c r="CB11" s="50"/>
      <c r="CC11" s="50">
        <f>CA11+CB11</f>
        <v>29.809446000000001</v>
      </c>
      <c r="CD11" s="50">
        <v>25.484736300000002</v>
      </c>
      <c r="CE11" s="50"/>
      <c r="CF11" s="50">
        <f>CD11+CE11</f>
        <v>25.484736300000002</v>
      </c>
      <c r="CG11" s="50">
        <v>27.7688731</v>
      </c>
      <c r="CH11" s="50"/>
      <c r="CI11" s="50">
        <f>CG11+CH11</f>
        <v>27.7688731</v>
      </c>
      <c r="CJ11" s="45">
        <v>28.461669199999999</v>
      </c>
      <c r="CK11" s="45"/>
      <c r="CL11" s="50">
        <f>CJ11+CK11</f>
        <v>28.461669199999999</v>
      </c>
      <c r="CM11" s="42">
        <v>31.788992789999998</v>
      </c>
      <c r="CN11" s="45"/>
      <c r="CO11" s="50">
        <f>CM11+CN11</f>
        <v>31.788992789999998</v>
      </c>
      <c r="CP11" s="50">
        <f t="shared" si="24"/>
        <v>354.83732439000005</v>
      </c>
      <c r="CQ11" s="50">
        <f t="shared" si="25"/>
        <v>0</v>
      </c>
      <c r="CR11" s="50">
        <f t="shared" si="26"/>
        <v>354.83732439000005</v>
      </c>
      <c r="CS11" s="45">
        <f t="shared" si="2"/>
        <v>354.83732400000002</v>
      </c>
      <c r="CT11" s="45"/>
      <c r="CU11" s="44">
        <v>354.83732400000002</v>
      </c>
      <c r="CV11" s="42">
        <v>28.212305570000002</v>
      </c>
      <c r="CW11" s="45"/>
      <c r="CX11" s="50">
        <f>CV11+CW11</f>
        <v>28.212305570000002</v>
      </c>
      <c r="CY11" s="42">
        <v>27.358282280000001</v>
      </c>
      <c r="CZ11" s="45"/>
      <c r="DA11" s="50">
        <v>27.358282280000001</v>
      </c>
      <c r="DB11" s="42">
        <v>34.447539120000002</v>
      </c>
      <c r="DC11" s="45"/>
      <c r="DD11" s="50">
        <v>34.447539120000002</v>
      </c>
      <c r="DE11" s="42">
        <v>38.335775720000001</v>
      </c>
      <c r="DF11" s="45"/>
      <c r="DG11" s="50">
        <v>38.335775720000001</v>
      </c>
      <c r="DH11" s="42">
        <v>53.474539579999998</v>
      </c>
      <c r="DI11" s="45"/>
      <c r="DJ11" s="50">
        <v>53.474539579999998</v>
      </c>
      <c r="DK11" s="42">
        <v>14.222454620000001</v>
      </c>
      <c r="DL11" s="45"/>
      <c r="DM11" s="50">
        <v>14.222454620000001</v>
      </c>
      <c r="DN11" s="42">
        <v>26.52258337</v>
      </c>
      <c r="DO11" s="45"/>
      <c r="DP11" s="50">
        <v>26.52258337</v>
      </c>
      <c r="DQ11" s="42">
        <v>33.441507739999999</v>
      </c>
      <c r="DR11" s="45"/>
      <c r="DS11" s="50">
        <v>33.441507739999999</v>
      </c>
      <c r="DT11" s="42">
        <v>30.088575629999998</v>
      </c>
      <c r="DU11" s="45"/>
      <c r="DV11" s="50">
        <v>30.088575629999998</v>
      </c>
      <c r="DW11" s="42">
        <v>33.741664190000002</v>
      </c>
      <c r="DX11" s="45"/>
      <c r="DY11" s="50">
        <v>33.741664190000002</v>
      </c>
      <c r="DZ11" s="42">
        <v>31.473049679999999</v>
      </c>
      <c r="EA11" s="45"/>
      <c r="EB11" s="50">
        <v>31.473049679999999</v>
      </c>
      <c r="EC11" s="42">
        <v>31.789599819999999</v>
      </c>
      <c r="ED11" s="45"/>
      <c r="EE11" s="50">
        <v>31.789599819999999</v>
      </c>
      <c r="EF11" s="50">
        <f t="shared" si="27"/>
        <v>383.10787731999994</v>
      </c>
      <c r="EG11" s="50">
        <f t="shared" si="28"/>
        <v>0</v>
      </c>
      <c r="EH11" s="50">
        <f t="shared" si="29"/>
        <v>383.10787731999994</v>
      </c>
      <c r="EI11" s="50">
        <f>EK11-EJ11</f>
        <v>383.10787731999994</v>
      </c>
      <c r="EJ11" s="50"/>
      <c r="EK11" s="50">
        <v>383.10787731999994</v>
      </c>
      <c r="EL11" s="50">
        <v>30.288463960000001</v>
      </c>
      <c r="EM11" s="50"/>
      <c r="EN11" s="50">
        <v>30.288463960000001</v>
      </c>
      <c r="EO11" s="50">
        <v>29.430840149999998</v>
      </c>
      <c r="EP11" s="50"/>
      <c r="EQ11" s="50">
        <v>29.430840149999998</v>
      </c>
      <c r="ER11" s="50">
        <v>29.151649299999999</v>
      </c>
      <c r="ES11" s="50"/>
      <c r="ET11" s="50">
        <v>29.151649299999999</v>
      </c>
      <c r="EU11" s="50">
        <v>49.647001889999999</v>
      </c>
      <c r="EV11" s="50"/>
      <c r="EW11" s="50">
        <v>49.647001889999999</v>
      </c>
      <c r="EX11" s="50">
        <v>58.299561200000007</v>
      </c>
      <c r="EY11" s="50"/>
      <c r="EZ11" s="50">
        <v>58.299561200000007</v>
      </c>
      <c r="FA11" s="50">
        <v>26.681343440000003</v>
      </c>
      <c r="FB11" s="50"/>
      <c r="FC11" s="50">
        <v>26.681343440000003</v>
      </c>
      <c r="FD11" s="50">
        <v>26.253297850000003</v>
      </c>
      <c r="FE11" s="50"/>
      <c r="FF11" s="50">
        <v>26.253297850000003</v>
      </c>
      <c r="FG11" s="50">
        <v>40.559124679999996</v>
      </c>
      <c r="FH11" s="50"/>
      <c r="FI11" s="50">
        <v>40.559124679999996</v>
      </c>
      <c r="FJ11" s="50">
        <v>30.41834923</v>
      </c>
      <c r="FK11" s="50"/>
      <c r="FL11" s="50">
        <v>30.41834923</v>
      </c>
      <c r="FM11" s="50">
        <v>32.20607519</v>
      </c>
      <c r="FN11" s="50"/>
      <c r="FO11" s="50">
        <v>32.20607519</v>
      </c>
      <c r="FP11" s="50">
        <v>32.80329905</v>
      </c>
      <c r="FQ11" s="50"/>
      <c r="FR11" s="50">
        <v>32.80329905</v>
      </c>
      <c r="FS11" s="50">
        <v>33.973359200000004</v>
      </c>
      <c r="FT11" s="50"/>
      <c r="FU11" s="50">
        <v>33.973359200000004</v>
      </c>
      <c r="FV11" s="50">
        <f t="shared" si="30"/>
        <v>419.71236513999997</v>
      </c>
      <c r="FW11" s="50">
        <f t="shared" si="31"/>
        <v>0</v>
      </c>
      <c r="FX11" s="50">
        <f t="shared" si="32"/>
        <v>419.71236513999997</v>
      </c>
      <c r="FY11" s="50">
        <f>GA11-FZ11</f>
        <v>419.71236499999998</v>
      </c>
      <c r="FZ11" s="50"/>
      <c r="GA11" s="50">
        <v>419.71236499999998</v>
      </c>
      <c r="GB11" s="50">
        <v>31.48983556</v>
      </c>
      <c r="GC11" s="50"/>
      <c r="GD11" s="50">
        <v>31.48983556</v>
      </c>
      <c r="GE11" s="50">
        <v>30.142880160000001</v>
      </c>
      <c r="GF11" s="50"/>
      <c r="GG11" s="50">
        <v>30.142880160000001</v>
      </c>
      <c r="GH11" s="50">
        <v>30.855846920000001</v>
      </c>
      <c r="GI11" s="50"/>
      <c r="GJ11" s="50">
        <v>30.855846920000001</v>
      </c>
      <c r="GK11" s="50">
        <v>43.566518380000005</v>
      </c>
      <c r="GL11" s="50"/>
      <c r="GM11" s="50">
        <v>43.566518380000005</v>
      </c>
      <c r="GN11" s="50">
        <v>47.593566670000001</v>
      </c>
      <c r="GO11" s="50"/>
      <c r="GP11" s="50">
        <v>47.593566670000001</v>
      </c>
      <c r="GQ11" s="50">
        <v>43.340328049999997</v>
      </c>
      <c r="GR11" s="50"/>
      <c r="GS11" s="50">
        <v>43.340328049999997</v>
      </c>
      <c r="GT11" s="50">
        <v>32.400716850000002</v>
      </c>
      <c r="GU11" s="50"/>
      <c r="GV11" s="50">
        <v>32.400716850000002</v>
      </c>
      <c r="GW11" s="50">
        <v>37.762499399999996</v>
      </c>
      <c r="GX11" s="50"/>
      <c r="GY11" s="50">
        <v>37.762499399999996</v>
      </c>
      <c r="GZ11" s="50">
        <v>29.582614379999999</v>
      </c>
      <c r="HA11" s="50"/>
      <c r="HB11" s="50">
        <v>29.582614379999999</v>
      </c>
      <c r="HC11" s="50">
        <v>33.096257890000004</v>
      </c>
      <c r="HD11" s="50"/>
      <c r="HE11" s="50">
        <v>33.096257890000004</v>
      </c>
      <c r="HF11" s="50">
        <v>32.232957460000002</v>
      </c>
      <c r="HG11" s="50"/>
      <c r="HH11" s="50">
        <v>32.232957460000002</v>
      </c>
      <c r="HI11" s="50">
        <v>33.553443350000002</v>
      </c>
      <c r="HJ11" s="50"/>
      <c r="HK11" s="50">
        <v>33.553443350000002</v>
      </c>
      <c r="HL11" s="50">
        <f t="shared" si="33"/>
        <v>425.61746507000004</v>
      </c>
      <c r="HM11" s="50">
        <f t="shared" si="34"/>
        <v>0</v>
      </c>
      <c r="HN11" s="50">
        <f t="shared" si="35"/>
        <v>425.61746507000004</v>
      </c>
      <c r="HO11" s="50">
        <f t="shared" si="3"/>
        <v>425.61746499999998</v>
      </c>
      <c r="HP11" s="50"/>
      <c r="HQ11" s="50">
        <v>425.61746499999998</v>
      </c>
      <c r="HR11" s="50">
        <v>31.63167091</v>
      </c>
      <c r="HS11" s="50">
        <v>0</v>
      </c>
      <c r="HT11" s="50">
        <v>31.63167091</v>
      </c>
      <c r="HU11" s="50">
        <v>30.04849428</v>
      </c>
      <c r="HV11" s="50">
        <v>0</v>
      </c>
      <c r="HW11" s="50">
        <v>30.04849428</v>
      </c>
      <c r="HX11" s="50">
        <v>35.201047250000002</v>
      </c>
      <c r="HY11" s="50">
        <v>0</v>
      </c>
      <c r="HZ11" s="50">
        <v>35.201047250000002</v>
      </c>
      <c r="IA11" s="50">
        <v>52.898293500000001</v>
      </c>
      <c r="IB11" s="50">
        <v>0</v>
      </c>
      <c r="IC11" s="50">
        <v>52.898293500000001</v>
      </c>
      <c r="ID11" s="50">
        <v>78.113698870000007</v>
      </c>
      <c r="IE11" s="50">
        <v>0</v>
      </c>
      <c r="IF11" s="50">
        <v>78.113698870000007</v>
      </c>
      <c r="IG11" s="50">
        <v>52.282005939999998</v>
      </c>
      <c r="IH11" s="50">
        <v>0</v>
      </c>
      <c r="II11" s="50">
        <v>52.282005939999998</v>
      </c>
      <c r="IJ11" s="50">
        <v>13.58020267</v>
      </c>
      <c r="IK11" s="50">
        <v>0</v>
      </c>
      <c r="IL11" s="50">
        <v>13.58020267</v>
      </c>
      <c r="IM11" s="50">
        <v>2.8189035599999999</v>
      </c>
      <c r="IN11" s="50">
        <v>0</v>
      </c>
      <c r="IO11" s="50">
        <v>2.8189035599999999</v>
      </c>
      <c r="IP11" s="50">
        <v>-6.5208364000000003</v>
      </c>
      <c r="IQ11" s="50">
        <v>0</v>
      </c>
      <c r="IR11" s="50">
        <v>-6.5208364000000003</v>
      </c>
      <c r="IS11" s="50">
        <v>1.9318923700000001</v>
      </c>
      <c r="IT11" s="50">
        <v>0</v>
      </c>
      <c r="IU11" s="50">
        <v>1.9318923700000001</v>
      </c>
      <c r="IV11" s="50">
        <v>9.4695978599999986</v>
      </c>
      <c r="IW11" s="50">
        <v>0</v>
      </c>
      <c r="IX11" s="50">
        <v>9.4695978599999986</v>
      </c>
      <c r="IY11" s="50">
        <v>2.5492539999999999</v>
      </c>
      <c r="IZ11" s="50">
        <v>0</v>
      </c>
      <c r="JA11" s="50">
        <v>2.5492539999999999</v>
      </c>
      <c r="JB11" s="50">
        <f t="shared" si="36"/>
        <v>304.0042248100001</v>
      </c>
      <c r="JC11" s="50">
        <f t="shared" si="37"/>
        <v>0</v>
      </c>
      <c r="JD11" s="50">
        <f t="shared" si="38"/>
        <v>304.0042248100001</v>
      </c>
      <c r="JE11" s="50">
        <f t="shared" si="4"/>
        <v>304.00422500000002</v>
      </c>
      <c r="JF11" s="50"/>
      <c r="JG11" s="45">
        <v>304.00422500000002</v>
      </c>
      <c r="JH11" s="50">
        <v>4.2403021599999997</v>
      </c>
      <c r="JI11" s="50">
        <v>0</v>
      </c>
      <c r="JJ11" s="50">
        <v>4.2403021599999997</v>
      </c>
      <c r="JK11" s="50">
        <v>-7.5230799199999998</v>
      </c>
      <c r="JL11" s="50">
        <v>0</v>
      </c>
      <c r="JM11" s="50">
        <v>-7.5230799199999998</v>
      </c>
      <c r="JN11" s="50">
        <v>-7.8026390499999998</v>
      </c>
      <c r="JO11" s="50">
        <v>0</v>
      </c>
      <c r="JP11" s="50">
        <v>-7.8026390499999998</v>
      </c>
      <c r="JQ11" s="50">
        <v>-3.8054649199999999</v>
      </c>
      <c r="JR11" s="50">
        <v>0</v>
      </c>
      <c r="JS11" s="50">
        <v>-3.8054649199999999</v>
      </c>
      <c r="JT11" s="50">
        <v>35.612966049999997</v>
      </c>
      <c r="JU11" s="50">
        <v>0</v>
      </c>
      <c r="JV11" s="50">
        <v>35.612966049999997</v>
      </c>
      <c r="JW11" s="50">
        <v>-11.352853169999999</v>
      </c>
      <c r="JX11" s="50">
        <v>0</v>
      </c>
      <c r="JY11" s="50">
        <v>-11.352853169999999</v>
      </c>
      <c r="JZ11" s="50">
        <v>5.9560205899999996</v>
      </c>
      <c r="KA11" s="50">
        <v>0</v>
      </c>
      <c r="KB11" s="50">
        <v>5.9560205899999996</v>
      </c>
      <c r="KC11" s="50">
        <v>2.7293382400000001</v>
      </c>
      <c r="KD11" s="50">
        <v>0</v>
      </c>
      <c r="KE11" s="50">
        <v>2.7293382400000001</v>
      </c>
      <c r="KF11" s="50">
        <v>2.4155111699999998</v>
      </c>
      <c r="KG11" s="50">
        <v>0</v>
      </c>
      <c r="KH11" s="50">
        <v>2.4155111699999998</v>
      </c>
      <c r="KI11" s="50">
        <v>5.7616180300000002</v>
      </c>
      <c r="KJ11" s="50">
        <v>0</v>
      </c>
      <c r="KK11" s="50">
        <v>5.7616180300000002</v>
      </c>
      <c r="KL11" s="50">
        <v>13.68501917</v>
      </c>
      <c r="KM11" s="50">
        <v>0</v>
      </c>
      <c r="KN11" s="50">
        <v>13.68501917</v>
      </c>
      <c r="KO11" s="50">
        <v>4.8602736200000001</v>
      </c>
      <c r="KP11" s="50">
        <v>0</v>
      </c>
      <c r="KQ11" s="50">
        <v>4.8602736200000001</v>
      </c>
      <c r="KR11" s="50">
        <f t="shared" si="48"/>
        <v>44.777011969999997</v>
      </c>
      <c r="KS11" s="50">
        <f>JI11+JL11+JO11+JR11+JU11+JX11+KA11+KD11+KG11+KJ11+KM11+KP11</f>
        <v>0</v>
      </c>
      <c r="KT11" s="50">
        <f t="shared" si="49"/>
        <v>44.777011969999997</v>
      </c>
      <c r="KU11" s="50">
        <f t="shared" si="5"/>
        <v>44.777011999999999</v>
      </c>
      <c r="KV11" s="50"/>
      <c r="KW11" s="45">
        <v>44.777011999999999</v>
      </c>
      <c r="KX11" s="50">
        <v>14.17052253</v>
      </c>
      <c r="KY11" s="50">
        <v>0</v>
      </c>
      <c r="KZ11" s="50">
        <v>14.17052253</v>
      </c>
      <c r="LA11" s="50">
        <v>7.7459849500000004</v>
      </c>
      <c r="LB11" s="50">
        <v>0</v>
      </c>
      <c r="LC11" s="50">
        <v>7.7459849500000004</v>
      </c>
      <c r="LD11" s="50">
        <v>10.90475848</v>
      </c>
      <c r="LE11" s="50">
        <v>0</v>
      </c>
      <c r="LF11" s="50">
        <v>10.90475848</v>
      </c>
      <c r="LG11" s="50">
        <v>31.789565190000001</v>
      </c>
      <c r="LH11" s="50">
        <v>0</v>
      </c>
      <c r="LI11" s="174">
        <v>31.789565190000001</v>
      </c>
      <c r="LJ11" s="174">
        <v>26.398273460000002</v>
      </c>
      <c r="LK11" s="50">
        <v>0</v>
      </c>
      <c r="LL11" s="174">
        <v>26.398273460000002</v>
      </c>
      <c r="LM11" s="174">
        <v>19.323995870000001</v>
      </c>
      <c r="LN11" s="50">
        <v>0</v>
      </c>
      <c r="LO11" s="174">
        <v>19.323995870000001</v>
      </c>
      <c r="LP11" s="50">
        <v>19.441162550000001</v>
      </c>
      <c r="LQ11" s="50">
        <v>0</v>
      </c>
      <c r="LR11" s="44">
        <v>19.441162550000001</v>
      </c>
      <c r="LS11" s="50">
        <v>15.91741026</v>
      </c>
      <c r="LT11" s="50">
        <v>0</v>
      </c>
      <c r="LU11" s="52">
        <v>15.91741026</v>
      </c>
      <c r="LV11" s="44">
        <v>15.538953130000001</v>
      </c>
      <c r="LW11" s="50">
        <v>0</v>
      </c>
      <c r="LX11" s="50">
        <v>15.538953130000001</v>
      </c>
      <c r="LY11" s="50">
        <v>13.752924160000001</v>
      </c>
      <c r="LZ11" s="50">
        <v>0</v>
      </c>
      <c r="MA11" s="50">
        <v>13.752924160000001</v>
      </c>
      <c r="MB11" s="50">
        <v>12.68367658</v>
      </c>
      <c r="MC11" s="50">
        <v>0</v>
      </c>
      <c r="MD11" s="50">
        <v>12.68367658</v>
      </c>
      <c r="ME11" s="50">
        <v>19.78506952</v>
      </c>
      <c r="MF11" s="50">
        <v>0</v>
      </c>
      <c r="MG11" s="50">
        <v>19.78506952</v>
      </c>
      <c r="MH11" s="50">
        <f>KX11+LA11+LD11+LG11+LJ11+LM11+LP11+LS11+LV11+LY11+MB11+ME11</f>
        <v>207.45229667999999</v>
      </c>
      <c r="MI11" s="50">
        <f t="shared" si="50"/>
        <v>0</v>
      </c>
      <c r="MJ11" s="50">
        <f t="shared" si="51"/>
        <v>207.45229667999999</v>
      </c>
      <c r="MK11" s="50">
        <f t="shared" si="7"/>
        <v>207.45229699999999</v>
      </c>
      <c r="ML11" s="50"/>
      <c r="MM11" s="50">
        <v>207.45229699999999</v>
      </c>
      <c r="MN11" s="50">
        <v>21.150622289999998</v>
      </c>
      <c r="MO11" s="50">
        <v>0</v>
      </c>
      <c r="MP11" s="50">
        <v>21.150622289999998</v>
      </c>
      <c r="MQ11" s="50">
        <v>8.1905985599999998</v>
      </c>
      <c r="MR11" s="50">
        <v>0</v>
      </c>
      <c r="MS11" s="50">
        <v>8.1905985599999998</v>
      </c>
      <c r="MT11" s="50">
        <v>15.553265789999999</v>
      </c>
      <c r="MU11" s="50">
        <v>0</v>
      </c>
      <c r="MV11" s="50">
        <v>15.553265789999999</v>
      </c>
      <c r="MW11" s="50">
        <v>47.54659754</v>
      </c>
      <c r="MX11" s="50">
        <v>0</v>
      </c>
      <c r="MY11" s="50">
        <v>47.54659754</v>
      </c>
      <c r="MZ11" s="50">
        <v>36.815854420000001</v>
      </c>
      <c r="NA11" s="50">
        <v>0</v>
      </c>
      <c r="NB11" s="50">
        <v>36.815854420000001</v>
      </c>
      <c r="NC11" s="50">
        <v>41.259417090000007</v>
      </c>
      <c r="ND11" s="50">
        <v>0</v>
      </c>
      <c r="NE11" s="50">
        <v>41.259417090000007</v>
      </c>
      <c r="NF11" s="50">
        <v>26.677355600000002</v>
      </c>
      <c r="NG11" s="50">
        <v>0</v>
      </c>
      <c r="NH11" s="50">
        <v>26.677355600000002</v>
      </c>
      <c r="NI11" s="50">
        <v>26.080295899999999</v>
      </c>
      <c r="NJ11" s="50">
        <v>0</v>
      </c>
      <c r="NK11" s="50">
        <v>26.080295899999999</v>
      </c>
      <c r="NL11" s="50">
        <v>14.512897949999999</v>
      </c>
      <c r="NM11" s="50">
        <v>0</v>
      </c>
      <c r="NN11" s="50">
        <v>14.512897949999999</v>
      </c>
      <c r="NO11" s="50">
        <v>23.38458945</v>
      </c>
      <c r="NP11" s="50">
        <v>0</v>
      </c>
      <c r="NQ11" s="50">
        <v>23.38458945</v>
      </c>
      <c r="NR11" s="50">
        <v>28.75122009</v>
      </c>
      <c r="NS11" s="50">
        <v>0</v>
      </c>
      <c r="NT11" s="50">
        <v>28.75122009</v>
      </c>
      <c r="NU11" s="50">
        <v>-8.8433306199999997</v>
      </c>
      <c r="NV11" s="50">
        <v>0</v>
      </c>
      <c r="NW11" s="50">
        <v>-8.8433306199999997</v>
      </c>
      <c r="NX11" s="50">
        <f>MN11+MQ11+MT11+MW11+MZ11+NC11+NF11+NI11+NL11+NO11+NR11+NU11</f>
        <v>281.07938406</v>
      </c>
      <c r="NY11" s="50">
        <f t="shared" si="40"/>
        <v>0</v>
      </c>
      <c r="NZ11" s="50">
        <f t="shared" si="41"/>
        <v>281.07938406</v>
      </c>
      <c r="OA11" s="50">
        <f t="shared" si="8"/>
        <v>281.079384</v>
      </c>
      <c r="OB11" s="50"/>
      <c r="OC11" s="50">
        <v>281.079384</v>
      </c>
      <c r="OD11" s="50">
        <v>36.645934600000004</v>
      </c>
      <c r="OE11" s="50"/>
      <c r="OF11" s="50">
        <v>36.645934600000004</v>
      </c>
      <c r="OG11" s="50">
        <v>28.807555710000003</v>
      </c>
      <c r="OH11" s="50"/>
      <c r="OI11" s="50">
        <v>28.807555710000003</v>
      </c>
      <c r="OJ11" s="50">
        <v>18.87608148</v>
      </c>
      <c r="OK11" s="50"/>
      <c r="OL11" s="50">
        <v>18.87608148</v>
      </c>
      <c r="OM11" s="50">
        <v>34.442598700000005</v>
      </c>
      <c r="ON11" s="50"/>
      <c r="OO11" s="50">
        <v>34.442598700000005</v>
      </c>
      <c r="OP11" s="50">
        <v>49.467463700000003</v>
      </c>
      <c r="OQ11" s="50"/>
      <c r="OR11" s="50">
        <v>49.467463700000003</v>
      </c>
      <c r="OS11" s="50">
        <v>44.263114659999999</v>
      </c>
      <c r="OT11" s="50"/>
      <c r="OU11" s="50">
        <v>44.263114659999999</v>
      </c>
      <c r="OV11" s="50">
        <v>27.860116649999998</v>
      </c>
      <c r="OW11" s="50"/>
      <c r="OX11" s="50">
        <v>27.860116649999998</v>
      </c>
      <c r="OY11" s="94">
        <v>31.240999370000001</v>
      </c>
      <c r="OZ11" s="50"/>
      <c r="PA11" s="94">
        <v>31.240999370000001</v>
      </c>
      <c r="PB11" s="50">
        <v>25.169041270000001</v>
      </c>
      <c r="PC11" s="50"/>
      <c r="PD11" s="50">
        <v>25.169041270000001</v>
      </c>
      <c r="PE11" s="50">
        <v>29.345910280000002</v>
      </c>
      <c r="PF11" s="50"/>
      <c r="PG11" s="50">
        <v>29.345910280000002</v>
      </c>
      <c r="PH11" s="50">
        <v>24.25913654</v>
      </c>
      <c r="PI11" s="50"/>
      <c r="PJ11" s="50">
        <v>24.25913654</v>
      </c>
      <c r="PK11" s="50">
        <v>28.372493200000001</v>
      </c>
      <c r="PL11" s="50"/>
      <c r="PM11" s="50">
        <v>28.372493200000001</v>
      </c>
      <c r="PN11" s="50">
        <f>OD11+OG11+OJ11+OM11+OP11+OS11+OV11+OY11+PB11+PE11+PH11+PK11</f>
        <v>378.75044615999997</v>
      </c>
      <c r="PO11" s="50">
        <f t="shared" si="42"/>
        <v>0</v>
      </c>
      <c r="PP11" s="50">
        <f t="shared" si="43"/>
        <v>378.75044615999997</v>
      </c>
      <c r="PQ11" s="50">
        <f t="shared" si="9"/>
        <v>378.75044600000001</v>
      </c>
      <c r="PR11" s="50"/>
      <c r="PS11" s="50">
        <v>378.75044600000001</v>
      </c>
      <c r="PT11" s="50">
        <v>61.791102840000001</v>
      </c>
      <c r="PU11" s="50"/>
      <c r="PV11" s="50">
        <v>61.791102840000001</v>
      </c>
      <c r="PW11" s="50">
        <v>19.323077089999998</v>
      </c>
      <c r="PX11" s="50"/>
      <c r="PY11" s="50">
        <v>19.323077089999998</v>
      </c>
      <c r="PZ11" s="50">
        <v>31.007726399999999</v>
      </c>
      <c r="QA11" s="50"/>
      <c r="QB11" s="50">
        <v>31.007726399999999</v>
      </c>
      <c r="QC11" s="50">
        <v>47.875981899999999</v>
      </c>
      <c r="QD11" s="50"/>
      <c r="QE11" s="50">
        <v>47.875981899999999</v>
      </c>
      <c r="QF11" s="50">
        <v>50.344546159999993</v>
      </c>
      <c r="QG11" s="50"/>
      <c r="QH11" s="50">
        <v>50.344546159999993</v>
      </c>
      <c r="QI11" s="50">
        <v>121.50320755</v>
      </c>
      <c r="QJ11" s="50"/>
      <c r="QK11" s="50">
        <v>121.50320755</v>
      </c>
      <c r="QL11" s="50">
        <v>36.14371457</v>
      </c>
      <c r="QM11" s="50"/>
      <c r="QN11" s="50">
        <v>36.14371457</v>
      </c>
      <c r="QO11" s="50">
        <v>32.975626829999996</v>
      </c>
      <c r="QP11" s="50"/>
      <c r="QQ11" s="50">
        <v>32.975626829999996</v>
      </c>
      <c r="QR11" s="50">
        <v>53.2216849</v>
      </c>
      <c r="QS11" s="50"/>
      <c r="QT11" s="50">
        <v>53.2216849</v>
      </c>
      <c r="QU11" s="50">
        <v>27.909649039999998</v>
      </c>
      <c r="QV11" s="50"/>
      <c r="QW11" s="50">
        <v>27.909649039999998</v>
      </c>
      <c r="QX11" s="50">
        <v>35.854767159999994</v>
      </c>
      <c r="QY11" s="50"/>
      <c r="QZ11" s="50">
        <v>35.854767159999994</v>
      </c>
      <c r="RA11" s="50">
        <v>26.856984570000002</v>
      </c>
      <c r="RB11" s="50"/>
      <c r="RC11" s="50">
        <v>26.856984570000002</v>
      </c>
      <c r="RD11" s="50">
        <f t="shared" si="52"/>
        <v>544.80806900999994</v>
      </c>
      <c r="RE11" s="50">
        <f t="shared" si="53"/>
        <v>0</v>
      </c>
      <c r="RF11" s="50">
        <f t="shared" si="54"/>
        <v>544.80806900999994</v>
      </c>
      <c r="RG11" s="50">
        <f t="shared" si="11"/>
        <v>544.80806900000005</v>
      </c>
      <c r="RH11" s="50"/>
      <c r="RI11" s="50">
        <v>544.80806900000005</v>
      </c>
      <c r="RJ11" s="50">
        <v>66.341426999999996</v>
      </c>
      <c r="RK11" s="50"/>
      <c r="RL11" s="50">
        <v>66.341426999999996</v>
      </c>
      <c r="RM11" s="50">
        <v>20.887850459999999</v>
      </c>
      <c r="RN11" s="50"/>
      <c r="RO11" s="50">
        <v>20.887850459999999</v>
      </c>
      <c r="RP11" s="50">
        <v>24.280711780000001</v>
      </c>
      <c r="RQ11" s="50"/>
      <c r="RR11" s="50">
        <v>24.280711780000001</v>
      </c>
      <c r="RS11" s="50">
        <v>105.69563192</v>
      </c>
      <c r="RT11" s="50"/>
      <c r="RU11" s="50">
        <v>105.69563192</v>
      </c>
      <c r="RV11" s="50">
        <v>87.686189580000004</v>
      </c>
      <c r="RW11" s="50"/>
      <c r="RX11" s="50">
        <v>87.686189580000004</v>
      </c>
      <c r="RY11" s="50">
        <v>145.37870212999999</v>
      </c>
      <c r="RZ11" s="50"/>
      <c r="SA11" s="50">
        <v>145.37870212999999</v>
      </c>
      <c r="SB11" s="50">
        <v>46.37264442</v>
      </c>
      <c r="SC11" s="50"/>
      <c r="SD11" s="50">
        <v>46.37264442</v>
      </c>
      <c r="SE11" s="50">
        <v>37.146848649999995</v>
      </c>
      <c r="SF11" s="50"/>
      <c r="SG11" s="50">
        <v>37.146848649999995</v>
      </c>
      <c r="SH11" s="50">
        <v>71.016618780000002</v>
      </c>
      <c r="SI11" s="50"/>
      <c r="SJ11" s="50">
        <v>71.016618780000002</v>
      </c>
      <c r="SK11" s="50">
        <v>39.869539140000001</v>
      </c>
      <c r="SL11" s="50"/>
      <c r="SM11" s="50">
        <v>39.869539140000001</v>
      </c>
      <c r="SN11" s="50">
        <v>28.49051815</v>
      </c>
      <c r="SO11" s="50"/>
      <c r="SP11" s="50">
        <v>28.49051815</v>
      </c>
      <c r="SQ11" s="50">
        <v>46.254548870000001</v>
      </c>
      <c r="SR11" s="50"/>
      <c r="SS11" s="50">
        <v>46.254548870000001</v>
      </c>
      <c r="ST11" s="50">
        <f t="shared" si="55"/>
        <v>719.42123088000005</v>
      </c>
      <c r="SU11" s="50">
        <f t="shared" ref="SU11:SU73" si="65">RK11+RN11+RQ11+RT11+RW11+RZ11+SC11+SF11+SI11+SL11+SO11+SR11</f>
        <v>0</v>
      </c>
      <c r="SV11" s="50">
        <f t="shared" si="56"/>
        <v>719.42123088000005</v>
      </c>
      <c r="SW11" s="50">
        <f t="shared" si="44"/>
        <v>719.42123100000003</v>
      </c>
      <c r="SX11" s="50"/>
      <c r="SY11" s="50">
        <v>719.42123100000003</v>
      </c>
      <c r="SZ11" s="50">
        <v>137.08453331999999</v>
      </c>
      <c r="TA11" s="50"/>
      <c r="TB11" s="50">
        <v>137.08453331999999</v>
      </c>
      <c r="TC11" s="50">
        <v>20.043219319999999</v>
      </c>
      <c r="TD11" s="50"/>
      <c r="TE11" s="50">
        <v>20.043219319999999</v>
      </c>
      <c r="TF11" s="50">
        <v>20.72689308</v>
      </c>
      <c r="TG11" s="50"/>
      <c r="TH11" s="50">
        <v>20.72689308</v>
      </c>
      <c r="TI11" s="50">
        <v>120.18695436</v>
      </c>
      <c r="TJ11" s="50"/>
      <c r="TK11" s="50">
        <v>120.18695436</v>
      </c>
      <c r="TL11" s="50">
        <v>81.672789609999995</v>
      </c>
      <c r="TM11" s="50"/>
      <c r="TN11" s="50">
        <v>81.672789609999995</v>
      </c>
      <c r="TO11" s="50">
        <v>115.30458259999999</v>
      </c>
      <c r="TP11" s="50"/>
      <c r="TQ11" s="50">
        <v>115.30458259999999</v>
      </c>
      <c r="TR11" s="50">
        <v>53.397609450000004</v>
      </c>
      <c r="TS11" s="50"/>
      <c r="TT11" s="50">
        <v>53.397609450000004</v>
      </c>
      <c r="TU11" s="50">
        <v>31.667238949999998</v>
      </c>
      <c r="TV11" s="50"/>
      <c r="TW11" s="50">
        <v>31.667238949999998</v>
      </c>
      <c r="TX11" s="50">
        <v>103.9762867</v>
      </c>
      <c r="TY11" s="50"/>
      <c r="TZ11" s="50">
        <v>103.9762867</v>
      </c>
      <c r="UA11" s="50">
        <v>34.78629969</v>
      </c>
      <c r="UB11" s="50"/>
      <c r="UC11" s="50">
        <v>34.78629969</v>
      </c>
      <c r="UD11" s="50">
        <v>28.135584600000001</v>
      </c>
      <c r="UE11" s="50"/>
      <c r="UF11" s="50">
        <v>28.135584600000001</v>
      </c>
      <c r="UG11" s="50">
        <v>40.57725069</v>
      </c>
      <c r="UH11" s="50"/>
      <c r="UI11" s="50">
        <v>40.57725069</v>
      </c>
      <c r="UJ11" s="50">
        <f t="shared" si="45"/>
        <v>787.55924236999999</v>
      </c>
      <c r="UK11" s="50">
        <f t="shared" si="15"/>
        <v>0</v>
      </c>
      <c r="UL11" s="50">
        <f t="shared" si="16"/>
        <v>787.55924236999999</v>
      </c>
      <c r="UM11" s="50">
        <v>106.24033809000001</v>
      </c>
      <c r="UN11" s="50"/>
      <c r="UO11" s="50">
        <v>106.24033809000001</v>
      </c>
      <c r="UP11" s="50">
        <v>22.9687707</v>
      </c>
      <c r="UQ11" s="50"/>
      <c r="UR11" s="50">
        <v>22.9687707</v>
      </c>
      <c r="US11" s="50">
        <v>24.169487929999999</v>
      </c>
      <c r="UT11" s="50"/>
      <c r="UU11" s="50">
        <v>24.169487929999999</v>
      </c>
      <c r="UV11" s="50">
        <v>80.604557880000002</v>
      </c>
      <c r="UW11" s="50"/>
      <c r="UX11" s="50">
        <v>80.604557880000002</v>
      </c>
      <c r="UY11" s="50"/>
      <c r="UZ11" s="50"/>
      <c r="VA11" s="50"/>
      <c r="VB11" s="50"/>
      <c r="VC11" s="50"/>
      <c r="VD11" s="50"/>
      <c r="VE11" s="50"/>
      <c r="VF11" s="50"/>
      <c r="VG11" s="50"/>
      <c r="VH11" s="50"/>
      <c r="VI11" s="50"/>
      <c r="VJ11" s="50"/>
      <c r="VK11" s="50"/>
      <c r="VL11" s="50"/>
      <c r="VM11" s="50"/>
      <c r="VN11" s="50"/>
      <c r="VO11" s="50"/>
      <c r="VP11" s="50"/>
      <c r="VQ11" s="50"/>
      <c r="VR11" s="50"/>
      <c r="VS11" s="50"/>
      <c r="VT11" s="50"/>
      <c r="VU11" s="50"/>
      <c r="VV11" s="50"/>
      <c r="VW11" s="276">
        <f t="shared" si="57"/>
        <v>298.04160000000002</v>
      </c>
      <c r="VX11" s="292">
        <f t="shared" si="58"/>
        <v>0</v>
      </c>
      <c r="VY11" s="292">
        <f t="shared" si="59"/>
        <v>298.04160000000002</v>
      </c>
      <c r="VZ11" s="276">
        <f t="shared" si="60"/>
        <v>233.98315500000001</v>
      </c>
      <c r="WA11" s="292">
        <f t="shared" si="61"/>
        <v>0</v>
      </c>
      <c r="WB11" s="292">
        <f t="shared" si="62"/>
        <v>233.98315500000001</v>
      </c>
      <c r="WC11" s="277">
        <f t="shared" si="63"/>
        <v>-64.058445000000006</v>
      </c>
      <c r="WD11" s="277">
        <f t="shared" si="64"/>
        <v>-21.493122101075826</v>
      </c>
    </row>
    <row r="12" spans="1:602" s="12" customFormat="1" ht="20.5">
      <c r="A12" s="47" t="s">
        <v>35</v>
      </c>
      <c r="C12" s="47" t="s">
        <v>36</v>
      </c>
      <c r="D12" s="45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5"/>
      <c r="BD12" s="45"/>
      <c r="BE12" s="45"/>
      <c r="BF12" s="44"/>
      <c r="BG12" s="50"/>
      <c r="BH12" s="50"/>
      <c r="BI12" s="45"/>
      <c r="BJ12" s="12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45"/>
      <c r="CK12" s="45"/>
      <c r="CL12" s="50"/>
      <c r="CM12" s="42"/>
      <c r="CN12" s="45"/>
      <c r="CO12" s="50"/>
      <c r="CP12" s="50"/>
      <c r="CQ12" s="50"/>
      <c r="CR12" s="50"/>
      <c r="CS12" s="45"/>
      <c r="CT12" s="45"/>
      <c r="CU12" s="44"/>
      <c r="CV12" s="42"/>
      <c r="CW12" s="45"/>
      <c r="CX12" s="50"/>
      <c r="CY12" s="42"/>
      <c r="CZ12" s="45"/>
      <c r="DA12" s="50"/>
      <c r="DB12" s="42"/>
      <c r="DC12" s="45"/>
      <c r="DD12" s="50"/>
      <c r="DE12" s="42"/>
      <c r="DF12" s="45"/>
      <c r="DG12" s="50"/>
      <c r="DH12" s="42"/>
      <c r="DI12" s="45"/>
      <c r="DJ12" s="50"/>
      <c r="DK12" s="42"/>
      <c r="DL12" s="45"/>
      <c r="DM12" s="50"/>
      <c r="DN12" s="42"/>
      <c r="DO12" s="45"/>
      <c r="DP12" s="50"/>
      <c r="DQ12" s="42"/>
      <c r="DR12" s="45"/>
      <c r="DS12" s="50"/>
      <c r="DT12" s="42"/>
      <c r="DU12" s="45"/>
      <c r="DV12" s="50"/>
      <c r="DW12" s="42"/>
      <c r="DX12" s="45"/>
      <c r="DY12" s="50"/>
      <c r="DZ12" s="42"/>
      <c r="EA12" s="45"/>
      <c r="EB12" s="50"/>
      <c r="EC12" s="42"/>
      <c r="ED12" s="45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  <c r="IX12" s="50"/>
      <c r="IY12" s="50"/>
      <c r="IZ12" s="50"/>
      <c r="JA12" s="50"/>
      <c r="JB12" s="50"/>
      <c r="JC12" s="50"/>
      <c r="JD12" s="50"/>
      <c r="JE12" s="50"/>
      <c r="JF12" s="50"/>
      <c r="JG12" s="45"/>
      <c r="JH12" s="50"/>
      <c r="JI12" s="50"/>
      <c r="JJ12" s="50"/>
      <c r="JK12" s="50"/>
      <c r="JL12" s="50"/>
      <c r="JM12" s="50"/>
      <c r="JN12" s="50"/>
      <c r="JO12" s="50"/>
      <c r="JP12" s="50"/>
      <c r="JQ12" s="50"/>
      <c r="JR12" s="50"/>
      <c r="JS12" s="50"/>
      <c r="JT12" s="50"/>
      <c r="JU12" s="50"/>
      <c r="JV12" s="50"/>
      <c r="JW12" s="50"/>
      <c r="JX12" s="50"/>
      <c r="JY12" s="50"/>
      <c r="JZ12" s="50"/>
      <c r="KA12" s="50"/>
      <c r="KB12" s="50"/>
      <c r="KC12" s="50"/>
      <c r="KD12" s="50"/>
      <c r="KE12" s="50"/>
      <c r="KF12" s="50"/>
      <c r="KG12" s="50"/>
      <c r="KH12" s="50"/>
      <c r="KI12" s="50"/>
      <c r="KJ12" s="50"/>
      <c r="KK12" s="50"/>
      <c r="KL12" s="50"/>
      <c r="KM12" s="50"/>
      <c r="KN12" s="50"/>
      <c r="KO12" s="50"/>
      <c r="KP12" s="50"/>
      <c r="KQ12" s="50"/>
      <c r="KR12" s="50"/>
      <c r="KS12" s="50"/>
      <c r="KT12" s="50"/>
      <c r="KU12" s="50"/>
      <c r="KV12" s="50"/>
      <c r="KW12" s="45"/>
      <c r="KX12" s="50"/>
      <c r="KY12" s="50"/>
      <c r="KZ12" s="50"/>
      <c r="LA12" s="50"/>
      <c r="LB12" s="50"/>
      <c r="LC12" s="50"/>
      <c r="LD12" s="50"/>
      <c r="LE12" s="50"/>
      <c r="LF12" s="50"/>
      <c r="LG12" s="50"/>
      <c r="LH12" s="50"/>
      <c r="LI12" s="174"/>
      <c r="LJ12" s="174"/>
      <c r="LK12" s="50"/>
      <c r="LL12" s="174"/>
      <c r="LM12" s="174"/>
      <c r="LN12" s="50"/>
      <c r="LO12" s="174"/>
      <c r="LP12" s="50"/>
      <c r="LQ12" s="50"/>
      <c r="LR12" s="44"/>
      <c r="LS12" s="50"/>
      <c r="LT12" s="50"/>
      <c r="LU12" s="52"/>
      <c r="LV12" s="44"/>
      <c r="LW12" s="50"/>
      <c r="LX12" s="50"/>
      <c r="LY12" s="50"/>
      <c r="LZ12" s="50"/>
      <c r="MA12" s="50"/>
      <c r="MB12" s="50"/>
      <c r="MC12" s="50"/>
      <c r="MD12" s="50"/>
      <c r="ME12" s="50"/>
      <c r="MF12" s="50"/>
      <c r="MG12" s="50"/>
      <c r="MH12" s="50"/>
      <c r="MI12" s="50"/>
      <c r="MJ12" s="50"/>
      <c r="MK12" s="50"/>
      <c r="ML12" s="50"/>
      <c r="MM12" s="50"/>
      <c r="MN12" s="50"/>
      <c r="MO12" s="50"/>
      <c r="MP12" s="50"/>
      <c r="MQ12" s="50"/>
      <c r="MR12" s="50"/>
      <c r="MS12" s="50"/>
      <c r="MT12" s="50"/>
      <c r="MU12" s="50"/>
      <c r="MV12" s="50"/>
      <c r="MW12" s="50"/>
      <c r="MX12" s="50"/>
      <c r="MY12" s="50"/>
      <c r="MZ12" s="50"/>
      <c r="NA12" s="50"/>
      <c r="NB12" s="50"/>
      <c r="NC12" s="50"/>
      <c r="ND12" s="50"/>
      <c r="NE12" s="50"/>
      <c r="NF12" s="50"/>
      <c r="NG12" s="50"/>
      <c r="NH12" s="50"/>
      <c r="NI12" s="50"/>
      <c r="NJ12" s="50"/>
      <c r="NK12" s="50"/>
      <c r="NL12" s="50"/>
      <c r="NM12" s="50"/>
      <c r="NN12" s="50"/>
      <c r="NO12" s="50"/>
      <c r="NP12" s="50"/>
      <c r="NQ12" s="50"/>
      <c r="NR12" s="50"/>
      <c r="NS12" s="50"/>
      <c r="NT12" s="50"/>
      <c r="NU12" s="50"/>
      <c r="NV12" s="50"/>
      <c r="NW12" s="50"/>
      <c r="NX12" s="50"/>
      <c r="NY12" s="50"/>
      <c r="NZ12" s="50"/>
      <c r="OA12" s="50"/>
      <c r="OB12" s="50"/>
      <c r="OC12" s="50"/>
      <c r="OD12" s="50"/>
      <c r="OE12" s="50"/>
      <c r="OF12" s="50"/>
      <c r="OG12" s="50"/>
      <c r="OH12" s="50"/>
      <c r="OI12" s="50"/>
      <c r="OJ12" s="50"/>
      <c r="OK12" s="50"/>
      <c r="OL12" s="50"/>
      <c r="OM12" s="50"/>
      <c r="ON12" s="50"/>
      <c r="OO12" s="50"/>
      <c r="OP12" s="50"/>
      <c r="OQ12" s="50"/>
      <c r="OR12" s="50"/>
      <c r="OS12" s="50"/>
      <c r="OT12" s="50"/>
      <c r="OU12" s="50"/>
      <c r="OV12" s="50"/>
      <c r="OW12" s="50"/>
      <c r="OX12" s="50"/>
      <c r="OY12" s="94"/>
      <c r="OZ12" s="50"/>
      <c r="PA12" s="94"/>
      <c r="PB12" s="50"/>
      <c r="PC12" s="50"/>
      <c r="PD12" s="50"/>
      <c r="PE12" s="50"/>
      <c r="PF12" s="50"/>
      <c r="PG12" s="50"/>
      <c r="PH12" s="50"/>
      <c r="PI12" s="50"/>
      <c r="PJ12" s="50"/>
      <c r="PK12" s="50"/>
      <c r="PL12" s="50"/>
      <c r="PM12" s="50"/>
      <c r="PN12" s="50"/>
      <c r="PO12" s="50"/>
      <c r="PP12" s="50"/>
      <c r="PQ12" s="50"/>
      <c r="PR12" s="50"/>
      <c r="PS12" s="50"/>
      <c r="PT12" s="50"/>
      <c r="PU12" s="50"/>
      <c r="PV12" s="50"/>
      <c r="PW12" s="50"/>
      <c r="PX12" s="50"/>
      <c r="PY12" s="50"/>
      <c r="PZ12" s="50"/>
      <c r="QA12" s="50"/>
      <c r="QB12" s="50"/>
      <c r="QC12" s="50"/>
      <c r="QD12" s="50"/>
      <c r="QE12" s="50"/>
      <c r="QF12" s="50"/>
      <c r="QG12" s="50"/>
      <c r="QH12" s="50"/>
      <c r="QI12" s="50"/>
      <c r="QJ12" s="50"/>
      <c r="QK12" s="50"/>
      <c r="QL12" s="50"/>
      <c r="QM12" s="50"/>
      <c r="QN12" s="50"/>
      <c r="QO12" s="50"/>
      <c r="QP12" s="50"/>
      <c r="QQ12" s="50"/>
      <c r="QR12" s="50"/>
      <c r="QS12" s="50"/>
      <c r="QT12" s="50"/>
      <c r="QU12" s="50"/>
      <c r="QV12" s="50"/>
      <c r="QW12" s="50"/>
      <c r="QX12" s="50"/>
      <c r="QY12" s="50"/>
      <c r="QZ12" s="50"/>
      <c r="RA12" s="50"/>
      <c r="RB12" s="50"/>
      <c r="RC12" s="50"/>
      <c r="RD12" s="50"/>
      <c r="RE12" s="50"/>
      <c r="RF12" s="50"/>
      <c r="RG12" s="50"/>
      <c r="RH12" s="50"/>
      <c r="RI12" s="50"/>
      <c r="RJ12" s="50"/>
      <c r="RK12" s="50"/>
      <c r="RL12" s="50"/>
      <c r="RM12" s="50"/>
      <c r="RN12" s="50"/>
      <c r="RO12" s="50"/>
      <c r="RP12" s="50"/>
      <c r="RQ12" s="50"/>
      <c r="RR12" s="50"/>
      <c r="RS12" s="50"/>
      <c r="RT12" s="50"/>
      <c r="RU12" s="50"/>
      <c r="RV12" s="50"/>
      <c r="RW12" s="50"/>
      <c r="RX12" s="50"/>
      <c r="RY12" s="50"/>
      <c r="RZ12" s="50"/>
      <c r="SA12" s="50"/>
      <c r="SB12" s="50"/>
      <c r="SC12" s="50"/>
      <c r="SD12" s="50"/>
      <c r="SE12" s="50"/>
      <c r="SF12" s="50"/>
      <c r="SG12" s="50"/>
      <c r="SH12" s="50"/>
      <c r="SI12" s="50"/>
      <c r="SJ12" s="50"/>
      <c r="SK12" s="50"/>
      <c r="SL12" s="50"/>
      <c r="SM12" s="50"/>
      <c r="SN12" s="50">
        <v>0</v>
      </c>
      <c r="SO12" s="50"/>
      <c r="SP12" s="50"/>
      <c r="SQ12" s="50">
        <v>0</v>
      </c>
      <c r="SR12" s="50"/>
      <c r="SS12" s="50"/>
      <c r="ST12" s="50">
        <f t="shared" si="55"/>
        <v>0</v>
      </c>
      <c r="SU12" s="50">
        <f t="shared" si="65"/>
        <v>0</v>
      </c>
      <c r="SV12" s="50">
        <f t="shared" si="56"/>
        <v>0</v>
      </c>
      <c r="SW12" s="50">
        <f t="shared" si="44"/>
        <v>0</v>
      </c>
      <c r="SX12" s="50"/>
      <c r="SY12" s="50"/>
      <c r="SZ12" s="50"/>
      <c r="TA12" s="50"/>
      <c r="TB12" s="50"/>
      <c r="TC12" s="50">
        <v>0</v>
      </c>
      <c r="TD12" s="50"/>
      <c r="TE12" s="50"/>
      <c r="TF12" s="50"/>
      <c r="TG12" s="50"/>
      <c r="TH12" s="50">
        <v>0</v>
      </c>
      <c r="TI12" s="50">
        <v>0</v>
      </c>
      <c r="TJ12" s="50"/>
      <c r="TK12" s="50"/>
      <c r="TL12" s="50">
        <v>30.677752999999999</v>
      </c>
      <c r="TM12" s="50"/>
      <c r="TN12" s="50">
        <v>30.677752999999999</v>
      </c>
      <c r="TO12" s="50">
        <v>0</v>
      </c>
      <c r="TP12" s="50"/>
      <c r="TQ12" s="50"/>
      <c r="TR12" s="50">
        <v>5.4334000000000001E-4</v>
      </c>
      <c r="TS12" s="50"/>
      <c r="TT12" s="50">
        <v>5.4334000000000001E-4</v>
      </c>
      <c r="TU12" s="50">
        <v>24.759549660000001</v>
      </c>
      <c r="TV12" s="50"/>
      <c r="TW12" s="50">
        <v>24.759549660000001</v>
      </c>
      <c r="TX12" s="50">
        <v>7.7620000000000006E-5</v>
      </c>
      <c r="TY12" s="50"/>
      <c r="TZ12" s="50">
        <v>7.7620000000000006E-5</v>
      </c>
      <c r="UA12" s="50">
        <v>0</v>
      </c>
      <c r="UB12" s="50"/>
      <c r="UC12" s="50"/>
      <c r="UD12" s="50">
        <v>18.657013679999999</v>
      </c>
      <c r="UE12" s="50"/>
      <c r="UF12" s="50">
        <v>18.657013679999999</v>
      </c>
      <c r="UG12" s="50">
        <v>-1.080368E-2</v>
      </c>
      <c r="UH12" s="50"/>
      <c r="UI12" s="50">
        <v>-1.080368E-2</v>
      </c>
      <c r="UJ12" s="50">
        <f t="shared" si="45"/>
        <v>74.084133620000003</v>
      </c>
      <c r="UK12" s="50">
        <f t="shared" si="15"/>
        <v>0</v>
      </c>
      <c r="UL12" s="50">
        <f t="shared" si="16"/>
        <v>74.084133620000003</v>
      </c>
      <c r="UM12" s="50">
        <v>8.0849999999999997E-4</v>
      </c>
      <c r="UN12" s="50"/>
      <c r="UO12" s="50">
        <v>8.0849999999999997E-4</v>
      </c>
      <c r="UP12" s="50">
        <v>17.3008825</v>
      </c>
      <c r="UQ12" s="50"/>
      <c r="UR12" s="50">
        <v>17.3008825</v>
      </c>
      <c r="US12" s="50">
        <v>6.6319999999999999E-3</v>
      </c>
      <c r="UT12" s="50"/>
      <c r="UU12" s="50">
        <v>6.6319999999999999E-3</v>
      </c>
      <c r="UV12" s="50">
        <v>0</v>
      </c>
      <c r="UW12" s="50"/>
      <c r="UX12" s="50"/>
      <c r="UY12" s="50"/>
      <c r="UZ12" s="50"/>
      <c r="VA12" s="50"/>
      <c r="VB12" s="50"/>
      <c r="VC12" s="50"/>
      <c r="VD12" s="50"/>
      <c r="VE12" s="50"/>
      <c r="VF12" s="50"/>
      <c r="VG12" s="50"/>
      <c r="VH12" s="50"/>
      <c r="VI12" s="50"/>
      <c r="VJ12" s="50"/>
      <c r="VK12" s="50"/>
      <c r="VL12" s="50"/>
      <c r="VM12" s="50"/>
      <c r="VN12" s="50"/>
      <c r="VO12" s="50"/>
      <c r="VP12" s="50"/>
      <c r="VQ12" s="50"/>
      <c r="VR12" s="50"/>
      <c r="VS12" s="50"/>
      <c r="VT12" s="50"/>
      <c r="VU12" s="50"/>
      <c r="VV12" s="50"/>
      <c r="VW12" s="276">
        <f t="shared" si="57"/>
        <v>0</v>
      </c>
      <c r="VX12" s="292">
        <f t="shared" si="58"/>
        <v>0</v>
      </c>
      <c r="VY12" s="292">
        <f t="shared" si="59"/>
        <v>0</v>
      </c>
      <c r="VZ12" s="276">
        <f t="shared" si="60"/>
        <v>17.308323000000001</v>
      </c>
      <c r="WA12" s="292">
        <f t="shared" si="61"/>
        <v>0</v>
      </c>
      <c r="WB12" s="292">
        <f t="shared" si="62"/>
        <v>17.308323000000001</v>
      </c>
      <c r="WC12" s="277">
        <f t="shared" si="63"/>
        <v>17.308323000000001</v>
      </c>
      <c r="WD12" s="277"/>
    </row>
    <row r="13" spans="1:602" s="12" customFormat="1" ht="20.5">
      <c r="A13" s="47" t="s">
        <v>37</v>
      </c>
      <c r="B13" s="12" t="s">
        <v>38</v>
      </c>
      <c r="C13" s="47" t="s">
        <v>39</v>
      </c>
      <c r="D13" s="45">
        <v>265.31850274045109</v>
      </c>
      <c r="E13" s="42">
        <v>291.31938065235829</v>
      </c>
      <c r="F13" s="42">
        <v>177.15839266708784</v>
      </c>
      <c r="G13" s="42">
        <v>221.35286936329331</v>
      </c>
      <c r="H13" s="42">
        <v>15.551752693496338</v>
      </c>
      <c r="I13" s="42">
        <v>15.042391619854186</v>
      </c>
      <c r="J13" s="42">
        <v>16.414375843051548</v>
      </c>
      <c r="K13" s="42">
        <v>17.03113812670389</v>
      </c>
      <c r="L13" s="42">
        <v>17.296028480202164</v>
      </c>
      <c r="M13" s="42">
        <v>17.256815555972931</v>
      </c>
      <c r="N13" s="42">
        <v>18.074144427180268</v>
      </c>
      <c r="O13" s="42">
        <v>16.435683348415775</v>
      </c>
      <c r="P13" s="42">
        <v>16.158944741350364</v>
      </c>
      <c r="Q13" s="42">
        <v>16.442745061211944</v>
      </c>
      <c r="R13" s="42">
        <v>17.350407795060928</v>
      </c>
      <c r="S13" s="42">
        <v>20.072518084700715</v>
      </c>
      <c r="T13" s="42">
        <v>203.12694577720106</v>
      </c>
      <c r="U13" s="42">
        <v>0</v>
      </c>
      <c r="V13" s="42">
        <v>203.12694577720106</v>
      </c>
      <c r="W13" s="42">
        <v>203.12694577720106</v>
      </c>
      <c r="X13" s="42">
        <v>19.399651965555119</v>
      </c>
      <c r="Y13" s="42">
        <v>19.27151524464858</v>
      </c>
      <c r="Z13" s="42">
        <v>18.786520850763512</v>
      </c>
      <c r="AA13" s="42">
        <v>20.9093915230989</v>
      </c>
      <c r="AB13" s="42">
        <v>20.239506320396583</v>
      </c>
      <c r="AC13" s="42">
        <v>21.718671208473484</v>
      </c>
      <c r="AD13" s="42">
        <v>23.066561943301405</v>
      </c>
      <c r="AE13" s="42">
        <v>20.832324517219593</v>
      </c>
      <c r="AF13" s="42">
        <v>19.172639882527704</v>
      </c>
      <c r="AG13" s="42">
        <v>20.958166145895586</v>
      </c>
      <c r="AH13" s="42">
        <v>21.818203937370875</v>
      </c>
      <c r="AI13" s="42">
        <v>22.032062993380801</v>
      </c>
      <c r="AJ13" s="42">
        <f t="shared" si="46"/>
        <v>248.20521653263214</v>
      </c>
      <c r="AK13" s="42">
        <v>0</v>
      </c>
      <c r="AL13" s="42">
        <v>248.20521653263214</v>
      </c>
      <c r="AM13" s="42">
        <v>248.20521653263214</v>
      </c>
      <c r="AN13" s="42">
        <v>23.388350094763261</v>
      </c>
      <c r="AO13" s="42">
        <v>19.65736819938418</v>
      </c>
      <c r="AP13" s="42">
        <v>20.920995042714612</v>
      </c>
      <c r="AQ13" s="42">
        <v>21.867604623764237</v>
      </c>
      <c r="AR13" s="42">
        <v>22.981287812818366</v>
      </c>
      <c r="AS13" s="42">
        <v>21.937194438278667</v>
      </c>
      <c r="AT13" s="42">
        <v>23.269928742579726</v>
      </c>
      <c r="AU13" s="42">
        <v>20.969349918327158</v>
      </c>
      <c r="AV13" s="42">
        <v>20.719098070016678</v>
      </c>
      <c r="AW13" s="42">
        <v>22.075716700531014</v>
      </c>
      <c r="AX13" s="42">
        <v>21.978066431039096</v>
      </c>
      <c r="AY13" s="42">
        <v>26.179344454499407</v>
      </c>
      <c r="AZ13" s="42">
        <v>265.94430452871637</v>
      </c>
      <c r="BA13" s="42"/>
      <c r="BB13" s="42">
        <v>265.94430452871637</v>
      </c>
      <c r="BC13" s="45">
        <f t="shared" si="21"/>
        <v>265.94430452871643</v>
      </c>
      <c r="BD13" s="45"/>
      <c r="BE13" s="45">
        <v>265.94430452871643</v>
      </c>
      <c r="BF13" s="44">
        <v>20.982786000000001</v>
      </c>
      <c r="BG13" s="50"/>
      <c r="BH13" s="50">
        <f>BF13+BG13</f>
        <v>20.982786000000001</v>
      </c>
      <c r="BI13" s="45">
        <v>21.284703</v>
      </c>
      <c r="BJ13" s="120"/>
      <c r="BK13" s="50">
        <f>BI13+BJ13</f>
        <v>21.284703</v>
      </c>
      <c r="BL13" s="50">
        <v>21.088723000000002</v>
      </c>
      <c r="BM13" s="50"/>
      <c r="BN13" s="50">
        <f>BL13+BM13</f>
        <v>21.088723000000002</v>
      </c>
      <c r="BO13" s="50">
        <v>23.390782000000002</v>
      </c>
      <c r="BP13" s="50"/>
      <c r="BQ13" s="50">
        <f>BO13+BP13</f>
        <v>23.390782000000002</v>
      </c>
      <c r="BR13" s="50">
        <v>22.674706</v>
      </c>
      <c r="BS13" s="50"/>
      <c r="BT13" s="50">
        <f>BR13+BS13</f>
        <v>22.674706</v>
      </c>
      <c r="BU13" s="50">
        <v>22.730246999999999</v>
      </c>
      <c r="BV13" s="50"/>
      <c r="BW13" s="50">
        <f>BU13+BV13</f>
        <v>22.730246999999999</v>
      </c>
      <c r="BX13" s="50">
        <v>26.392643</v>
      </c>
      <c r="BY13" s="50"/>
      <c r="BZ13" s="50">
        <f>BX13+BY13</f>
        <v>26.392643</v>
      </c>
      <c r="CA13" s="50">
        <v>23.196256999999999</v>
      </c>
      <c r="CB13" s="50"/>
      <c r="CC13" s="50">
        <f>CA13+CB13</f>
        <v>23.196256999999999</v>
      </c>
      <c r="CD13" s="50">
        <v>21.54494931</v>
      </c>
      <c r="CE13" s="50"/>
      <c r="CF13" s="50">
        <f>CD13+CE13</f>
        <v>21.54494931</v>
      </c>
      <c r="CG13" s="50">
        <v>24.224437379999998</v>
      </c>
      <c r="CH13" s="50"/>
      <c r="CI13" s="50">
        <f>CG13+CH13</f>
        <v>24.224437379999998</v>
      </c>
      <c r="CJ13" s="45">
        <v>22.991881020000001</v>
      </c>
      <c r="CK13" s="45"/>
      <c r="CL13" s="50">
        <f>CJ13+CK13</f>
        <v>22.991881020000001</v>
      </c>
      <c r="CM13" s="42">
        <v>26.656573469999998</v>
      </c>
      <c r="CN13" s="45"/>
      <c r="CO13" s="50">
        <f>CM13+CN13</f>
        <v>26.656573469999998</v>
      </c>
      <c r="CP13" s="50">
        <f t="shared" si="24"/>
        <v>277.15868818000001</v>
      </c>
      <c r="CQ13" s="50">
        <f t="shared" si="25"/>
        <v>0</v>
      </c>
      <c r="CR13" s="50">
        <f t="shared" si="26"/>
        <v>277.15868818000001</v>
      </c>
      <c r="CS13" s="45">
        <f t="shared" si="2"/>
        <v>277.15868899999998</v>
      </c>
      <c r="CT13" s="45"/>
      <c r="CU13" s="42">
        <v>277.15868899999998</v>
      </c>
      <c r="CV13" s="42">
        <v>23.313562440000002</v>
      </c>
      <c r="CW13" s="45"/>
      <c r="CX13" s="50">
        <f>CV13+CW13</f>
        <v>23.313562440000002</v>
      </c>
      <c r="CY13" s="42">
        <v>22.32370792</v>
      </c>
      <c r="CZ13" s="45"/>
      <c r="DA13" s="50">
        <v>22.32370792</v>
      </c>
      <c r="DB13" s="42">
        <v>22.199314409999999</v>
      </c>
      <c r="DC13" s="45"/>
      <c r="DD13" s="50">
        <v>22.199314409999999</v>
      </c>
      <c r="DE13" s="42">
        <v>24.146046309999999</v>
      </c>
      <c r="DF13" s="45"/>
      <c r="DG13" s="50">
        <v>24.146046309999999</v>
      </c>
      <c r="DH13" s="42">
        <v>23.289576660000002</v>
      </c>
      <c r="DI13" s="45"/>
      <c r="DJ13" s="50">
        <v>23.289576660000002</v>
      </c>
      <c r="DK13" s="42">
        <v>24.803715760000003</v>
      </c>
      <c r="DL13" s="45"/>
      <c r="DM13" s="50">
        <v>24.803715760000003</v>
      </c>
      <c r="DN13" s="42">
        <v>25.677748789999999</v>
      </c>
      <c r="DO13" s="45"/>
      <c r="DP13" s="50">
        <v>25.677748789999999</v>
      </c>
      <c r="DQ13" s="42">
        <v>23.859079300000001</v>
      </c>
      <c r="DR13" s="45"/>
      <c r="DS13" s="50">
        <v>23.859079300000001</v>
      </c>
      <c r="DT13" s="42">
        <v>22.623614410000002</v>
      </c>
      <c r="DU13" s="45"/>
      <c r="DV13" s="50">
        <v>22.623614410000002</v>
      </c>
      <c r="DW13" s="42">
        <v>24.2242712</v>
      </c>
      <c r="DX13" s="45"/>
      <c r="DY13" s="50">
        <v>24.2242712</v>
      </c>
      <c r="DZ13" s="42">
        <v>23.676231789999999</v>
      </c>
      <c r="EA13" s="45"/>
      <c r="EB13" s="50">
        <v>23.676231789999999</v>
      </c>
      <c r="EC13" s="42">
        <v>28.655153600000002</v>
      </c>
      <c r="ED13" s="45"/>
      <c r="EE13" s="50">
        <v>28.655153600000002</v>
      </c>
      <c r="EF13" s="50">
        <f t="shared" si="27"/>
        <v>288.79202258999999</v>
      </c>
      <c r="EG13" s="50">
        <f t="shared" si="28"/>
        <v>0</v>
      </c>
      <c r="EH13" s="50">
        <f t="shared" si="29"/>
        <v>288.79202258999999</v>
      </c>
      <c r="EI13" s="50">
        <f>EK13-EJ13</f>
        <v>288.79202258999999</v>
      </c>
      <c r="EJ13" s="50"/>
      <c r="EK13" s="50">
        <v>288.79202258999999</v>
      </c>
      <c r="EL13" s="50">
        <v>23.577638409999999</v>
      </c>
      <c r="EM13" s="50"/>
      <c r="EN13" s="50">
        <v>23.577638409999999</v>
      </c>
      <c r="EO13" s="50">
        <v>23.149585829999999</v>
      </c>
      <c r="EP13" s="50"/>
      <c r="EQ13" s="50">
        <v>23.149585829999999</v>
      </c>
      <c r="ER13" s="50">
        <v>22.02494063</v>
      </c>
      <c r="ES13" s="50"/>
      <c r="ET13" s="50">
        <v>22.02494063</v>
      </c>
      <c r="EU13" s="50">
        <v>25.711868110000001</v>
      </c>
      <c r="EV13" s="50"/>
      <c r="EW13" s="50">
        <v>25.711868110000001</v>
      </c>
      <c r="EX13" s="50">
        <v>23.804916070000001</v>
      </c>
      <c r="EY13" s="50"/>
      <c r="EZ13" s="50">
        <v>23.804916070000001</v>
      </c>
      <c r="FA13" s="50">
        <v>26.48227558</v>
      </c>
      <c r="FB13" s="50"/>
      <c r="FC13" s="50">
        <v>26.48227558</v>
      </c>
      <c r="FD13" s="50">
        <v>27.632422260000002</v>
      </c>
      <c r="FE13" s="50"/>
      <c r="FF13" s="50">
        <v>27.632422260000002</v>
      </c>
      <c r="FG13" s="50">
        <v>25.136598030000002</v>
      </c>
      <c r="FH13" s="50"/>
      <c r="FI13" s="50">
        <v>25.136598030000002</v>
      </c>
      <c r="FJ13" s="50">
        <v>24.412419239999998</v>
      </c>
      <c r="FK13" s="50"/>
      <c r="FL13" s="50">
        <v>24.412419239999998</v>
      </c>
      <c r="FM13" s="50">
        <v>25.721775449999999</v>
      </c>
      <c r="FN13" s="50"/>
      <c r="FO13" s="50">
        <v>25.721775449999999</v>
      </c>
      <c r="FP13" s="50">
        <v>20.579662030000001</v>
      </c>
      <c r="FQ13" s="50"/>
      <c r="FR13" s="50">
        <v>20.579662030000001</v>
      </c>
      <c r="FS13" s="50">
        <v>27.243369920000003</v>
      </c>
      <c r="FT13" s="50"/>
      <c r="FU13" s="50">
        <v>27.243369920000003</v>
      </c>
      <c r="FV13" s="50">
        <f t="shared" si="30"/>
        <v>295.47747155999997</v>
      </c>
      <c r="FW13" s="50">
        <f t="shared" si="31"/>
        <v>0</v>
      </c>
      <c r="FX13" s="50">
        <f t="shared" si="32"/>
        <v>295.47747155999997</v>
      </c>
      <c r="FY13" s="50">
        <f>GA13-FZ13</f>
        <v>295.47747099999998</v>
      </c>
      <c r="FZ13" s="50"/>
      <c r="GA13" s="50">
        <v>295.47747099999998</v>
      </c>
      <c r="GB13" s="50">
        <v>26.410161309999999</v>
      </c>
      <c r="GC13" s="50"/>
      <c r="GD13" s="50">
        <v>26.410161309999999</v>
      </c>
      <c r="GE13" s="50">
        <v>25.81781484</v>
      </c>
      <c r="GF13" s="50"/>
      <c r="GG13" s="50">
        <v>25.81781484</v>
      </c>
      <c r="GH13" s="50">
        <v>23.727340390000002</v>
      </c>
      <c r="GI13" s="50"/>
      <c r="GJ13" s="50">
        <v>23.727340390000002</v>
      </c>
      <c r="GK13" s="50">
        <v>26.891215300000002</v>
      </c>
      <c r="GL13" s="50"/>
      <c r="GM13" s="50">
        <v>26.891215300000002</v>
      </c>
      <c r="GN13" s="50">
        <v>27.192370620000002</v>
      </c>
      <c r="GO13" s="50"/>
      <c r="GP13" s="50">
        <v>27.192370620000002</v>
      </c>
      <c r="GQ13" s="50">
        <v>29.50864983</v>
      </c>
      <c r="GR13" s="50"/>
      <c r="GS13" s="50">
        <v>29.50864983</v>
      </c>
      <c r="GT13" s="50">
        <v>30.947907789999999</v>
      </c>
      <c r="GU13" s="50"/>
      <c r="GV13" s="50">
        <v>30.947907789999999</v>
      </c>
      <c r="GW13" s="50">
        <v>28.703566250000002</v>
      </c>
      <c r="GX13" s="50"/>
      <c r="GY13" s="50">
        <v>28.703566250000002</v>
      </c>
      <c r="GZ13" s="50">
        <v>27.482797619999999</v>
      </c>
      <c r="HA13" s="50"/>
      <c r="HB13" s="50">
        <v>27.482797619999999</v>
      </c>
      <c r="HC13" s="50">
        <v>29.009576640000002</v>
      </c>
      <c r="HD13" s="50"/>
      <c r="HE13" s="50">
        <v>29.009576640000002</v>
      </c>
      <c r="HF13" s="50">
        <v>29.344892519999998</v>
      </c>
      <c r="HG13" s="50"/>
      <c r="HH13" s="50">
        <v>29.344892519999998</v>
      </c>
      <c r="HI13" s="50">
        <v>35.503725530000004</v>
      </c>
      <c r="HJ13" s="50"/>
      <c r="HK13" s="50">
        <v>35.503725530000004</v>
      </c>
      <c r="HL13" s="50">
        <f t="shared" si="33"/>
        <v>340.54001863999991</v>
      </c>
      <c r="HM13" s="50">
        <f t="shared" si="34"/>
        <v>0</v>
      </c>
      <c r="HN13" s="50">
        <f t="shared" si="35"/>
        <v>340.54001863999991</v>
      </c>
      <c r="HO13" s="50">
        <f t="shared" si="3"/>
        <v>340.54001899999997</v>
      </c>
      <c r="HP13" s="50"/>
      <c r="HQ13" s="50">
        <v>340.54001899999997</v>
      </c>
      <c r="HR13" s="50">
        <v>28.650026230000002</v>
      </c>
      <c r="HS13" s="50">
        <v>0</v>
      </c>
      <c r="HT13" s="50">
        <v>28.650026230000002</v>
      </c>
      <c r="HU13" s="50">
        <v>26.54579601</v>
      </c>
      <c r="HV13" s="50">
        <v>0</v>
      </c>
      <c r="HW13" s="50">
        <v>26.54579601</v>
      </c>
      <c r="HX13" s="50">
        <v>21.496518179999999</v>
      </c>
      <c r="HY13" s="50">
        <v>0</v>
      </c>
      <c r="HZ13" s="50">
        <v>21.496518179999999</v>
      </c>
      <c r="IA13" s="50">
        <v>24.533685579999997</v>
      </c>
      <c r="IB13" s="50">
        <v>0</v>
      </c>
      <c r="IC13" s="50">
        <v>24.533685579999997</v>
      </c>
      <c r="ID13" s="50">
        <v>25.366584159999999</v>
      </c>
      <c r="IE13" s="50">
        <v>0</v>
      </c>
      <c r="IF13" s="50">
        <v>25.366584159999999</v>
      </c>
      <c r="IG13" s="50">
        <v>30.455170640000002</v>
      </c>
      <c r="IH13" s="50">
        <v>0</v>
      </c>
      <c r="II13" s="50">
        <v>30.455170640000002</v>
      </c>
      <c r="IJ13" s="50">
        <v>23.523130859999998</v>
      </c>
      <c r="IK13" s="50">
        <v>0</v>
      </c>
      <c r="IL13" s="50">
        <v>23.523130859999998</v>
      </c>
      <c r="IM13" s="50">
        <v>29.711267249999999</v>
      </c>
      <c r="IN13" s="50">
        <v>0</v>
      </c>
      <c r="IO13" s="50">
        <v>29.711267249999999</v>
      </c>
      <c r="IP13" s="50">
        <v>28.459490940000002</v>
      </c>
      <c r="IQ13" s="50">
        <v>0</v>
      </c>
      <c r="IR13" s="50">
        <v>28.459490940000002</v>
      </c>
      <c r="IS13" s="50">
        <v>29.71227914</v>
      </c>
      <c r="IT13" s="50">
        <v>0</v>
      </c>
      <c r="IU13" s="50">
        <v>29.71227914</v>
      </c>
      <c r="IV13" s="50">
        <v>31.213025780000002</v>
      </c>
      <c r="IW13" s="50">
        <v>0</v>
      </c>
      <c r="IX13" s="50">
        <v>31.213025780000002</v>
      </c>
      <c r="IY13" s="50">
        <v>40.906073670000005</v>
      </c>
      <c r="IZ13" s="50">
        <v>0</v>
      </c>
      <c r="JA13" s="50">
        <v>40.906073670000005</v>
      </c>
      <c r="JB13" s="50">
        <f t="shared" si="36"/>
        <v>340.57304844000004</v>
      </c>
      <c r="JC13" s="50">
        <f t="shared" si="37"/>
        <v>0</v>
      </c>
      <c r="JD13" s="50">
        <f t="shared" si="38"/>
        <v>340.57304844000004</v>
      </c>
      <c r="JE13" s="50">
        <f t="shared" si="4"/>
        <v>340.57304799999997</v>
      </c>
      <c r="JF13" s="50"/>
      <c r="JG13" s="45">
        <v>340.57304799999997</v>
      </c>
      <c r="JH13" s="50">
        <v>30.245679690000003</v>
      </c>
      <c r="JI13" s="50">
        <v>0</v>
      </c>
      <c r="JJ13" s="50">
        <v>30.245679690000003</v>
      </c>
      <c r="JK13" s="50">
        <v>29.630491679999999</v>
      </c>
      <c r="JL13" s="50">
        <v>0</v>
      </c>
      <c r="JM13" s="50">
        <v>29.630491679999999</v>
      </c>
      <c r="JN13" s="50">
        <v>21.85953537</v>
      </c>
      <c r="JO13" s="50">
        <v>0</v>
      </c>
      <c r="JP13" s="50">
        <v>21.85953537</v>
      </c>
      <c r="JQ13" s="50">
        <v>27.80440128</v>
      </c>
      <c r="JR13" s="50">
        <v>0</v>
      </c>
      <c r="JS13" s="50">
        <v>27.80440128</v>
      </c>
      <c r="JT13" s="50">
        <v>28.739839149999998</v>
      </c>
      <c r="JU13" s="50">
        <v>0</v>
      </c>
      <c r="JV13" s="50">
        <v>28.739839149999998</v>
      </c>
      <c r="JW13" s="50">
        <v>31.771752719999999</v>
      </c>
      <c r="JX13" s="50">
        <v>0</v>
      </c>
      <c r="JY13" s="50">
        <v>31.771752719999999</v>
      </c>
      <c r="JZ13" s="50">
        <v>34.036696579999997</v>
      </c>
      <c r="KA13" s="50">
        <v>0</v>
      </c>
      <c r="KB13" s="50">
        <v>34.036696579999997</v>
      </c>
      <c r="KC13" s="50">
        <v>32.801811020000002</v>
      </c>
      <c r="KD13" s="50">
        <v>0</v>
      </c>
      <c r="KE13" s="50">
        <v>32.801811020000002</v>
      </c>
      <c r="KF13" s="50">
        <v>35.333190780000002</v>
      </c>
      <c r="KG13" s="50">
        <v>0</v>
      </c>
      <c r="KH13" s="50">
        <v>35.333190780000002</v>
      </c>
      <c r="KI13" s="50">
        <v>34.598305809999999</v>
      </c>
      <c r="KJ13" s="50">
        <v>0</v>
      </c>
      <c r="KK13" s="50">
        <v>34.598305809999999</v>
      </c>
      <c r="KL13" s="50">
        <v>35.487160129999999</v>
      </c>
      <c r="KM13" s="50">
        <v>0</v>
      </c>
      <c r="KN13" s="50">
        <v>35.487160129999999</v>
      </c>
      <c r="KO13" s="50">
        <v>46.896103609999997</v>
      </c>
      <c r="KP13" s="50">
        <v>0</v>
      </c>
      <c r="KQ13" s="50">
        <v>46.896103609999997</v>
      </c>
      <c r="KR13" s="50">
        <f t="shared" si="48"/>
        <v>389.20496781999998</v>
      </c>
      <c r="KS13" s="50">
        <f t="shared" si="39"/>
        <v>0</v>
      </c>
      <c r="KT13" s="50">
        <f t="shared" si="49"/>
        <v>389.20496781999998</v>
      </c>
      <c r="KU13" s="50">
        <f t="shared" si="5"/>
        <v>389.20496800000001</v>
      </c>
      <c r="KV13" s="50"/>
      <c r="KW13" s="45">
        <v>389.20496800000001</v>
      </c>
      <c r="KX13" s="50">
        <v>36.674869119999997</v>
      </c>
      <c r="KY13" s="50">
        <v>0</v>
      </c>
      <c r="KZ13" s="50">
        <v>36.674869119999997</v>
      </c>
      <c r="LA13" s="50">
        <v>31.702980789999998</v>
      </c>
      <c r="LB13" s="50">
        <v>0</v>
      </c>
      <c r="LC13" s="50">
        <v>31.702980789999998</v>
      </c>
      <c r="LD13" s="50">
        <v>19.22070931</v>
      </c>
      <c r="LE13" s="50">
        <v>0</v>
      </c>
      <c r="LF13" s="50">
        <v>19.22070931</v>
      </c>
      <c r="LG13" s="50">
        <v>26.005889360000001</v>
      </c>
      <c r="LH13" s="50">
        <v>0</v>
      </c>
      <c r="LI13" s="174">
        <v>26.005889360000001</v>
      </c>
      <c r="LJ13" s="50">
        <v>23.580212209999999</v>
      </c>
      <c r="LK13" s="50">
        <v>0</v>
      </c>
      <c r="LL13" s="50">
        <v>23.580212209999999</v>
      </c>
      <c r="LM13" s="50">
        <v>27.534430539999999</v>
      </c>
      <c r="LN13" s="50">
        <v>0</v>
      </c>
      <c r="LO13" s="50">
        <v>27.534430539999999</v>
      </c>
      <c r="LP13" s="50">
        <v>33.116280109999998</v>
      </c>
      <c r="LQ13" s="50">
        <v>0</v>
      </c>
      <c r="LR13" s="44">
        <v>33.116280109999998</v>
      </c>
      <c r="LS13" s="50">
        <v>30.121927239999998</v>
      </c>
      <c r="LT13" s="50">
        <v>0</v>
      </c>
      <c r="LU13" s="52">
        <v>30.121927239999998</v>
      </c>
      <c r="LV13" s="44">
        <v>30.976083879999997</v>
      </c>
      <c r="LW13" s="50">
        <v>0</v>
      </c>
      <c r="LX13" s="50">
        <v>30.976083879999997</v>
      </c>
      <c r="LY13" s="50">
        <v>45.17304</v>
      </c>
      <c r="LZ13" s="50">
        <v>0</v>
      </c>
      <c r="MA13" s="50">
        <v>45.17304</v>
      </c>
      <c r="MB13" s="50">
        <v>30.968153000000001</v>
      </c>
      <c r="MC13" s="50">
        <v>0</v>
      </c>
      <c r="MD13" s="50">
        <v>30.968153000000001</v>
      </c>
      <c r="ME13" s="50">
        <v>28.21574</v>
      </c>
      <c r="MF13" s="50">
        <v>0</v>
      </c>
      <c r="MG13" s="50">
        <v>28.21574</v>
      </c>
      <c r="MH13" s="50">
        <f>KX13+LA13+LD13+LG13+LJ13+LM13+LP13+LS13+LV13+LY13+MB13+ME13</f>
        <v>363.29031555999995</v>
      </c>
      <c r="MI13" s="50">
        <f t="shared" si="50"/>
        <v>0</v>
      </c>
      <c r="MJ13" s="50">
        <f t="shared" si="51"/>
        <v>363.29031555999995</v>
      </c>
      <c r="MK13" s="50">
        <f t="shared" si="7"/>
        <v>363.29031600000002</v>
      </c>
      <c r="ML13" s="50"/>
      <c r="MM13" s="50">
        <v>363.29031600000002</v>
      </c>
      <c r="MN13" s="50">
        <v>33.662314000000002</v>
      </c>
      <c r="MO13" s="50">
        <v>0</v>
      </c>
      <c r="MP13" s="50">
        <v>33.662314000000002</v>
      </c>
      <c r="MQ13" s="50">
        <v>34.588760999999998</v>
      </c>
      <c r="MR13" s="50">
        <v>0</v>
      </c>
      <c r="MS13" s="50">
        <v>34.588760999999998</v>
      </c>
      <c r="MT13" s="50">
        <v>-61.977113000000003</v>
      </c>
      <c r="MU13" s="50">
        <v>0</v>
      </c>
      <c r="MV13" s="50">
        <v>-61.977113000000003</v>
      </c>
      <c r="MW13" s="50">
        <v>80.358866030000002</v>
      </c>
      <c r="MX13" s="50">
        <v>0</v>
      </c>
      <c r="MY13" s="50">
        <v>80.358866030000002</v>
      </c>
      <c r="MZ13" s="50">
        <v>-7.2263530000001186E-2</v>
      </c>
      <c r="NA13" s="50">
        <v>0</v>
      </c>
      <c r="NB13" s="50">
        <v>-7.2263530000001186E-2</v>
      </c>
      <c r="NC13" s="50">
        <v>36.368523269999997</v>
      </c>
      <c r="ND13" s="50">
        <v>0</v>
      </c>
      <c r="NE13" s="50">
        <v>36.368523269999997</v>
      </c>
      <c r="NF13" s="50">
        <v>62.51231052</v>
      </c>
      <c r="NG13" s="50">
        <v>0</v>
      </c>
      <c r="NH13" s="50">
        <v>62.51231052</v>
      </c>
      <c r="NI13" s="50">
        <v>50.424078620000003</v>
      </c>
      <c r="NJ13" s="50">
        <v>0</v>
      </c>
      <c r="NK13" s="50">
        <v>50.424078620000003</v>
      </c>
      <c r="NL13" s="50">
        <v>52.594845920000004</v>
      </c>
      <c r="NM13" s="50">
        <v>0</v>
      </c>
      <c r="NN13" s="50">
        <v>52.594845920000004</v>
      </c>
      <c r="NO13" s="50">
        <v>90.58588014</v>
      </c>
      <c r="NP13" s="50">
        <v>0</v>
      </c>
      <c r="NQ13" s="50">
        <v>90.58588014</v>
      </c>
      <c r="NR13" s="50">
        <v>42.077774149999996</v>
      </c>
      <c r="NS13" s="50">
        <v>0</v>
      </c>
      <c r="NT13" s="50">
        <v>42.077774149999996</v>
      </c>
      <c r="NU13" s="50">
        <v>56.133931750000002</v>
      </c>
      <c r="NV13" s="50">
        <v>0</v>
      </c>
      <c r="NW13" s="50">
        <v>56.133931750000002</v>
      </c>
      <c r="NX13" s="50">
        <f>MN13+MQ13+MT13+MW13+MZ13+NC13+NF13+NI13+NL13+NO13+NR13+NU13</f>
        <v>477.25790886999994</v>
      </c>
      <c r="NY13" s="50">
        <f t="shared" si="40"/>
        <v>0</v>
      </c>
      <c r="NZ13" s="50">
        <f t="shared" si="41"/>
        <v>477.25790886999994</v>
      </c>
      <c r="OA13" s="50">
        <f t="shared" si="8"/>
        <v>477.25791400000003</v>
      </c>
      <c r="OB13" s="50"/>
      <c r="OC13" s="50">
        <v>477.25791400000003</v>
      </c>
      <c r="OD13" s="50">
        <v>58.94312566</v>
      </c>
      <c r="OE13" s="50"/>
      <c r="OF13" s="50">
        <v>58.94312566</v>
      </c>
      <c r="OG13" s="50">
        <v>46.774481049999999</v>
      </c>
      <c r="OH13" s="50"/>
      <c r="OI13" s="50">
        <v>46.774481049999999</v>
      </c>
      <c r="OJ13" s="50">
        <v>12.970383899999998</v>
      </c>
      <c r="OK13" s="50"/>
      <c r="OL13" s="50">
        <v>12.970383899999998</v>
      </c>
      <c r="OM13" s="50">
        <v>37.967668060000001</v>
      </c>
      <c r="ON13" s="50"/>
      <c r="OO13" s="50">
        <v>37.967668060000001</v>
      </c>
      <c r="OP13" s="50">
        <v>46.30466036</v>
      </c>
      <c r="OQ13" s="50"/>
      <c r="OR13" s="50">
        <v>46.30466036</v>
      </c>
      <c r="OS13" s="50">
        <v>48.99780801</v>
      </c>
      <c r="OT13" s="50"/>
      <c r="OU13" s="50">
        <v>48.99780801</v>
      </c>
      <c r="OV13" s="50">
        <v>55.465605910000001</v>
      </c>
      <c r="OW13" s="50"/>
      <c r="OX13" s="50">
        <v>55.465605910000001</v>
      </c>
      <c r="OY13" s="94">
        <v>50.586155589999997</v>
      </c>
      <c r="OZ13" s="50"/>
      <c r="PA13" s="94">
        <v>50.586155589999997</v>
      </c>
      <c r="PB13" s="50">
        <v>52.215090749999995</v>
      </c>
      <c r="PC13" s="50"/>
      <c r="PD13" s="50">
        <v>52.215090749999995</v>
      </c>
      <c r="PE13" s="50">
        <v>54.208282789999998</v>
      </c>
      <c r="PF13" s="50"/>
      <c r="PG13" s="50">
        <v>54.208282789999998</v>
      </c>
      <c r="PH13" s="50">
        <v>50.069995499999997</v>
      </c>
      <c r="PI13" s="50"/>
      <c r="PJ13" s="50">
        <v>50.069995499999997</v>
      </c>
      <c r="PK13" s="50">
        <v>50.155457859999999</v>
      </c>
      <c r="PL13" s="50"/>
      <c r="PM13" s="50">
        <v>50.155457859999999</v>
      </c>
      <c r="PN13" s="50">
        <f>OD13+OG13+OJ13+OM13+OP13+OS13+OV13+OY13+PB13+PE13+PH13+PK13</f>
        <v>564.65871543999992</v>
      </c>
      <c r="PO13" s="50">
        <f t="shared" si="42"/>
        <v>0</v>
      </c>
      <c r="PP13" s="50">
        <f t="shared" si="43"/>
        <v>564.65871543999992</v>
      </c>
      <c r="PQ13" s="50">
        <f>PS13-PR13</f>
        <v>564.65871600000003</v>
      </c>
      <c r="PR13" s="50"/>
      <c r="PS13" s="50">
        <v>564.65871600000003</v>
      </c>
      <c r="PT13" s="50">
        <v>59.816065999999999</v>
      </c>
      <c r="PU13" s="50"/>
      <c r="PV13" s="50">
        <v>59.816065999999999</v>
      </c>
      <c r="PW13" s="50">
        <v>50.844819999999999</v>
      </c>
      <c r="PX13" s="50"/>
      <c r="PY13" s="50">
        <v>50.844819999999999</v>
      </c>
      <c r="PZ13" s="50">
        <v>4.3469519200000342</v>
      </c>
      <c r="QA13" s="50"/>
      <c r="QB13" s="50">
        <v>4.3469519200000342</v>
      </c>
      <c r="QC13" s="50">
        <v>55.942308030000007</v>
      </c>
      <c r="QD13" s="50"/>
      <c r="QE13" s="50">
        <v>55.942308030000007</v>
      </c>
      <c r="QF13" s="50">
        <v>18.277729559999997</v>
      </c>
      <c r="QG13" s="50"/>
      <c r="QH13" s="50">
        <v>18.277729559999997</v>
      </c>
      <c r="QI13" s="50">
        <v>56.359219689999975</v>
      </c>
      <c r="QJ13" s="50"/>
      <c r="QK13" s="50">
        <v>56.359219689999975</v>
      </c>
      <c r="QL13" s="50">
        <v>61.047600659999993</v>
      </c>
      <c r="QM13" s="50"/>
      <c r="QN13" s="50">
        <v>61.047600659999993</v>
      </c>
      <c r="QO13" s="50">
        <v>59.11764642</v>
      </c>
      <c r="QP13" s="50"/>
      <c r="QQ13" s="50">
        <v>59.11764642</v>
      </c>
      <c r="QR13" s="50">
        <v>76.465741239999929</v>
      </c>
      <c r="QS13" s="50"/>
      <c r="QT13" s="50">
        <v>76.465741239999929</v>
      </c>
      <c r="QU13" s="50">
        <v>67.126254889999998</v>
      </c>
      <c r="QV13" s="50"/>
      <c r="QW13" s="50">
        <v>67.126254889999998</v>
      </c>
      <c r="QX13" s="50">
        <v>57.468581020000073</v>
      </c>
      <c r="QY13" s="50"/>
      <c r="QZ13" s="50">
        <v>57.468581020000073</v>
      </c>
      <c r="RA13" s="50">
        <v>58.20824721000001</v>
      </c>
      <c r="RB13" s="50"/>
      <c r="RC13" s="50">
        <v>58.20824721000001</v>
      </c>
      <c r="RD13" s="50">
        <f t="shared" si="52"/>
        <v>625.02116663999993</v>
      </c>
      <c r="RE13" s="50">
        <f t="shared" si="53"/>
        <v>0</v>
      </c>
      <c r="RF13" s="50">
        <f t="shared" si="54"/>
        <v>625.02116663999993</v>
      </c>
      <c r="RG13" s="50">
        <f>RI13-RH13</f>
        <v>625.02116599999999</v>
      </c>
      <c r="RH13" s="50"/>
      <c r="RI13" s="50">
        <v>625.02116599999999</v>
      </c>
      <c r="RJ13" s="50">
        <v>67.434435670000013</v>
      </c>
      <c r="RK13" s="50"/>
      <c r="RL13" s="50">
        <v>67.434435670000013</v>
      </c>
      <c r="RM13" s="50">
        <v>60.335550859999998</v>
      </c>
      <c r="RN13" s="50"/>
      <c r="RO13" s="50">
        <v>60.335550859999998</v>
      </c>
      <c r="RP13" s="50">
        <v>-1.6284784499999994</v>
      </c>
      <c r="RQ13" s="50"/>
      <c r="RR13" s="50">
        <v>-1.6284784499999994</v>
      </c>
      <c r="RS13" s="50">
        <v>70.847539479999995</v>
      </c>
      <c r="RT13" s="50"/>
      <c r="RU13" s="50">
        <v>70.847539479999995</v>
      </c>
      <c r="RV13" s="50">
        <v>54.06189329</v>
      </c>
      <c r="RW13" s="50"/>
      <c r="RX13" s="50">
        <v>54.06189329</v>
      </c>
      <c r="RY13" s="50">
        <v>42.147666210000004</v>
      </c>
      <c r="RZ13" s="50"/>
      <c r="SA13" s="50">
        <v>42.147666210000004</v>
      </c>
      <c r="SB13" s="50">
        <v>86.160487550000084</v>
      </c>
      <c r="SC13" s="50"/>
      <c r="SD13" s="50">
        <v>86.160487550000084</v>
      </c>
      <c r="SE13" s="50">
        <v>66.273481360000005</v>
      </c>
      <c r="SF13" s="50"/>
      <c r="SG13" s="50">
        <v>66.273481360000005</v>
      </c>
      <c r="SH13" s="50">
        <v>62.219085910000004</v>
      </c>
      <c r="SI13" s="50"/>
      <c r="SJ13" s="50">
        <v>62.219085910000004</v>
      </c>
      <c r="SK13" s="50">
        <v>65.862382429999997</v>
      </c>
      <c r="SL13" s="50"/>
      <c r="SM13" s="50">
        <v>65.862382429999997</v>
      </c>
      <c r="SN13" s="50">
        <v>64.141175459999999</v>
      </c>
      <c r="SO13" s="50"/>
      <c r="SP13" s="50">
        <v>64.141175459999999</v>
      </c>
      <c r="SQ13" s="50">
        <v>64.887109719999998</v>
      </c>
      <c r="SR13" s="50"/>
      <c r="SS13" s="50">
        <v>64.887109719999998</v>
      </c>
      <c r="ST13" s="50">
        <f t="shared" si="55"/>
        <v>702.74232949000009</v>
      </c>
      <c r="SU13" s="50">
        <f t="shared" si="65"/>
        <v>0</v>
      </c>
      <c r="SV13" s="50">
        <f t="shared" si="56"/>
        <v>702.74232949000009</v>
      </c>
      <c r="SW13" s="50">
        <f t="shared" si="44"/>
        <v>702.74233000000004</v>
      </c>
      <c r="SX13" s="50"/>
      <c r="SY13" s="50">
        <v>702.74233000000004</v>
      </c>
      <c r="SZ13" s="50">
        <v>160.31990773000001</v>
      </c>
      <c r="TA13" s="50"/>
      <c r="TB13" s="50">
        <v>160.31990773000001</v>
      </c>
      <c r="TC13" s="50">
        <v>84.943420610000004</v>
      </c>
      <c r="TD13" s="50"/>
      <c r="TE13" s="50">
        <v>84.943420610000004</v>
      </c>
      <c r="TF13" s="50">
        <v>-91.017070090000004</v>
      </c>
      <c r="TG13" s="50"/>
      <c r="TH13" s="50">
        <v>-91.017070090000004</v>
      </c>
      <c r="TI13" s="50">
        <v>29.232877019999997</v>
      </c>
      <c r="TJ13" s="50"/>
      <c r="TK13" s="50">
        <v>29.232877019999997</v>
      </c>
      <c r="TL13" s="50">
        <v>43.42462046</v>
      </c>
      <c r="TM13" s="50"/>
      <c r="TN13" s="50">
        <v>43.42462046</v>
      </c>
      <c r="TO13" s="50">
        <v>69.789060829999997</v>
      </c>
      <c r="TP13" s="50"/>
      <c r="TQ13" s="50">
        <v>69.789060829999997</v>
      </c>
      <c r="TR13" s="50">
        <v>87.124817949999994</v>
      </c>
      <c r="TS13" s="50"/>
      <c r="TT13" s="50">
        <v>87.124817949999994</v>
      </c>
      <c r="TU13" s="50">
        <v>65.694874339999998</v>
      </c>
      <c r="TV13" s="50"/>
      <c r="TW13" s="50">
        <v>65.694874339999998</v>
      </c>
      <c r="TX13" s="50">
        <v>47.086477369999997</v>
      </c>
      <c r="TY13" s="50"/>
      <c r="TZ13" s="50">
        <v>47.086477369999997</v>
      </c>
      <c r="UA13" s="50">
        <v>58.139243980000202</v>
      </c>
      <c r="UB13" s="50"/>
      <c r="UC13" s="50">
        <v>58.139243980000202</v>
      </c>
      <c r="UD13" s="50">
        <v>41.918357520000001</v>
      </c>
      <c r="UE13" s="50"/>
      <c r="UF13" s="50">
        <v>41.918357520000001</v>
      </c>
      <c r="UG13" s="50">
        <v>11.857483029999999</v>
      </c>
      <c r="UH13" s="50"/>
      <c r="UI13" s="50">
        <v>11.857483029999999</v>
      </c>
      <c r="UJ13" s="50">
        <f t="shared" si="45"/>
        <v>608.5140707500002</v>
      </c>
      <c r="UK13" s="50">
        <f t="shared" si="15"/>
        <v>0</v>
      </c>
      <c r="UL13" s="50">
        <f t="shared" si="16"/>
        <v>608.5140707500002</v>
      </c>
      <c r="UM13" s="50">
        <v>121.61086233</v>
      </c>
      <c r="UN13" s="50"/>
      <c r="UO13" s="50">
        <v>121.61086233</v>
      </c>
      <c r="UP13" s="50">
        <v>68.801453649999999</v>
      </c>
      <c r="UQ13" s="50"/>
      <c r="UR13" s="50">
        <v>68.801453649999999</v>
      </c>
      <c r="US13" s="50">
        <v>-67.802510249999997</v>
      </c>
      <c r="UT13" s="50"/>
      <c r="UU13" s="50">
        <v>-67.802510249999997</v>
      </c>
      <c r="UV13" s="50">
        <v>42.780200229999998</v>
      </c>
      <c r="UW13" s="50"/>
      <c r="UX13" s="50">
        <v>42.780200229999998</v>
      </c>
      <c r="UY13" s="50"/>
      <c r="UZ13" s="50"/>
      <c r="VA13" s="50"/>
      <c r="VB13" s="50"/>
      <c r="VC13" s="50"/>
      <c r="VD13" s="50"/>
      <c r="VE13" s="50"/>
      <c r="VF13" s="50"/>
      <c r="VG13" s="50"/>
      <c r="VH13" s="50"/>
      <c r="VI13" s="50"/>
      <c r="VJ13" s="50"/>
      <c r="VK13" s="50"/>
      <c r="VL13" s="50"/>
      <c r="VM13" s="50"/>
      <c r="VN13" s="50"/>
      <c r="VO13" s="50"/>
      <c r="VP13" s="50"/>
      <c r="VQ13" s="50"/>
      <c r="VR13" s="50"/>
      <c r="VS13" s="50"/>
      <c r="VT13" s="50"/>
      <c r="VU13" s="50"/>
      <c r="VV13" s="50"/>
      <c r="VW13" s="276">
        <f t="shared" si="57"/>
        <v>183.47913500000001</v>
      </c>
      <c r="VX13" s="292">
        <f t="shared" si="58"/>
        <v>0</v>
      </c>
      <c r="VY13" s="292">
        <f t="shared" si="59"/>
        <v>183.47913500000001</v>
      </c>
      <c r="VZ13" s="276">
        <f t="shared" si="60"/>
        <v>165.390006</v>
      </c>
      <c r="WA13" s="292">
        <f t="shared" si="61"/>
        <v>0</v>
      </c>
      <c r="WB13" s="292">
        <f t="shared" si="62"/>
        <v>165.390006</v>
      </c>
      <c r="WC13" s="277">
        <f t="shared" si="63"/>
        <v>-18.089129000000014</v>
      </c>
      <c r="WD13" s="277">
        <f t="shared" si="64"/>
        <v>-9.8589569871255378</v>
      </c>
    </row>
    <row r="14" spans="1:602" s="12" customFormat="1" ht="21" hidden="1" customHeight="1">
      <c r="A14" s="47" t="s">
        <v>45</v>
      </c>
      <c r="C14" s="47" t="s">
        <v>198</v>
      </c>
      <c r="D14" s="4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5"/>
      <c r="BD14" s="45"/>
      <c r="BE14" s="45"/>
      <c r="BF14" s="44"/>
      <c r="BG14" s="50"/>
      <c r="BH14" s="50"/>
      <c r="BI14" s="45"/>
      <c r="BJ14" s="12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45"/>
      <c r="CK14" s="45"/>
      <c r="CL14" s="50"/>
      <c r="CM14" s="42"/>
      <c r="CN14" s="45"/>
      <c r="CO14" s="50"/>
      <c r="CP14" s="50"/>
      <c r="CQ14" s="50"/>
      <c r="CR14" s="50"/>
      <c r="CS14" s="45"/>
      <c r="CT14" s="45"/>
      <c r="CU14" s="45"/>
      <c r="CV14" s="42"/>
      <c r="CW14" s="45"/>
      <c r="CX14" s="50"/>
      <c r="CY14" s="42"/>
      <c r="CZ14" s="45"/>
      <c r="DA14" s="50"/>
      <c r="DB14" s="42"/>
      <c r="DC14" s="45"/>
      <c r="DD14" s="50"/>
      <c r="DE14" s="42"/>
      <c r="DF14" s="45"/>
      <c r="DG14" s="50"/>
      <c r="DH14" s="42"/>
      <c r="DI14" s="45"/>
      <c r="DJ14" s="50"/>
      <c r="DK14" s="42"/>
      <c r="DL14" s="45"/>
      <c r="DM14" s="50"/>
      <c r="DN14" s="42"/>
      <c r="DO14" s="45"/>
      <c r="DP14" s="50"/>
      <c r="DQ14" s="42"/>
      <c r="DR14" s="45"/>
      <c r="DS14" s="50"/>
      <c r="DT14" s="42"/>
      <c r="DU14" s="45"/>
      <c r="DV14" s="50"/>
      <c r="DW14" s="42"/>
      <c r="DX14" s="45"/>
      <c r="DY14" s="50"/>
      <c r="DZ14" s="42"/>
      <c r="EA14" s="45"/>
      <c r="EB14" s="50"/>
      <c r="EC14" s="42"/>
      <c r="ED14" s="45"/>
      <c r="EE14" s="50"/>
      <c r="EF14" s="50">
        <f t="shared" si="27"/>
        <v>0</v>
      </c>
      <c r="EG14" s="50">
        <f t="shared" si="28"/>
        <v>0</v>
      </c>
      <c r="EH14" s="50">
        <f t="shared" si="29"/>
        <v>0</v>
      </c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>
        <v>13.9503979</v>
      </c>
      <c r="FN14" s="50">
        <v>0</v>
      </c>
      <c r="FO14" s="50">
        <v>13.9503979</v>
      </c>
      <c r="FP14" s="50">
        <v>5.2479745300000005</v>
      </c>
      <c r="FQ14" s="50">
        <v>0</v>
      </c>
      <c r="FR14" s="50">
        <v>5.2479745300000005</v>
      </c>
      <c r="FS14" s="50">
        <v>6.6398722900000005</v>
      </c>
      <c r="FT14" s="50">
        <v>0</v>
      </c>
      <c r="FU14" s="50">
        <v>6.6398722900000005</v>
      </c>
      <c r="FV14" s="50">
        <f t="shared" si="30"/>
        <v>25.838244719999999</v>
      </c>
      <c r="FW14" s="50">
        <f t="shared" si="31"/>
        <v>0</v>
      </c>
      <c r="FX14" s="50">
        <f t="shared" si="32"/>
        <v>25.838244719999999</v>
      </c>
      <c r="FY14" s="50"/>
      <c r="FZ14" s="50"/>
      <c r="GA14" s="50">
        <v>25.838245000000001</v>
      </c>
      <c r="GB14" s="50">
        <v>7.1993851600000003</v>
      </c>
      <c r="GC14" s="50">
        <v>0</v>
      </c>
      <c r="GD14" s="50">
        <v>7.1993851600000003</v>
      </c>
      <c r="GE14" s="50">
        <v>9.2397509800000002</v>
      </c>
      <c r="GF14" s="50">
        <v>0</v>
      </c>
      <c r="GG14" s="50">
        <v>9.2397509800000002</v>
      </c>
      <c r="GH14" s="50">
        <v>12.5055639</v>
      </c>
      <c r="GI14" s="50">
        <v>0</v>
      </c>
      <c r="GJ14" s="50">
        <v>12.5055639</v>
      </c>
      <c r="GK14" s="50">
        <v>0.65565759999999995</v>
      </c>
      <c r="GL14" s="50">
        <v>0</v>
      </c>
      <c r="GM14" s="50">
        <v>0.65565759999999995</v>
      </c>
      <c r="GN14" s="50">
        <v>1.21670444</v>
      </c>
      <c r="GO14" s="50">
        <v>0</v>
      </c>
      <c r="GP14" s="50">
        <v>1.21670444</v>
      </c>
      <c r="GQ14" s="50">
        <v>2.5918389500000001</v>
      </c>
      <c r="GR14" s="50">
        <v>0</v>
      </c>
      <c r="GS14" s="50">
        <v>2.5918389500000001</v>
      </c>
      <c r="GT14" s="50">
        <v>2.9790959199999998</v>
      </c>
      <c r="GU14" s="50">
        <v>0</v>
      </c>
      <c r="GV14" s="50">
        <v>2.9790959199999998</v>
      </c>
      <c r="GW14" s="50">
        <v>3.3064644599999999</v>
      </c>
      <c r="GX14" s="50">
        <v>0</v>
      </c>
      <c r="GY14" s="50">
        <v>3.3064644599999999</v>
      </c>
      <c r="GZ14" s="50">
        <v>4.0413289300000006</v>
      </c>
      <c r="HA14" s="50">
        <v>0</v>
      </c>
      <c r="HB14" s="50">
        <v>4.0413289300000006</v>
      </c>
      <c r="HC14" s="50">
        <v>4.9899168099999995</v>
      </c>
      <c r="HD14" s="50">
        <v>0</v>
      </c>
      <c r="HE14" s="50">
        <v>4.9899168099999995</v>
      </c>
      <c r="HF14" s="50">
        <v>5.6171400199999999</v>
      </c>
      <c r="HG14" s="50">
        <v>0</v>
      </c>
      <c r="HH14" s="50">
        <v>5.6171400199999999</v>
      </c>
      <c r="HI14" s="50">
        <v>7.4109157300000001</v>
      </c>
      <c r="HJ14" s="50">
        <v>0</v>
      </c>
      <c r="HK14" s="50">
        <v>7.4109157300000001</v>
      </c>
      <c r="HL14" s="50">
        <f t="shared" si="33"/>
        <v>61.753762899999998</v>
      </c>
      <c r="HM14" s="50">
        <f t="shared" si="34"/>
        <v>0</v>
      </c>
      <c r="HN14" s="50">
        <f t="shared" si="35"/>
        <v>61.753762899999998</v>
      </c>
      <c r="HO14" s="50">
        <f t="shared" si="3"/>
        <v>61.753762999999999</v>
      </c>
      <c r="HP14" s="50"/>
      <c r="HQ14" s="50">
        <v>61.753762999999999</v>
      </c>
      <c r="HR14" s="50">
        <v>8.1532695400000001</v>
      </c>
      <c r="HS14" s="50">
        <v>0</v>
      </c>
      <c r="HT14" s="50">
        <v>8.1532695400000001</v>
      </c>
      <c r="HU14" s="50">
        <v>9.7632138299999998</v>
      </c>
      <c r="HV14" s="50">
        <v>0</v>
      </c>
      <c r="HW14" s="50">
        <v>9.7632138299999998</v>
      </c>
      <c r="HX14" s="50">
        <v>14.19747181</v>
      </c>
      <c r="HY14" s="50">
        <v>0</v>
      </c>
      <c r="HZ14" s="50">
        <v>14.19747181</v>
      </c>
      <c r="IA14" s="50">
        <v>0.54539070000000001</v>
      </c>
      <c r="IB14" s="50">
        <v>0</v>
      </c>
      <c r="IC14" s="50">
        <v>0.54539070000000001</v>
      </c>
      <c r="ID14" s="50">
        <v>0.1545919</v>
      </c>
      <c r="IE14" s="50">
        <v>0</v>
      </c>
      <c r="IF14" s="50">
        <v>0.1545919</v>
      </c>
      <c r="IG14" s="50">
        <v>0.28843328000000001</v>
      </c>
      <c r="IH14" s="50">
        <v>0</v>
      </c>
      <c r="II14" s="50">
        <v>0.28843328000000001</v>
      </c>
      <c r="IJ14" s="50">
        <v>6.6637799999999997E-2</v>
      </c>
      <c r="IK14" s="50">
        <v>0</v>
      </c>
      <c r="IL14" s="50">
        <v>6.6637799999999997E-2</v>
      </c>
      <c r="IM14" s="50">
        <v>0.1704059</v>
      </c>
      <c r="IN14" s="50">
        <v>0</v>
      </c>
      <c r="IO14" s="50">
        <v>0.1704059</v>
      </c>
      <c r="IP14" s="50">
        <v>0.2214071</v>
      </c>
      <c r="IQ14" s="50">
        <v>0</v>
      </c>
      <c r="IR14" s="50">
        <v>0.2214071</v>
      </c>
      <c r="IS14" s="50">
        <v>0.22846305</v>
      </c>
      <c r="IT14" s="50">
        <v>0</v>
      </c>
      <c r="IU14" s="50">
        <v>0.22846305</v>
      </c>
      <c r="IV14" s="50">
        <v>1.2163999999999999E-2</v>
      </c>
      <c r="IW14" s="50">
        <v>0</v>
      </c>
      <c r="IX14" s="50">
        <v>1.2163999999999999E-2</v>
      </c>
      <c r="IY14" s="50">
        <v>5.645501E-2</v>
      </c>
      <c r="IZ14" s="50">
        <v>0</v>
      </c>
      <c r="JA14" s="50">
        <v>5.645501E-2</v>
      </c>
      <c r="JB14" s="50">
        <f t="shared" si="36"/>
        <v>33.857903920000005</v>
      </c>
      <c r="JC14" s="50">
        <f t="shared" si="37"/>
        <v>0</v>
      </c>
      <c r="JD14" s="50">
        <f t="shared" si="38"/>
        <v>33.857903920000005</v>
      </c>
      <c r="JE14" s="50">
        <f t="shared" si="4"/>
        <v>33.857903999999998</v>
      </c>
      <c r="JF14" s="50"/>
      <c r="JG14" s="45">
        <v>33.857903999999998</v>
      </c>
      <c r="JH14" s="50">
        <v>1.1572829999999999E-2</v>
      </c>
      <c r="JI14" s="50">
        <v>0</v>
      </c>
      <c r="JJ14" s="50">
        <v>1.1572829999999999E-2</v>
      </c>
      <c r="JK14" s="50">
        <v>0</v>
      </c>
      <c r="JL14" s="50">
        <v>0</v>
      </c>
      <c r="JM14" s="50">
        <v>0</v>
      </c>
      <c r="JN14" s="50">
        <v>0.29495870000000002</v>
      </c>
      <c r="JO14" s="50">
        <v>0</v>
      </c>
      <c r="JP14" s="50">
        <v>0.29495870000000002</v>
      </c>
      <c r="JQ14" s="50">
        <v>0.20746792999999999</v>
      </c>
      <c r="JR14" s="50">
        <v>0</v>
      </c>
      <c r="JS14" s="50">
        <v>0.20746792999999999</v>
      </c>
      <c r="JT14" s="50">
        <v>1.120516E-2</v>
      </c>
      <c r="JU14" s="50">
        <v>0</v>
      </c>
      <c r="JV14" s="50">
        <v>1.120516E-2</v>
      </c>
      <c r="JW14" s="50">
        <v>8.4990380000000004E-2</v>
      </c>
      <c r="JX14" s="50">
        <v>0</v>
      </c>
      <c r="JY14" s="50">
        <v>8.4990380000000004E-2</v>
      </c>
      <c r="JZ14" s="50">
        <v>1.5232000000000001E-4</v>
      </c>
      <c r="KA14" s="50">
        <v>0</v>
      </c>
      <c r="KB14" s="50">
        <v>1.5232000000000001E-4</v>
      </c>
      <c r="KC14" s="50">
        <v>9.8381399999999987E-3</v>
      </c>
      <c r="KD14" s="50">
        <v>0</v>
      </c>
      <c r="KE14" s="50">
        <v>9.8381399999999987E-3</v>
      </c>
      <c r="KF14" s="50">
        <v>1.8068499999999998E-3</v>
      </c>
      <c r="KG14" s="50">
        <v>0</v>
      </c>
      <c r="KH14" s="50">
        <v>1.8068499999999998E-3</v>
      </c>
      <c r="KI14" s="50">
        <v>2.1616999999999999E-3</v>
      </c>
      <c r="KJ14" s="50">
        <v>0</v>
      </c>
      <c r="KK14" s="50">
        <v>2.1616999999999999E-3</v>
      </c>
      <c r="KL14" s="50">
        <v>1.6492899999999999E-3</v>
      </c>
      <c r="KM14" s="50">
        <v>0</v>
      </c>
      <c r="KN14" s="50">
        <v>1.6492899999999999E-3</v>
      </c>
      <c r="KO14" s="50">
        <v>2.3334870000000001E-2</v>
      </c>
      <c r="KP14" s="50">
        <v>0</v>
      </c>
      <c r="KQ14" s="50">
        <v>2.3334870000000001E-2</v>
      </c>
      <c r="KR14" s="50">
        <f t="shared" si="48"/>
        <v>0.64913817000000018</v>
      </c>
      <c r="KS14" s="50">
        <f t="shared" si="39"/>
        <v>0</v>
      </c>
      <c r="KT14" s="50">
        <f t="shared" si="49"/>
        <v>0.64913817000000018</v>
      </c>
      <c r="KU14" s="50">
        <f t="shared" si="5"/>
        <v>0.64913799999999999</v>
      </c>
      <c r="KV14" s="50"/>
      <c r="KW14" s="45">
        <v>0.64913799999999999</v>
      </c>
      <c r="KX14" s="50">
        <v>0</v>
      </c>
      <c r="KY14" s="50">
        <v>0</v>
      </c>
      <c r="KZ14" s="50">
        <v>0</v>
      </c>
      <c r="LA14" s="50">
        <v>8.7860000000000002E-5</v>
      </c>
      <c r="LB14" s="50">
        <v>0</v>
      </c>
      <c r="LC14" s="50">
        <v>8.7860000000000002E-5</v>
      </c>
      <c r="LD14" s="50">
        <v>0</v>
      </c>
      <c r="LE14" s="50">
        <v>0</v>
      </c>
      <c r="LG14" s="50">
        <v>0</v>
      </c>
      <c r="LH14" s="50">
        <v>0</v>
      </c>
      <c r="LI14" s="50"/>
      <c r="LJ14" s="174"/>
      <c r="LK14" s="50">
        <v>0</v>
      </c>
      <c r="LL14" s="174"/>
      <c r="LN14" s="44">
        <v>0</v>
      </c>
      <c r="LO14" s="179"/>
      <c r="LP14" s="44"/>
      <c r="LQ14" s="50"/>
      <c r="LR14" s="183"/>
      <c r="LS14" s="50"/>
      <c r="LT14" s="50"/>
      <c r="LV14" s="44"/>
      <c r="LW14" s="50"/>
      <c r="LX14" s="50"/>
      <c r="LY14" s="50"/>
      <c r="LZ14" s="50"/>
      <c r="MA14" s="50"/>
      <c r="MB14" s="50"/>
      <c r="MC14" s="50"/>
      <c r="MD14" s="50"/>
      <c r="ME14" s="50"/>
      <c r="MF14" s="50"/>
      <c r="MG14" s="50"/>
      <c r="MH14" s="50">
        <f t="shared" ref="MH14:MH73" si="66">KX14+LA14+LD14+LG14+LJ14+LM14+LP14+LS14+LV14+LY14+MB14+ME14</f>
        <v>8.7860000000000002E-5</v>
      </c>
      <c r="MI14" s="50">
        <f t="shared" si="50"/>
        <v>0</v>
      </c>
      <c r="MJ14" s="50">
        <f t="shared" si="51"/>
        <v>8.7860000000000002E-5</v>
      </c>
      <c r="MK14" s="50">
        <f t="shared" si="7"/>
        <v>1.18E-4</v>
      </c>
      <c r="ML14" s="50"/>
      <c r="MM14" s="50">
        <v>1.18E-4</v>
      </c>
      <c r="MN14" s="179"/>
      <c r="MO14" s="50"/>
      <c r="MP14" s="179"/>
      <c r="MQ14" s="50"/>
      <c r="MR14" s="50"/>
      <c r="MS14" s="50"/>
      <c r="MT14" s="50"/>
      <c r="MU14" s="50"/>
      <c r="MV14" s="50"/>
      <c r="MW14" s="50"/>
      <c r="MX14" s="50"/>
      <c r="MY14" s="50"/>
      <c r="MZ14" s="50"/>
      <c r="NA14" s="50"/>
      <c r="NB14" s="50"/>
      <c r="NC14" s="50"/>
      <c r="ND14" s="50"/>
      <c r="NE14" s="50"/>
      <c r="NF14" s="50"/>
      <c r="NG14" s="50"/>
      <c r="NH14" s="50"/>
      <c r="NI14" s="50"/>
      <c r="NJ14" s="50"/>
      <c r="NK14" s="50"/>
      <c r="NL14" s="50"/>
      <c r="NM14" s="50"/>
      <c r="NN14" s="50"/>
      <c r="NO14" s="50"/>
      <c r="NP14" s="50"/>
      <c r="NQ14" s="50"/>
      <c r="NR14" s="50"/>
      <c r="NS14" s="50"/>
      <c r="NT14" s="50"/>
      <c r="NU14" s="50"/>
      <c r="NV14" s="50"/>
      <c r="NW14" s="50"/>
      <c r="NX14" s="50">
        <f t="shared" ref="NX14:NX43" si="67">MN14+MQ14+MT14+MW14+MZ14+NC14+NF14+NI14+NL14+NO14+NR14+NU14</f>
        <v>0</v>
      </c>
      <c r="NY14" s="50">
        <f t="shared" si="40"/>
        <v>0</v>
      </c>
      <c r="NZ14" s="50">
        <f t="shared" si="41"/>
        <v>0</v>
      </c>
      <c r="OA14" s="50">
        <f t="shared" si="8"/>
        <v>0</v>
      </c>
      <c r="OB14" s="50"/>
      <c r="OC14" s="50"/>
      <c r="OD14" s="50"/>
      <c r="OE14" s="50"/>
      <c r="OF14" s="50"/>
      <c r="OG14" s="50">
        <v>0</v>
      </c>
      <c r="OH14" s="50"/>
      <c r="OI14" s="50"/>
      <c r="OJ14" s="50"/>
      <c r="OK14" s="50"/>
      <c r="OL14" s="50"/>
      <c r="OM14" s="50"/>
      <c r="ON14" s="50"/>
      <c r="OO14" s="50"/>
      <c r="OP14" s="50"/>
      <c r="OQ14" s="50"/>
      <c r="OR14" s="50"/>
      <c r="OS14" s="50">
        <v>10.732403270000001</v>
      </c>
      <c r="OT14" s="50"/>
      <c r="OU14" s="50"/>
      <c r="OV14" s="50">
        <v>55.465605910000001</v>
      </c>
      <c r="OW14" s="50"/>
      <c r="OX14" s="50"/>
      <c r="OY14" s="94">
        <v>10.51135262</v>
      </c>
      <c r="OZ14" s="50"/>
      <c r="PA14" s="50"/>
      <c r="PB14" s="50"/>
      <c r="PC14" s="50"/>
      <c r="PD14" s="50"/>
      <c r="PE14" s="50"/>
      <c r="PF14" s="50"/>
      <c r="PG14" s="50"/>
      <c r="PH14" s="50"/>
      <c r="PI14" s="50"/>
      <c r="PJ14" s="50"/>
      <c r="PK14" s="50"/>
      <c r="PL14" s="50"/>
      <c r="PM14" s="50"/>
      <c r="PN14" s="50">
        <f t="shared" ref="PN14:PN30" si="68">OD14+OG14+OJ14+OM14+OP14+OS14+OV14+OY14+PB14+PE14+PH14+PK14</f>
        <v>76.709361799999996</v>
      </c>
      <c r="PO14" s="50">
        <f t="shared" si="42"/>
        <v>0</v>
      </c>
      <c r="PP14" s="50">
        <f t="shared" si="43"/>
        <v>0</v>
      </c>
      <c r="PQ14" s="50">
        <f t="shared" si="9"/>
        <v>0</v>
      </c>
      <c r="PR14" s="50"/>
      <c r="PS14" s="50"/>
      <c r="PT14" s="50"/>
      <c r="PU14" s="50"/>
      <c r="PV14" s="50"/>
      <c r="PW14" s="50"/>
      <c r="PX14" s="50"/>
      <c r="PY14" s="50"/>
      <c r="PZ14" s="50"/>
      <c r="QA14" s="50"/>
      <c r="QB14" s="50"/>
      <c r="QC14" s="50"/>
      <c r="QD14" s="50"/>
      <c r="QE14" s="50"/>
      <c r="QF14" s="50"/>
      <c r="QG14" s="50"/>
      <c r="QH14" s="50"/>
      <c r="QI14" s="50"/>
      <c r="QJ14" s="50"/>
      <c r="QK14" s="50"/>
      <c r="QL14" s="50"/>
      <c r="QM14" s="50"/>
      <c r="QN14" s="50"/>
      <c r="QO14" s="50">
        <v>0</v>
      </c>
      <c r="QP14" s="50"/>
      <c r="QQ14" s="50"/>
      <c r="QR14" s="50"/>
      <c r="QS14" s="50"/>
      <c r="QT14" s="50"/>
      <c r="QU14" s="50">
        <v>0</v>
      </c>
      <c r="QV14" s="50"/>
      <c r="QW14" s="50"/>
      <c r="QX14" s="50">
        <v>0</v>
      </c>
      <c r="QY14" s="50"/>
      <c r="QZ14" s="50"/>
      <c r="RA14" s="50">
        <v>0</v>
      </c>
      <c r="RB14" s="50"/>
      <c r="RC14" s="50"/>
      <c r="RD14" s="50">
        <f t="shared" si="52"/>
        <v>0</v>
      </c>
      <c r="RE14" s="50">
        <f t="shared" si="53"/>
        <v>0</v>
      </c>
      <c r="RF14" s="50">
        <f t="shared" si="54"/>
        <v>0</v>
      </c>
      <c r="RG14" s="50">
        <f t="shared" si="11"/>
        <v>0</v>
      </c>
      <c r="RH14" s="50"/>
      <c r="RI14" s="50"/>
      <c r="RJ14" s="50"/>
      <c r="RK14" s="50"/>
      <c r="RL14" s="50"/>
      <c r="RM14" s="50"/>
      <c r="RN14" s="50"/>
      <c r="RO14" s="50"/>
      <c r="RP14" s="50"/>
      <c r="RQ14" s="50"/>
      <c r="RR14" s="50"/>
      <c r="RS14" s="50">
        <v>0</v>
      </c>
      <c r="RT14" s="50"/>
      <c r="RU14" s="50"/>
      <c r="RV14" s="50">
        <v>0</v>
      </c>
      <c r="RW14" s="50"/>
      <c r="RX14" s="50"/>
      <c r="RY14" s="50">
        <v>0</v>
      </c>
      <c r="RZ14" s="50"/>
      <c r="SA14" s="50"/>
      <c r="SB14" s="50">
        <v>86.160487550000084</v>
      </c>
      <c r="SC14" s="50"/>
      <c r="SD14" s="50">
        <v>86.160487550000084</v>
      </c>
      <c r="SE14" s="50">
        <v>0</v>
      </c>
      <c r="SF14" s="50"/>
      <c r="SG14" s="50"/>
      <c r="SH14" s="50">
        <v>62.219085910000004</v>
      </c>
      <c r="SI14" s="50"/>
      <c r="SJ14" s="50">
        <v>62.219085910000004</v>
      </c>
      <c r="SK14" s="50"/>
      <c r="SL14" s="50"/>
      <c r="SM14" s="50">
        <v>65.862382429999997</v>
      </c>
      <c r="SN14" s="50">
        <v>64.141175459999999</v>
      </c>
      <c r="SO14" s="50"/>
      <c r="SP14" s="50">
        <v>64.141175459999999</v>
      </c>
      <c r="SQ14" s="50">
        <v>0</v>
      </c>
      <c r="SR14" s="50"/>
      <c r="SS14" s="50"/>
      <c r="ST14" s="50">
        <f t="shared" si="55"/>
        <v>212.52074892000007</v>
      </c>
      <c r="SU14" s="50">
        <f t="shared" si="65"/>
        <v>0</v>
      </c>
      <c r="SV14" s="50">
        <f t="shared" si="56"/>
        <v>278.3831313500001</v>
      </c>
      <c r="SW14" s="50">
        <f t="shared" si="44"/>
        <v>0</v>
      </c>
      <c r="SX14" s="50"/>
      <c r="SY14" s="50"/>
      <c r="SZ14" s="50"/>
      <c r="TA14" s="50"/>
      <c r="TB14" s="50"/>
      <c r="TC14" s="50"/>
      <c r="TD14" s="50"/>
      <c r="TE14" s="50"/>
      <c r="TF14" s="50"/>
      <c r="TG14" s="50"/>
      <c r="TH14" s="50"/>
      <c r="TI14" s="50"/>
      <c r="TJ14" s="50"/>
      <c r="TK14" s="50"/>
      <c r="TL14" s="50"/>
      <c r="TM14" s="50"/>
      <c r="TN14" s="50"/>
      <c r="TO14" s="50"/>
      <c r="TP14" s="50"/>
      <c r="TQ14" s="50"/>
      <c r="TR14" s="50"/>
      <c r="TS14" s="50"/>
      <c r="TT14" s="50"/>
      <c r="TU14" s="50"/>
      <c r="TV14" s="50"/>
      <c r="TW14" s="50"/>
      <c r="TX14" s="50"/>
      <c r="TY14" s="50"/>
      <c r="TZ14" s="50"/>
      <c r="UA14" s="50"/>
      <c r="UB14" s="50"/>
      <c r="UC14" s="50"/>
      <c r="UD14" s="50"/>
      <c r="UE14" s="50"/>
      <c r="UF14" s="50"/>
      <c r="UG14" s="50"/>
      <c r="UH14" s="50"/>
      <c r="UI14" s="50"/>
      <c r="UJ14" s="50"/>
      <c r="UK14" s="50"/>
      <c r="UL14" s="50"/>
      <c r="UM14" s="50"/>
      <c r="UN14" s="50"/>
      <c r="UO14" s="50"/>
      <c r="UP14" s="50">
        <v>0</v>
      </c>
      <c r="UQ14" s="50"/>
      <c r="UR14" s="50"/>
      <c r="US14" s="50">
        <v>0</v>
      </c>
      <c r="UT14" s="50"/>
      <c r="UU14" s="50"/>
      <c r="UV14" s="50">
        <v>0</v>
      </c>
      <c r="UW14" s="50"/>
      <c r="UX14" s="50"/>
      <c r="UY14" s="50"/>
      <c r="UZ14" s="50"/>
      <c r="VA14" s="50"/>
      <c r="VB14" s="50"/>
      <c r="VC14" s="50"/>
      <c r="VD14" s="50"/>
      <c r="VE14" s="50"/>
      <c r="VF14" s="50"/>
      <c r="VG14" s="50"/>
      <c r="VH14" s="50"/>
      <c r="VI14" s="50"/>
      <c r="VJ14" s="50"/>
      <c r="VK14" s="50"/>
      <c r="VL14" s="50"/>
      <c r="VM14" s="50"/>
      <c r="VN14" s="50"/>
      <c r="VO14" s="50"/>
      <c r="VP14" s="50"/>
      <c r="VQ14" s="50"/>
      <c r="VR14" s="50"/>
      <c r="VS14" s="50"/>
      <c r="VT14" s="50"/>
      <c r="VU14" s="50"/>
      <c r="VV14" s="50"/>
      <c r="VW14" s="276">
        <f t="shared" si="57"/>
        <v>0</v>
      </c>
      <c r="VX14" s="292">
        <f t="shared" si="58"/>
        <v>0</v>
      </c>
      <c r="VY14" s="292">
        <f t="shared" si="59"/>
        <v>0</v>
      </c>
      <c r="VZ14" s="276">
        <f t="shared" si="60"/>
        <v>0</v>
      </c>
      <c r="WA14" s="292">
        <f t="shared" si="61"/>
        <v>0</v>
      </c>
      <c r="WB14" s="292">
        <f t="shared" si="62"/>
        <v>0</v>
      </c>
      <c r="WC14" s="277"/>
      <c r="WD14" s="277"/>
    </row>
    <row r="15" spans="1:602" s="12" customFormat="1" ht="20.5">
      <c r="A15" s="47" t="s">
        <v>40</v>
      </c>
      <c r="C15" s="47" t="s">
        <v>41</v>
      </c>
      <c r="D15" s="45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5"/>
      <c r="BD15" s="45"/>
      <c r="BE15" s="45"/>
      <c r="BF15" s="44"/>
      <c r="BG15" s="50"/>
      <c r="BH15" s="50"/>
      <c r="BI15" s="45"/>
      <c r="BJ15" s="12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45"/>
      <c r="CK15" s="45"/>
      <c r="CL15" s="50"/>
      <c r="CM15" s="42"/>
      <c r="CN15" s="45"/>
      <c r="CO15" s="50"/>
      <c r="CP15" s="50"/>
      <c r="CQ15" s="50"/>
      <c r="CR15" s="50"/>
      <c r="CS15" s="45"/>
      <c r="CT15" s="45"/>
      <c r="CU15" s="45"/>
      <c r="CV15" s="42"/>
      <c r="CW15" s="45"/>
      <c r="CX15" s="50"/>
      <c r="CY15" s="42"/>
      <c r="CZ15" s="45"/>
      <c r="DA15" s="50"/>
      <c r="DB15" s="42"/>
      <c r="DC15" s="45"/>
      <c r="DD15" s="50"/>
      <c r="DE15" s="42"/>
      <c r="DF15" s="45"/>
      <c r="DG15" s="50"/>
      <c r="DH15" s="42"/>
      <c r="DI15" s="45"/>
      <c r="DJ15" s="50"/>
      <c r="DK15" s="42"/>
      <c r="DL15" s="45"/>
      <c r="DM15" s="50"/>
      <c r="DN15" s="42"/>
      <c r="DO15" s="45"/>
      <c r="DP15" s="50"/>
      <c r="DQ15" s="42"/>
      <c r="DR15" s="45"/>
      <c r="DS15" s="50"/>
      <c r="DT15" s="42"/>
      <c r="DU15" s="45"/>
      <c r="DV15" s="50"/>
      <c r="DW15" s="42"/>
      <c r="DX15" s="45"/>
      <c r="DY15" s="50"/>
      <c r="DZ15" s="42"/>
      <c r="EA15" s="45"/>
      <c r="EB15" s="50"/>
      <c r="EC15" s="42"/>
      <c r="ED15" s="45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>
        <f t="shared" si="33"/>
        <v>0</v>
      </c>
      <c r="HM15" s="50">
        <f t="shared" si="34"/>
        <v>0</v>
      </c>
      <c r="HN15" s="50">
        <f t="shared" si="35"/>
        <v>0</v>
      </c>
      <c r="HO15" s="50">
        <f t="shared" si="3"/>
        <v>0</v>
      </c>
      <c r="HP15" s="50"/>
      <c r="HQ15" s="50"/>
      <c r="HR15" s="50">
        <v>6.3270801900000002</v>
      </c>
      <c r="HS15" s="50">
        <v>0</v>
      </c>
      <c r="HT15" s="50">
        <v>6.3270801900000002</v>
      </c>
      <c r="HU15" s="50">
        <v>6.3779890799999999</v>
      </c>
      <c r="HV15" s="50">
        <v>0</v>
      </c>
      <c r="HW15" s="50">
        <v>6.3779890799999999</v>
      </c>
      <c r="HX15" s="50">
        <v>6.49618348</v>
      </c>
      <c r="HY15" s="50">
        <v>0</v>
      </c>
      <c r="HZ15" s="50">
        <v>6.49618348</v>
      </c>
      <c r="IA15" s="50">
        <v>7.2769961799999994</v>
      </c>
      <c r="IB15" s="50">
        <v>0</v>
      </c>
      <c r="IC15" s="50">
        <v>7.2769961799999994</v>
      </c>
      <c r="ID15" s="50">
        <v>6.8531438600000003</v>
      </c>
      <c r="IE15" s="50">
        <v>0</v>
      </c>
      <c r="IF15" s="50">
        <v>6.8531438600000003</v>
      </c>
      <c r="IG15" s="50">
        <v>7.1367536600000001</v>
      </c>
      <c r="IH15" s="50">
        <v>0</v>
      </c>
      <c r="II15" s="50">
        <v>7.1367536600000001</v>
      </c>
      <c r="IJ15" s="50">
        <v>7.9535315999999998</v>
      </c>
      <c r="IK15" s="50">
        <v>0</v>
      </c>
      <c r="IL15" s="50">
        <v>7.9535315999999998</v>
      </c>
      <c r="IM15" s="50">
        <v>7.1503926099999999</v>
      </c>
      <c r="IN15" s="50">
        <v>0</v>
      </c>
      <c r="IO15" s="50">
        <v>7.1503926099999999</v>
      </c>
      <c r="IP15" s="50">
        <v>6.8681282399999999</v>
      </c>
      <c r="IQ15" s="50">
        <v>0</v>
      </c>
      <c r="IR15" s="50">
        <v>6.8681282399999999</v>
      </c>
      <c r="IS15" s="50">
        <v>7.6789995300000005</v>
      </c>
      <c r="IT15" s="50">
        <v>0</v>
      </c>
      <c r="IU15" s="50">
        <v>7.6789995300000005</v>
      </c>
      <c r="IV15" s="50">
        <v>7.2447870599999993</v>
      </c>
      <c r="IW15" s="50">
        <v>0</v>
      </c>
      <c r="IX15" s="50">
        <v>7.2447870599999993</v>
      </c>
      <c r="IY15" s="50">
        <v>8.1951283700000008</v>
      </c>
      <c r="IZ15" s="50">
        <v>0</v>
      </c>
      <c r="JA15" s="50">
        <v>8.1951283700000008</v>
      </c>
      <c r="JB15" s="50">
        <f t="shared" si="36"/>
        <v>85.559113859999997</v>
      </c>
      <c r="JC15" s="50">
        <f t="shared" si="37"/>
        <v>0</v>
      </c>
      <c r="JD15" s="50">
        <f t="shared" si="38"/>
        <v>85.559113859999997</v>
      </c>
      <c r="JE15" s="50">
        <f t="shared" si="4"/>
        <v>85.559113999999994</v>
      </c>
      <c r="JF15" s="50"/>
      <c r="JG15" s="45">
        <v>85.559113999999994</v>
      </c>
      <c r="JH15" s="50">
        <v>7.86151424</v>
      </c>
      <c r="JI15" s="50">
        <v>0</v>
      </c>
      <c r="JJ15" s="50">
        <v>7.86151424</v>
      </c>
      <c r="JK15" s="50">
        <v>7.6635611399999997</v>
      </c>
      <c r="JL15" s="50">
        <v>0</v>
      </c>
      <c r="JM15" s="50">
        <v>7.6635611399999997</v>
      </c>
      <c r="JN15" s="50">
        <v>7.66454433</v>
      </c>
      <c r="JO15" s="50">
        <v>0</v>
      </c>
      <c r="JP15" s="50">
        <v>7.66454433</v>
      </c>
      <c r="JQ15" s="50">
        <v>8.5819371899999997</v>
      </c>
      <c r="JR15" s="50">
        <v>0</v>
      </c>
      <c r="JS15" s="50">
        <v>8.5819371899999997</v>
      </c>
      <c r="JT15" s="50">
        <v>8.0710181199999997</v>
      </c>
      <c r="JU15" s="50">
        <v>0</v>
      </c>
      <c r="JV15" s="50">
        <v>8.0710181199999997</v>
      </c>
      <c r="JW15" s="50">
        <v>8.08691593</v>
      </c>
      <c r="JX15" s="50">
        <v>0</v>
      </c>
      <c r="JY15" s="50">
        <v>8.08691593</v>
      </c>
      <c r="JZ15" s="50">
        <v>9.1913157899999991</v>
      </c>
      <c r="KA15" s="50">
        <v>0</v>
      </c>
      <c r="KB15" s="50">
        <v>9.1913157899999991</v>
      </c>
      <c r="KC15" s="50">
        <v>8.3760629699999996</v>
      </c>
      <c r="KD15" s="50">
        <v>0</v>
      </c>
      <c r="KE15" s="50">
        <v>8.3760629699999996</v>
      </c>
      <c r="KF15" s="50">
        <v>8.0312316599999996</v>
      </c>
      <c r="KG15" s="50">
        <v>0</v>
      </c>
      <c r="KH15" s="50">
        <v>8.0312316599999996</v>
      </c>
      <c r="KI15" s="50">
        <v>8.8182299799999999</v>
      </c>
      <c r="KJ15" s="50">
        <v>0</v>
      </c>
      <c r="KK15" s="50">
        <v>8.8182299799999999</v>
      </c>
      <c r="KL15" s="50">
        <v>8.3107472599999994</v>
      </c>
      <c r="KM15" s="50">
        <v>0</v>
      </c>
      <c r="KN15" s="50">
        <v>8.3107472599999994</v>
      </c>
      <c r="KO15" s="50">
        <v>9.3744039099999998</v>
      </c>
      <c r="KP15" s="50">
        <v>0</v>
      </c>
      <c r="KQ15" s="50">
        <v>9.3744039099999998</v>
      </c>
      <c r="KR15" s="50">
        <f t="shared" si="48"/>
        <v>100.03148252</v>
      </c>
      <c r="KS15" s="50">
        <f t="shared" si="39"/>
        <v>0</v>
      </c>
      <c r="KT15" s="50">
        <f t="shared" si="49"/>
        <v>100.03148252</v>
      </c>
      <c r="KU15" s="50">
        <f t="shared" si="5"/>
        <v>100.03148299999999</v>
      </c>
      <c r="KV15" s="50"/>
      <c r="KW15" s="45">
        <v>100.03148299999999</v>
      </c>
      <c r="KX15" s="50">
        <v>8.1681185999999997</v>
      </c>
      <c r="KY15" s="50">
        <v>0</v>
      </c>
      <c r="KZ15" s="50">
        <v>8.1681185999999997</v>
      </c>
      <c r="LA15" s="50">
        <v>7.9001535100000009</v>
      </c>
      <c r="LB15" s="50">
        <v>0</v>
      </c>
      <c r="LC15" s="50">
        <v>7.9001535100000009</v>
      </c>
      <c r="LD15" s="50">
        <v>7.61288213</v>
      </c>
      <c r="LE15" s="50">
        <v>0</v>
      </c>
      <c r="LF15" s="50">
        <v>7.61288213</v>
      </c>
      <c r="LG15" s="50">
        <v>8.07752011</v>
      </c>
      <c r="LH15" s="50">
        <v>0</v>
      </c>
      <c r="LI15" s="174">
        <v>8.07752011</v>
      </c>
      <c r="LJ15" s="174">
        <v>6.9404478099999993</v>
      </c>
      <c r="LK15" s="50">
        <v>0</v>
      </c>
      <c r="LL15" s="174">
        <v>6.9404478099999993</v>
      </c>
      <c r="LM15" s="50">
        <v>7.3430678799999995</v>
      </c>
      <c r="LN15" s="50">
        <v>0</v>
      </c>
      <c r="LO15" s="50">
        <v>7.3430678799999995</v>
      </c>
      <c r="LP15" s="50">
        <v>8.6378478000000012</v>
      </c>
      <c r="LQ15" s="50">
        <v>0</v>
      </c>
      <c r="LR15" s="44">
        <v>8.6377597999999995</v>
      </c>
      <c r="LS15" s="50">
        <v>7.989900020000003</v>
      </c>
      <c r="LT15" s="50">
        <v>0</v>
      </c>
      <c r="LU15" s="52">
        <v>7.989900020000003</v>
      </c>
      <c r="LV15" s="44">
        <v>8.0720873900000001</v>
      </c>
      <c r="LW15" s="50">
        <v>0</v>
      </c>
      <c r="LX15" s="50">
        <v>8.0720873900000001</v>
      </c>
      <c r="LY15" s="50">
        <v>28.380519700000001</v>
      </c>
      <c r="LZ15" s="50">
        <v>0</v>
      </c>
      <c r="MA15" s="50">
        <v>28.380519700000001</v>
      </c>
      <c r="MB15" s="50">
        <v>9.3297039999999996</v>
      </c>
      <c r="MC15" s="50">
        <v>0</v>
      </c>
      <c r="MD15" s="50">
        <v>9.3297039999999996</v>
      </c>
      <c r="ME15" s="50">
        <v>-11.118255</v>
      </c>
      <c r="MF15" s="50">
        <v>0</v>
      </c>
      <c r="MG15" s="50">
        <v>-11.118255</v>
      </c>
      <c r="MH15" s="50">
        <f t="shared" si="66"/>
        <v>97.333993950000007</v>
      </c>
      <c r="MI15" s="50">
        <f t="shared" si="50"/>
        <v>0</v>
      </c>
      <c r="MJ15" s="50">
        <f t="shared" si="51"/>
        <v>97.333905950000002</v>
      </c>
      <c r="MK15" s="50">
        <f t="shared" si="7"/>
        <v>97.333906999999996</v>
      </c>
      <c r="ML15" s="50"/>
      <c r="MM15" s="50">
        <v>97.333906999999996</v>
      </c>
      <c r="MN15" s="50">
        <v>6.6631799999999997</v>
      </c>
      <c r="MO15" s="50"/>
      <c r="MP15" s="50">
        <v>6.6631799999999997</v>
      </c>
      <c r="MQ15" s="50">
        <v>6.562019359999999</v>
      </c>
      <c r="MR15" s="50">
        <v>0</v>
      </c>
      <c r="MS15" s="50">
        <v>6.562019359999999</v>
      </c>
      <c r="MT15" s="50">
        <v>7.5709813400000465</v>
      </c>
      <c r="MU15" s="50">
        <v>0</v>
      </c>
      <c r="MV15" s="50">
        <v>7.5709813400000465</v>
      </c>
      <c r="MW15" s="50">
        <v>8.5642573500000001</v>
      </c>
      <c r="MX15" s="50">
        <v>0</v>
      </c>
      <c r="MY15" s="50">
        <v>8.5642573500000001</v>
      </c>
      <c r="MZ15" s="50">
        <v>8.3422343899999998</v>
      </c>
      <c r="NA15" s="50">
        <v>0</v>
      </c>
      <c r="NB15" s="50">
        <v>8.3422343899999998</v>
      </c>
      <c r="NC15" s="50">
        <v>8.3550178000000006</v>
      </c>
      <c r="ND15" s="50">
        <v>0</v>
      </c>
      <c r="NE15" s="50">
        <v>8.3550178000000006</v>
      </c>
      <c r="NF15" s="50">
        <v>9.4674603699999995</v>
      </c>
      <c r="NG15" s="50">
        <v>0</v>
      </c>
      <c r="NH15" s="50">
        <v>9.4674603699999995</v>
      </c>
      <c r="NI15" s="50">
        <v>9.213895410000001</v>
      </c>
      <c r="NJ15" s="50">
        <v>0</v>
      </c>
      <c r="NK15" s="50">
        <v>9.213895410000001</v>
      </c>
      <c r="NL15" s="50">
        <v>9.0786250000000006</v>
      </c>
      <c r="NM15" s="50">
        <v>0</v>
      </c>
      <c r="NN15" s="50">
        <v>9.0786250000000006</v>
      </c>
      <c r="NO15" s="50">
        <v>8.9000074199999997</v>
      </c>
      <c r="NP15" s="50">
        <v>0</v>
      </c>
      <c r="NQ15" s="50">
        <v>8.9000074199999997</v>
      </c>
      <c r="NR15" s="50">
        <v>8.2311787299999999</v>
      </c>
      <c r="NS15" s="50">
        <v>0</v>
      </c>
      <c r="NT15" s="50">
        <v>8.2311787299999999</v>
      </c>
      <c r="NU15" s="50">
        <v>12.06729048</v>
      </c>
      <c r="NV15" s="50">
        <v>0</v>
      </c>
      <c r="NW15" s="50">
        <v>12.06729048</v>
      </c>
      <c r="NX15" s="50">
        <f t="shared" si="67"/>
        <v>103.01614765000004</v>
      </c>
      <c r="NY15" s="50">
        <f t="shared" si="40"/>
        <v>0</v>
      </c>
      <c r="NZ15" s="50">
        <f t="shared" si="41"/>
        <v>103.01614765000004</v>
      </c>
      <c r="OA15" s="50">
        <f t="shared" si="8"/>
        <v>103.016147</v>
      </c>
      <c r="OB15" s="50"/>
      <c r="OC15" s="50">
        <v>103.016147</v>
      </c>
      <c r="OD15" s="50">
        <v>9.0738335699999997</v>
      </c>
      <c r="OE15" s="50"/>
      <c r="OF15" s="50">
        <v>9.0738335699999997</v>
      </c>
      <c r="OG15" s="50">
        <v>8.2680667999999997</v>
      </c>
      <c r="OH15" s="50"/>
      <c r="OI15" s="50">
        <v>8.2680667999999997</v>
      </c>
      <c r="OJ15" s="50">
        <v>9.3506955499999993</v>
      </c>
      <c r="OK15" s="50"/>
      <c r="OL15" s="50">
        <v>9.3506955499999993</v>
      </c>
      <c r="OM15" s="50">
        <v>15.572533979999999</v>
      </c>
      <c r="ON15" s="50"/>
      <c r="OO15" s="50">
        <v>15.572533979999999</v>
      </c>
      <c r="OP15" s="50">
        <v>10.21044281</v>
      </c>
      <c r="OQ15" s="50"/>
      <c r="OR15" s="50">
        <v>10.21044281</v>
      </c>
      <c r="OS15" s="50">
        <v>10.732403270000001</v>
      </c>
      <c r="OT15" s="50"/>
      <c r="OU15" s="50">
        <v>10.732403270000001</v>
      </c>
      <c r="OV15" s="50">
        <v>10.730895430000002</v>
      </c>
      <c r="OW15" s="50"/>
      <c r="OX15" s="50">
        <v>10.730895430000002</v>
      </c>
      <c r="OY15" s="94">
        <v>10.51135262</v>
      </c>
      <c r="OZ15" s="50"/>
      <c r="PA15" s="94">
        <v>10.51135262</v>
      </c>
      <c r="PB15" s="50">
        <v>11.13021996</v>
      </c>
      <c r="PC15" s="50"/>
      <c r="PD15" s="50">
        <v>11.13021996</v>
      </c>
      <c r="PE15" s="50">
        <v>11.473672380000002</v>
      </c>
      <c r="PF15" s="50"/>
      <c r="PG15" s="50">
        <v>11.473672380000002</v>
      </c>
      <c r="PH15" s="50">
        <v>10.62159331</v>
      </c>
      <c r="PI15" s="50"/>
      <c r="PJ15" s="50">
        <v>10.62159331</v>
      </c>
      <c r="PK15" s="50">
        <v>10.01428958</v>
      </c>
      <c r="PL15" s="50"/>
      <c r="PM15" s="50">
        <v>10.01428958</v>
      </c>
      <c r="PN15" s="50">
        <f t="shared" si="68"/>
        <v>127.68999925999998</v>
      </c>
      <c r="PO15" s="50">
        <f t="shared" si="42"/>
        <v>0</v>
      </c>
      <c r="PP15" s="50">
        <f t="shared" si="43"/>
        <v>127.68999925999998</v>
      </c>
      <c r="PQ15" s="50">
        <f t="shared" si="9"/>
        <v>127.689999</v>
      </c>
      <c r="PR15" s="50"/>
      <c r="PS15" s="50">
        <v>127.689999</v>
      </c>
      <c r="PT15" s="50">
        <v>12.580462300000001</v>
      </c>
      <c r="PU15" s="50"/>
      <c r="PV15" s="50">
        <v>12.580462300000001</v>
      </c>
      <c r="PW15" s="50">
        <v>10.634477409999999</v>
      </c>
      <c r="PX15" s="50"/>
      <c r="PY15" s="50">
        <v>10.634477409999999</v>
      </c>
      <c r="PZ15" s="50">
        <v>9.3120504900000007</v>
      </c>
      <c r="QA15" s="50"/>
      <c r="QB15" s="50">
        <v>9.3120504900000007</v>
      </c>
      <c r="QC15" s="50">
        <v>11.897745379999998</v>
      </c>
      <c r="QD15" s="50"/>
      <c r="QE15" s="50">
        <v>11.897745379999998</v>
      </c>
      <c r="QF15" s="50">
        <v>11.435182810000001</v>
      </c>
      <c r="QG15" s="50"/>
      <c r="QH15" s="50">
        <v>11.435182810000001</v>
      </c>
      <c r="QI15" s="50">
        <v>11.994126100000001</v>
      </c>
      <c r="QJ15" s="50"/>
      <c r="QK15" s="50">
        <v>11.994126100000001</v>
      </c>
      <c r="QL15" s="50">
        <v>12.401795089999998</v>
      </c>
      <c r="QM15" s="50"/>
      <c r="QN15" s="50">
        <v>12.401795089999998</v>
      </c>
      <c r="QO15" s="50">
        <v>12.063554089999998</v>
      </c>
      <c r="QP15" s="50"/>
      <c r="QQ15" s="50">
        <v>12.063554089999998</v>
      </c>
      <c r="QR15" s="50">
        <v>12.241579700000001</v>
      </c>
      <c r="QS15" s="50"/>
      <c r="QT15" s="50">
        <v>12.241579700000001</v>
      </c>
      <c r="QU15" s="50">
        <v>11.620826729999999</v>
      </c>
      <c r="QV15" s="50"/>
      <c r="QW15" s="50">
        <v>11.620826729999999</v>
      </c>
      <c r="QX15" s="50">
        <v>11.905425259999999</v>
      </c>
      <c r="QY15" s="50"/>
      <c r="QZ15" s="50">
        <v>11.905425259999999</v>
      </c>
      <c r="RA15" s="50">
        <v>11.80566093</v>
      </c>
      <c r="RB15" s="50"/>
      <c r="RC15" s="50">
        <v>11.80566093</v>
      </c>
      <c r="RD15" s="50">
        <f t="shared" si="52"/>
        <v>139.89288628999998</v>
      </c>
      <c r="RE15" s="50">
        <f t="shared" si="53"/>
        <v>0</v>
      </c>
      <c r="RF15" s="50">
        <f t="shared" si="54"/>
        <v>139.89288628999998</v>
      </c>
      <c r="RG15" s="50">
        <f t="shared" si="11"/>
        <v>139.892886</v>
      </c>
      <c r="RH15" s="50"/>
      <c r="RI15" s="50">
        <v>139.892886</v>
      </c>
      <c r="RJ15" s="50">
        <v>13.570536630000001</v>
      </c>
      <c r="RK15" s="50"/>
      <c r="RL15" s="50">
        <v>13.570536630000001</v>
      </c>
      <c r="RM15" s="50">
        <v>12.233401590000001</v>
      </c>
      <c r="RN15" s="50"/>
      <c r="RO15" s="50">
        <v>12.233401590000001</v>
      </c>
      <c r="RP15" s="50">
        <v>11.866714999999999</v>
      </c>
      <c r="RQ15" s="50"/>
      <c r="RR15" s="50">
        <v>11.866714999999999</v>
      </c>
      <c r="RS15" s="50">
        <v>13.74711832</v>
      </c>
      <c r="RT15" s="50"/>
      <c r="RU15" s="50">
        <v>13.74711832</v>
      </c>
      <c r="RV15" s="50">
        <v>12.595640879999998</v>
      </c>
      <c r="RW15" s="50"/>
      <c r="RX15" s="50">
        <v>12.595640879999998</v>
      </c>
      <c r="RY15" s="50">
        <v>-8.2055837599999979</v>
      </c>
      <c r="RZ15" s="50"/>
      <c r="SA15" s="50">
        <v>-8.2055837599999979</v>
      </c>
      <c r="SB15" s="50">
        <v>33.416413259999999</v>
      </c>
      <c r="SC15" s="50"/>
      <c r="SD15" s="50">
        <v>33.416413259999999</v>
      </c>
      <c r="SE15" s="50">
        <v>13.085232319999999</v>
      </c>
      <c r="SF15" s="50"/>
      <c r="SG15" s="50">
        <v>13.085232319999999</v>
      </c>
      <c r="SH15" s="50">
        <v>12.308199549999999</v>
      </c>
      <c r="SI15" s="50"/>
      <c r="SJ15" s="50">
        <v>12.308199549999999</v>
      </c>
      <c r="SK15" s="50">
        <v>13.08192294</v>
      </c>
      <c r="SL15" s="50"/>
      <c r="SM15" s="50">
        <v>13.08192294</v>
      </c>
      <c r="SN15" s="50">
        <v>12.63569597</v>
      </c>
      <c r="SO15" s="50"/>
      <c r="SP15" s="50">
        <v>12.63569597</v>
      </c>
      <c r="SQ15" s="50">
        <v>13.18419181</v>
      </c>
      <c r="SR15" s="50"/>
      <c r="SS15" s="50">
        <v>13.18419181</v>
      </c>
      <c r="ST15" s="50">
        <f t="shared" si="55"/>
        <v>153.51948451000001</v>
      </c>
      <c r="SU15" s="50">
        <f t="shared" si="65"/>
        <v>0</v>
      </c>
      <c r="SV15" s="50">
        <f t="shared" si="56"/>
        <v>153.51948451000001</v>
      </c>
      <c r="SW15" s="50">
        <f t="shared" si="44"/>
        <v>153.51948400000001</v>
      </c>
      <c r="SX15" s="50"/>
      <c r="SY15" s="50">
        <v>153.51948400000001</v>
      </c>
      <c r="SZ15" s="50">
        <v>14.11489718</v>
      </c>
      <c r="TA15" s="50"/>
      <c r="TB15" s="50">
        <v>14.11489718</v>
      </c>
      <c r="TC15" s="50">
        <v>12.63292803</v>
      </c>
      <c r="TD15" s="50"/>
      <c r="TE15" s="50">
        <v>12.63292803</v>
      </c>
      <c r="TF15" s="50">
        <v>12.830068369999999</v>
      </c>
      <c r="TG15" s="50"/>
      <c r="TH15" s="50">
        <v>12.830068369999999</v>
      </c>
      <c r="TI15" s="50">
        <v>13.555623039999999</v>
      </c>
      <c r="TJ15" s="50"/>
      <c r="TK15" s="50">
        <v>13.555623039999999</v>
      </c>
      <c r="TL15" s="50">
        <v>13.502262610000001</v>
      </c>
      <c r="TM15" s="50"/>
      <c r="TN15" s="50">
        <v>13.502262610000001</v>
      </c>
      <c r="TO15" s="50">
        <v>13.33217088</v>
      </c>
      <c r="TP15" s="50"/>
      <c r="TQ15" s="50">
        <v>13.33217088</v>
      </c>
      <c r="TR15" s="50">
        <v>14.517592390000001</v>
      </c>
      <c r="TS15" s="50"/>
      <c r="TT15" s="50">
        <v>14.517592390000001</v>
      </c>
      <c r="TU15" s="50">
        <v>14.040808339999998</v>
      </c>
      <c r="TV15" s="50"/>
      <c r="TW15" s="50">
        <v>14.040808339999998</v>
      </c>
      <c r="TX15" s="50">
        <v>13.17416626</v>
      </c>
      <c r="TY15" s="50"/>
      <c r="TZ15" s="50">
        <v>13.17416626</v>
      </c>
      <c r="UA15" s="50">
        <v>14.373358170000001</v>
      </c>
      <c r="UB15" s="50"/>
      <c r="UC15" s="50">
        <v>14.373358170000001</v>
      </c>
      <c r="UD15" s="50">
        <v>13.66812691</v>
      </c>
      <c r="UE15" s="50"/>
      <c r="UF15" s="50">
        <v>13.66812691</v>
      </c>
      <c r="UG15" s="50">
        <v>13.37807905</v>
      </c>
      <c r="UH15" s="50"/>
      <c r="UI15" s="50">
        <v>13.37807905</v>
      </c>
      <c r="UJ15" s="50">
        <f t="shared" si="45"/>
        <v>163.12008123000001</v>
      </c>
      <c r="UK15" s="50">
        <f t="shared" si="15"/>
        <v>0</v>
      </c>
      <c r="UL15" s="50">
        <f t="shared" si="16"/>
        <v>163.12008123000001</v>
      </c>
      <c r="UM15" s="50">
        <v>15.279118380000002</v>
      </c>
      <c r="UN15" s="50"/>
      <c r="UO15" s="50">
        <v>15.279118380000002</v>
      </c>
      <c r="UP15" s="50">
        <v>13.20661497</v>
      </c>
      <c r="UQ15" s="50"/>
      <c r="UR15" s="50">
        <v>13.20661497</v>
      </c>
      <c r="US15" s="50">
        <v>13.219097680000001</v>
      </c>
      <c r="UT15" s="50"/>
      <c r="UU15" s="50">
        <v>13.219097680000001</v>
      </c>
      <c r="UV15" s="50">
        <v>14.48103435</v>
      </c>
      <c r="UW15" s="50"/>
      <c r="UX15" s="50">
        <v>14.48103435</v>
      </c>
      <c r="UY15" s="50"/>
      <c r="UZ15" s="50"/>
      <c r="VA15" s="50"/>
      <c r="VB15" s="50"/>
      <c r="VC15" s="50"/>
      <c r="VD15" s="50"/>
      <c r="VE15" s="50"/>
      <c r="VF15" s="50"/>
      <c r="VG15" s="50"/>
      <c r="VH15" s="50"/>
      <c r="VI15" s="50"/>
      <c r="VJ15" s="50"/>
      <c r="VK15" s="50"/>
      <c r="VL15" s="50"/>
      <c r="VM15" s="50"/>
      <c r="VN15" s="50"/>
      <c r="VO15" s="50"/>
      <c r="VP15" s="50"/>
      <c r="VQ15" s="50"/>
      <c r="VR15" s="50"/>
      <c r="VS15" s="50"/>
      <c r="VT15" s="50"/>
      <c r="VU15" s="50"/>
      <c r="VV15" s="50"/>
      <c r="VW15" s="276">
        <f t="shared" si="57"/>
        <v>53.133516999999998</v>
      </c>
      <c r="VX15" s="292">
        <f t="shared" si="58"/>
        <v>0</v>
      </c>
      <c r="VY15" s="292">
        <f t="shared" si="59"/>
        <v>53.133516999999998</v>
      </c>
      <c r="VZ15" s="276">
        <f t="shared" si="60"/>
        <v>56.185865</v>
      </c>
      <c r="WA15" s="292">
        <f t="shared" si="61"/>
        <v>0</v>
      </c>
      <c r="WB15" s="292">
        <f t="shared" si="62"/>
        <v>56.185865</v>
      </c>
      <c r="WC15" s="277">
        <f t="shared" si="63"/>
        <v>3.0523480000000021</v>
      </c>
      <c r="WD15" s="277">
        <f t="shared" si="64"/>
        <v>5.7446752489582025</v>
      </c>
    </row>
    <row r="16" spans="1:602" s="12" customFormat="1" ht="20.5">
      <c r="A16" s="46" t="s">
        <v>52</v>
      </c>
      <c r="C16" s="46" t="s">
        <v>53</v>
      </c>
      <c r="D16" s="45">
        <v>2456.0125582666005</v>
      </c>
      <c r="E16" s="42">
        <v>2451.1099054643969</v>
      </c>
      <c r="F16" s="42">
        <v>1908.416275376919</v>
      </c>
      <c r="G16" s="42">
        <v>1880.7311312969191</v>
      </c>
      <c r="H16" s="42">
        <v>209.51530725493879</v>
      </c>
      <c r="I16" s="42">
        <v>114.14771828276447</v>
      </c>
      <c r="J16" s="42">
        <v>141.15212491676201</v>
      </c>
      <c r="K16" s="42">
        <v>183.6046892163391</v>
      </c>
      <c r="L16" s="42">
        <v>164.92920643593376</v>
      </c>
      <c r="M16" s="42">
        <v>192.89789045025358</v>
      </c>
      <c r="N16" s="42">
        <v>202.53648385609642</v>
      </c>
      <c r="O16" s="42">
        <v>200.64735829619636</v>
      </c>
      <c r="P16" s="42">
        <v>211.71641595665363</v>
      </c>
      <c r="Q16" s="42">
        <v>212.32829352138006</v>
      </c>
      <c r="R16" s="42">
        <v>194.92011997655106</v>
      </c>
      <c r="S16" s="42">
        <v>165.04612808122891</v>
      </c>
      <c r="T16" s="42">
        <v>2193.4417362450981</v>
      </c>
      <c r="U16" s="42">
        <v>0</v>
      </c>
      <c r="V16" s="42">
        <v>2193.4417362450981</v>
      </c>
      <c r="W16" s="42">
        <v>2193.4417362450981</v>
      </c>
      <c r="X16" s="42">
        <v>239.83825220118274</v>
      </c>
      <c r="Y16" s="42">
        <v>155.63838851230216</v>
      </c>
      <c r="Z16" s="42">
        <v>180.66310379565283</v>
      </c>
      <c r="AA16" s="42">
        <v>205.4029131877451</v>
      </c>
      <c r="AB16" s="42">
        <v>189.09472484504929</v>
      </c>
      <c r="AC16" s="42">
        <v>205.88736546747032</v>
      </c>
      <c r="AD16" s="42">
        <v>219.83348131200165</v>
      </c>
      <c r="AE16" s="42">
        <v>212.59046761259188</v>
      </c>
      <c r="AF16" s="42">
        <v>218.69054957000816</v>
      </c>
      <c r="AG16" s="42">
        <v>209.91688863466914</v>
      </c>
      <c r="AH16" s="42">
        <v>202.97911793330712</v>
      </c>
      <c r="AI16" s="42">
        <v>208.66468887484987</v>
      </c>
      <c r="AJ16" s="42">
        <f t="shared" si="46"/>
        <v>2449.1999419468302</v>
      </c>
      <c r="AK16" s="42">
        <v>0</v>
      </c>
      <c r="AL16" s="42">
        <v>2449.1999419468302</v>
      </c>
      <c r="AM16" s="42">
        <v>2449.1999419468298</v>
      </c>
      <c r="AN16" s="42">
        <v>238.38669814059111</v>
      </c>
      <c r="AO16" s="42">
        <v>163.16960489695563</v>
      </c>
      <c r="AP16" s="42">
        <v>184.6345396440544</v>
      </c>
      <c r="AQ16" s="42">
        <v>224.70207198593064</v>
      </c>
      <c r="AR16" s="42">
        <v>195.04507657896087</v>
      </c>
      <c r="AS16" s="42">
        <v>225.28939789756464</v>
      </c>
      <c r="AT16" s="42">
        <v>232.94027068713325</v>
      </c>
      <c r="AU16" s="42">
        <v>235.85988127557613</v>
      </c>
      <c r="AV16" s="42">
        <v>227.1550119236658</v>
      </c>
      <c r="AW16" s="42">
        <v>213.32837177932967</v>
      </c>
      <c r="AX16" s="42">
        <v>214.6261546604743</v>
      </c>
      <c r="AY16" s="42">
        <v>205.69504869067336</v>
      </c>
      <c r="AZ16" s="42">
        <v>2560.8321281609096</v>
      </c>
      <c r="BA16" s="42"/>
      <c r="BB16" s="42">
        <v>2560.8321281609096</v>
      </c>
      <c r="BC16" s="45">
        <f t="shared" si="21"/>
        <v>2560.8321281609101</v>
      </c>
      <c r="BD16" s="45"/>
      <c r="BE16" s="45">
        <v>2560.8321281609101</v>
      </c>
      <c r="BF16" s="44">
        <f t="shared" ref="BF16:BL16" si="69">BF17+BF18+BF19</f>
        <v>278.75584799999996</v>
      </c>
      <c r="BG16" s="118">
        <f t="shared" si="69"/>
        <v>0</v>
      </c>
      <c r="BH16" s="50">
        <f t="shared" si="69"/>
        <v>278.75584799999996</v>
      </c>
      <c r="BI16" s="44">
        <f t="shared" si="69"/>
        <v>172.46320900000001</v>
      </c>
      <c r="BJ16" s="119">
        <f t="shared" si="69"/>
        <v>0</v>
      </c>
      <c r="BK16" s="50">
        <f t="shared" si="69"/>
        <v>172.46320900000001</v>
      </c>
      <c r="BL16" s="44">
        <f t="shared" si="69"/>
        <v>187.823497</v>
      </c>
      <c r="BM16" s="50"/>
      <c r="BN16" s="50">
        <f>BN17+BN18+BN19</f>
        <v>187.823497</v>
      </c>
      <c r="BO16" s="44">
        <f>BO17+BO18+BO19</f>
        <v>232.29418600000002</v>
      </c>
      <c r="BP16" s="50"/>
      <c r="BQ16" s="50">
        <f>BQ17+BQ18+BQ19</f>
        <v>232.29418600000002</v>
      </c>
      <c r="BR16" s="44">
        <f>BR17+BR18+BR19</f>
        <v>208.42837600000001</v>
      </c>
      <c r="BS16" s="50"/>
      <c r="BT16" s="50">
        <f>BT17+BT18+BT19</f>
        <v>208.42837600000001</v>
      </c>
      <c r="BU16" s="44">
        <f>BU17+BU18+BU19</f>
        <v>253.24810899999997</v>
      </c>
      <c r="BV16" s="50"/>
      <c r="BW16" s="50">
        <f>BW17+BW18+BW19</f>
        <v>253.24810899999997</v>
      </c>
      <c r="BX16" s="44">
        <f>BX17+BX18+BX19</f>
        <v>239.92042799999999</v>
      </c>
      <c r="BY16" s="50"/>
      <c r="BZ16" s="50">
        <f>BZ17+BZ18+BZ19</f>
        <v>239.92042799999999</v>
      </c>
      <c r="CA16" s="44">
        <f>CA17+CA18+CA19</f>
        <v>253.01650400000003</v>
      </c>
      <c r="CB16" s="50"/>
      <c r="CC16" s="50">
        <f>CC17+CC18+CC19</f>
        <v>253.01650400000003</v>
      </c>
      <c r="CD16" s="44">
        <f>CD17+CD18+CD19</f>
        <v>251.73991851999997</v>
      </c>
      <c r="CE16" s="50"/>
      <c r="CF16" s="50">
        <f>CF17+CF18+CF19</f>
        <v>251.73991851999997</v>
      </c>
      <c r="CG16" s="44">
        <f>CG17+CG18+CG19</f>
        <v>216.43088697000002</v>
      </c>
      <c r="CH16" s="50"/>
      <c r="CI16" s="50">
        <f>CI17+CI18+CI19</f>
        <v>216.43088697000002</v>
      </c>
      <c r="CJ16" s="44">
        <f>CJ17+CJ18+CJ19</f>
        <v>239.10376905000001</v>
      </c>
      <c r="CK16" s="45"/>
      <c r="CL16" s="50">
        <f>CL17+CL18+CL19</f>
        <v>239.10376905000001</v>
      </c>
      <c r="CM16" s="44">
        <f>CM17+CM18+CM19</f>
        <v>218.57831420000002</v>
      </c>
      <c r="CN16" s="45"/>
      <c r="CO16" s="50">
        <f>CO17+CO18+CO19</f>
        <v>218.57831420000002</v>
      </c>
      <c r="CP16" s="50">
        <f t="shared" si="24"/>
        <v>2751.80304574</v>
      </c>
      <c r="CQ16" s="50">
        <f t="shared" si="25"/>
        <v>0</v>
      </c>
      <c r="CR16" s="50">
        <f t="shared" si="26"/>
        <v>2751.80304574</v>
      </c>
      <c r="CS16" s="45">
        <f t="shared" si="2"/>
        <v>2751.8030460000004</v>
      </c>
      <c r="CT16" s="45"/>
      <c r="CU16" s="45">
        <f>CU17+CU18+CU19</f>
        <v>2751.8030460000004</v>
      </c>
      <c r="CV16" s="44">
        <f>CV17+CV18+CV19</f>
        <v>290.00999378999995</v>
      </c>
      <c r="CW16" s="45"/>
      <c r="CX16" s="50">
        <f>CX17+CX18+CX19</f>
        <v>290.00999378999995</v>
      </c>
      <c r="CY16" s="44">
        <v>179.82253193</v>
      </c>
      <c r="CZ16" s="45"/>
      <c r="DA16" s="50">
        <v>179.82253193</v>
      </c>
      <c r="DB16" s="44">
        <v>202.13652640999999</v>
      </c>
      <c r="DC16" s="45"/>
      <c r="DD16" s="50">
        <v>202.13652640999999</v>
      </c>
      <c r="DE16" s="44">
        <v>249.84598847000001</v>
      </c>
      <c r="DF16" s="45"/>
      <c r="DG16" s="50">
        <v>249.84598847000001</v>
      </c>
      <c r="DH16" s="44">
        <v>226.65068798999999</v>
      </c>
      <c r="DI16" s="45"/>
      <c r="DJ16" s="50">
        <v>226.65068798999999</v>
      </c>
      <c r="DK16" s="44">
        <v>250.23037192999999</v>
      </c>
      <c r="DL16" s="45"/>
      <c r="DM16" s="50">
        <v>250.23037192999999</v>
      </c>
      <c r="DN16" s="44">
        <v>249.53865149000001</v>
      </c>
      <c r="DO16" s="45"/>
      <c r="DP16" s="50">
        <v>249.53865149000001</v>
      </c>
      <c r="DQ16" s="44">
        <v>260.54540386000002</v>
      </c>
      <c r="DR16" s="45"/>
      <c r="DS16" s="50">
        <v>260.54540386000002</v>
      </c>
      <c r="DT16" s="44">
        <v>252.15341242000005</v>
      </c>
      <c r="DU16" s="45"/>
      <c r="DV16" s="50">
        <v>252.15341242000005</v>
      </c>
      <c r="DW16" s="44">
        <v>265.98313226000005</v>
      </c>
      <c r="DX16" s="45"/>
      <c r="DY16" s="50">
        <v>265.98313226000005</v>
      </c>
      <c r="DZ16" s="44">
        <v>260.5217758</v>
      </c>
      <c r="EA16" s="45"/>
      <c r="EB16" s="50">
        <v>260.5217758</v>
      </c>
      <c r="EC16" s="44">
        <v>231.75284026</v>
      </c>
      <c r="ED16" s="45"/>
      <c r="EE16" s="50">
        <v>231.75284026</v>
      </c>
      <c r="EF16" s="50">
        <f t="shared" si="27"/>
        <v>2919.1913166100003</v>
      </c>
      <c r="EG16" s="50">
        <f t="shared" si="28"/>
        <v>0</v>
      </c>
      <c r="EH16" s="50">
        <f t="shared" si="29"/>
        <v>2919.1913166100003</v>
      </c>
      <c r="EI16" s="50">
        <f t="shared" ref="EI16:EI34" si="70">EK16-EJ16</f>
        <v>2919.1913162400001</v>
      </c>
      <c r="EJ16" s="50"/>
      <c r="EK16" s="50">
        <f>EK17+EK18+EK19</f>
        <v>2919.1913162400001</v>
      </c>
      <c r="EL16" s="50">
        <v>275.72890758000005</v>
      </c>
      <c r="EM16" s="50"/>
      <c r="EN16" s="50">
        <v>275.72890758000005</v>
      </c>
      <c r="EO16" s="50">
        <v>205.09058107000001</v>
      </c>
      <c r="EP16" s="50"/>
      <c r="EQ16" s="50">
        <v>205.09058107000001</v>
      </c>
      <c r="ER16" s="50">
        <v>221.73066345000001</v>
      </c>
      <c r="ES16" s="50"/>
      <c r="ET16" s="50">
        <v>221.73066345000001</v>
      </c>
      <c r="EU16" s="50">
        <v>252.24583373999997</v>
      </c>
      <c r="EV16" s="50"/>
      <c r="EW16" s="50">
        <v>252.24583373999997</v>
      </c>
      <c r="EX16" s="50">
        <v>253.03919775000003</v>
      </c>
      <c r="EY16" s="50"/>
      <c r="EZ16" s="50">
        <v>253.03919775000003</v>
      </c>
      <c r="FA16" s="50">
        <v>268.59610819</v>
      </c>
      <c r="FB16" s="50"/>
      <c r="FC16" s="50">
        <v>268.59610819</v>
      </c>
      <c r="FD16" s="50">
        <v>273.06469104999996</v>
      </c>
      <c r="FE16" s="50"/>
      <c r="FF16" s="50">
        <v>273.06469105000002</v>
      </c>
      <c r="FG16" s="50">
        <v>262.55225376999999</v>
      </c>
      <c r="FH16" s="50"/>
      <c r="FI16" s="50">
        <v>262.55225376999999</v>
      </c>
      <c r="FJ16" s="50">
        <v>278.09432813000001</v>
      </c>
      <c r="FK16" s="50"/>
      <c r="FL16" s="50">
        <v>278.09432813000001</v>
      </c>
      <c r="FM16" s="50">
        <v>283.89389231000001</v>
      </c>
      <c r="FN16" s="50"/>
      <c r="FO16" s="50">
        <v>283.89389231000001</v>
      </c>
      <c r="FP16" s="50">
        <v>264.00428575000001</v>
      </c>
      <c r="FQ16" s="50"/>
      <c r="FR16" s="50">
        <v>264.00428575000001</v>
      </c>
      <c r="FS16" s="50">
        <v>266.58967433999999</v>
      </c>
      <c r="FT16" s="50"/>
      <c r="FU16" s="50">
        <v>266.58967433999999</v>
      </c>
      <c r="FV16" s="50">
        <f t="shared" si="30"/>
        <v>3104.6304171299998</v>
      </c>
      <c r="FW16" s="50">
        <f t="shared" si="31"/>
        <v>0</v>
      </c>
      <c r="FX16" s="50">
        <f t="shared" si="32"/>
        <v>3104.6304171299998</v>
      </c>
      <c r="FY16" s="50">
        <f t="shared" ref="FY16:FY34" si="71">GA16-FZ16</f>
        <v>3104.6304179999997</v>
      </c>
      <c r="FZ16" s="50"/>
      <c r="GA16" s="50">
        <f>GA17+GA18+GA19</f>
        <v>3104.6304179999997</v>
      </c>
      <c r="GB16" s="50">
        <v>308.03002240999996</v>
      </c>
      <c r="GC16" s="50"/>
      <c r="GD16" s="50">
        <v>308.03002240999996</v>
      </c>
      <c r="GE16" s="50">
        <v>199.06006593000001</v>
      </c>
      <c r="GF16" s="50"/>
      <c r="GG16" s="50">
        <v>199.06006593000001</v>
      </c>
      <c r="GH16" s="50">
        <v>230.57905002999999</v>
      </c>
      <c r="GI16" s="50"/>
      <c r="GJ16" s="50">
        <v>230.57905002999999</v>
      </c>
      <c r="GK16" s="50">
        <v>279.94695899999999</v>
      </c>
      <c r="GL16" s="50"/>
      <c r="GM16" s="50">
        <v>279.94695899999999</v>
      </c>
      <c r="GN16" s="50">
        <v>262.30422239999996</v>
      </c>
      <c r="GO16" s="50"/>
      <c r="GP16" s="50">
        <v>262.30422239999996</v>
      </c>
      <c r="GQ16" s="50">
        <v>286.55221449000004</v>
      </c>
      <c r="GR16" s="50"/>
      <c r="GS16" s="50">
        <v>286.55221449000004</v>
      </c>
      <c r="GT16" s="50">
        <v>283.73599478</v>
      </c>
      <c r="GU16" s="50"/>
      <c r="GV16" s="50">
        <v>283.73599478</v>
      </c>
      <c r="GW16" s="50">
        <v>296.53855365999999</v>
      </c>
      <c r="GX16" s="50"/>
      <c r="GY16" s="50">
        <v>296.53855365999999</v>
      </c>
      <c r="GZ16" s="50">
        <v>304.39618365000001</v>
      </c>
      <c r="HA16" s="50"/>
      <c r="HB16" s="50">
        <v>304.39618365000001</v>
      </c>
      <c r="HC16" s="50">
        <v>300.42529521</v>
      </c>
      <c r="HD16" s="50"/>
      <c r="HE16" s="50">
        <v>300.42529521</v>
      </c>
      <c r="HF16" s="50">
        <v>280.12740073999998</v>
      </c>
      <c r="HG16" s="50"/>
      <c r="HH16" s="50">
        <v>280.12740073999998</v>
      </c>
      <c r="HI16" s="50">
        <v>301.60478202000007</v>
      </c>
      <c r="HJ16" s="50"/>
      <c r="HK16" s="50">
        <v>301.60478202000007</v>
      </c>
      <c r="HL16" s="50">
        <f t="shared" si="33"/>
        <v>3333.3007443200004</v>
      </c>
      <c r="HM16" s="50">
        <f t="shared" si="34"/>
        <v>0</v>
      </c>
      <c r="HN16" s="50">
        <f t="shared" si="35"/>
        <v>3333.3007443200004</v>
      </c>
      <c r="HO16" s="50">
        <f t="shared" si="3"/>
        <v>3333.2820460000003</v>
      </c>
      <c r="HP16" s="50"/>
      <c r="HQ16" s="50">
        <f>HQ17+HQ18+HQ19</f>
        <v>3333.2820460000003</v>
      </c>
      <c r="HR16" s="50">
        <v>313.54847843999983</v>
      </c>
      <c r="HS16" s="50">
        <v>0</v>
      </c>
      <c r="HT16" s="50">
        <v>313.54847843999994</v>
      </c>
      <c r="HU16" s="50">
        <v>238.27850840999992</v>
      </c>
      <c r="HV16" s="50">
        <v>0</v>
      </c>
      <c r="HW16" s="50">
        <v>238.27850841</v>
      </c>
      <c r="HX16" s="50">
        <v>254.75982581000011</v>
      </c>
      <c r="HY16" s="50">
        <v>0</v>
      </c>
      <c r="HZ16" s="50">
        <v>254.75982581</v>
      </c>
      <c r="IA16" s="50">
        <v>306.87713909000001</v>
      </c>
      <c r="IB16" s="50">
        <v>0</v>
      </c>
      <c r="IC16" s="50">
        <v>306.87713909000001</v>
      </c>
      <c r="ID16" s="50">
        <v>287.72619432000005</v>
      </c>
      <c r="IE16" s="50">
        <v>0</v>
      </c>
      <c r="IF16" s="50">
        <v>287.72619431999999</v>
      </c>
      <c r="IG16" s="50">
        <v>319.93557836000014</v>
      </c>
      <c r="IH16" s="50">
        <v>0</v>
      </c>
      <c r="II16" s="50">
        <v>319.93557836000002</v>
      </c>
      <c r="IJ16" s="50">
        <v>338.25255080999995</v>
      </c>
      <c r="IK16" s="50">
        <v>0</v>
      </c>
      <c r="IL16" s="50">
        <v>338.25255081</v>
      </c>
      <c r="IM16" s="50">
        <v>338.21676145000004</v>
      </c>
      <c r="IN16" s="50">
        <v>0</v>
      </c>
      <c r="IO16" s="50">
        <v>338.21676145000004</v>
      </c>
      <c r="IP16" s="50">
        <v>344.50808108000001</v>
      </c>
      <c r="IQ16" s="50">
        <v>0</v>
      </c>
      <c r="IR16" s="50">
        <v>344.50808108000001</v>
      </c>
      <c r="IS16" s="50">
        <v>315.72944667999991</v>
      </c>
      <c r="IT16" s="50">
        <v>0</v>
      </c>
      <c r="IU16" s="50">
        <v>315.72944667999997</v>
      </c>
      <c r="IV16" s="50">
        <v>321.43064076000002</v>
      </c>
      <c r="IW16" s="50">
        <v>0</v>
      </c>
      <c r="IX16" s="50">
        <v>321.43064076000007</v>
      </c>
      <c r="IY16" s="50">
        <v>339.48083243000008</v>
      </c>
      <c r="IZ16" s="50">
        <v>0</v>
      </c>
      <c r="JA16" s="50">
        <v>339.48083243000008</v>
      </c>
      <c r="JB16" s="50">
        <f t="shared" si="36"/>
        <v>3718.7440376400004</v>
      </c>
      <c r="JC16" s="50">
        <f t="shared" si="37"/>
        <v>0</v>
      </c>
      <c r="JD16" s="50">
        <f t="shared" si="38"/>
        <v>3718.7440376400004</v>
      </c>
      <c r="JE16" s="50">
        <f t="shared" si="4"/>
        <v>3718.7440379999998</v>
      </c>
      <c r="JF16" s="50"/>
      <c r="JG16" s="50">
        <f>JG17+JG18+JG19</f>
        <v>3718.7440379999998</v>
      </c>
      <c r="JH16" s="50">
        <v>330.50913784999995</v>
      </c>
      <c r="JI16" s="50">
        <v>0</v>
      </c>
      <c r="JJ16" s="50">
        <v>330.50913784999989</v>
      </c>
      <c r="JK16" s="50">
        <v>282.33658352999993</v>
      </c>
      <c r="JL16" s="50">
        <v>0</v>
      </c>
      <c r="JM16" s="50">
        <v>282.33658353000004</v>
      </c>
      <c r="JN16" s="50">
        <v>281.93751958999997</v>
      </c>
      <c r="JO16" s="50">
        <v>0</v>
      </c>
      <c r="JP16" s="50">
        <v>281.93751959000002</v>
      </c>
      <c r="JQ16" s="50">
        <v>332.56147730999993</v>
      </c>
      <c r="JR16" s="50">
        <v>0</v>
      </c>
      <c r="JS16" s="50">
        <v>332.56147731000004</v>
      </c>
      <c r="JT16" s="50">
        <v>308.92621958000007</v>
      </c>
      <c r="JU16" s="50">
        <v>0</v>
      </c>
      <c r="JV16" s="50">
        <v>308.92621958000007</v>
      </c>
      <c r="JW16" s="50">
        <v>340.09424819000014</v>
      </c>
      <c r="JX16" s="50">
        <v>0</v>
      </c>
      <c r="JY16" s="50">
        <v>340.09424819000003</v>
      </c>
      <c r="JZ16" s="50">
        <v>333.60135622999996</v>
      </c>
      <c r="KA16" s="50">
        <v>0</v>
      </c>
      <c r="KB16" s="50">
        <v>333.60135622999991</v>
      </c>
      <c r="KC16" s="50">
        <v>336.85531549000001</v>
      </c>
      <c r="KD16" s="50">
        <v>0</v>
      </c>
      <c r="KE16" s="50">
        <v>336.85531548999995</v>
      </c>
      <c r="KF16" s="50">
        <v>363.22431135000016</v>
      </c>
      <c r="KG16" s="50">
        <v>0</v>
      </c>
      <c r="KH16" s="50">
        <v>363.22431135000005</v>
      </c>
      <c r="KI16" s="50">
        <v>347.49738600000006</v>
      </c>
      <c r="KJ16" s="50">
        <v>0</v>
      </c>
      <c r="KK16" s="50">
        <v>347.49738600000001</v>
      </c>
      <c r="KL16" s="50">
        <v>323.06794273999998</v>
      </c>
      <c r="KM16" s="50">
        <v>0</v>
      </c>
      <c r="KN16" s="50">
        <v>323.06794274000003</v>
      </c>
      <c r="KO16" s="50">
        <v>357.77193879000004</v>
      </c>
      <c r="KP16" s="50">
        <v>0</v>
      </c>
      <c r="KQ16" s="50">
        <v>357.77193879000004</v>
      </c>
      <c r="KR16" s="50">
        <f t="shared" si="48"/>
        <v>3938.3834366500005</v>
      </c>
      <c r="KS16" s="50">
        <f t="shared" si="39"/>
        <v>0</v>
      </c>
      <c r="KT16" s="50">
        <f t="shared" si="49"/>
        <v>3938.3834366500005</v>
      </c>
      <c r="KU16" s="50">
        <f t="shared" si="5"/>
        <v>3938.3834359999996</v>
      </c>
      <c r="KV16" s="50"/>
      <c r="KW16" s="50">
        <f>KW17+KW18+KW19</f>
        <v>3938.3834359999996</v>
      </c>
      <c r="KX16" s="50">
        <v>338.19643449999995</v>
      </c>
      <c r="KY16" s="50">
        <v>0</v>
      </c>
      <c r="KZ16" s="50">
        <v>338.19643449999995</v>
      </c>
      <c r="LA16" s="50">
        <v>294.56403717999996</v>
      </c>
      <c r="LB16" s="50">
        <v>0</v>
      </c>
      <c r="LC16" s="50">
        <v>294.5640371799999</v>
      </c>
      <c r="LD16" s="50">
        <v>254.58353543000001</v>
      </c>
      <c r="LE16" s="50">
        <v>0</v>
      </c>
      <c r="LF16" s="50">
        <v>254.58353542999998</v>
      </c>
      <c r="LG16" s="50">
        <v>284.60980422999995</v>
      </c>
      <c r="LH16" s="50">
        <v>0</v>
      </c>
      <c r="LI16" s="174">
        <v>284.60980423000001</v>
      </c>
      <c r="LJ16" s="174">
        <v>254.35426491999999</v>
      </c>
      <c r="LK16" s="50">
        <v>0</v>
      </c>
      <c r="LL16" s="174">
        <v>254.35426492000002</v>
      </c>
      <c r="LM16" s="50">
        <v>306.98885779000022</v>
      </c>
      <c r="LN16" s="50">
        <v>0</v>
      </c>
      <c r="LO16" s="50">
        <v>306.98885779</v>
      </c>
      <c r="LP16" s="50">
        <v>341.49791217999996</v>
      </c>
      <c r="LQ16" s="50">
        <v>0</v>
      </c>
      <c r="LR16" s="44">
        <v>341.49791217999996</v>
      </c>
      <c r="LS16" s="50">
        <v>358.12447258000009</v>
      </c>
      <c r="LT16" s="50">
        <v>0</v>
      </c>
      <c r="LU16" s="52">
        <v>358.12447258000003</v>
      </c>
      <c r="LV16" s="44">
        <v>358.44936065000002</v>
      </c>
      <c r="LW16" s="44">
        <v>0</v>
      </c>
      <c r="LX16" s="44">
        <v>358.44936064999996</v>
      </c>
      <c r="LY16" s="44">
        <v>358.43981076</v>
      </c>
      <c r="LZ16" s="44">
        <v>0</v>
      </c>
      <c r="MA16" s="44">
        <v>358.43981076</v>
      </c>
      <c r="MB16" s="44">
        <v>350.22534357000001</v>
      </c>
      <c r="MC16" s="44">
        <v>0</v>
      </c>
      <c r="MD16" s="44">
        <v>350.22534357000001</v>
      </c>
      <c r="ME16" s="44">
        <v>334.15310033999998</v>
      </c>
      <c r="MF16" s="44">
        <v>0</v>
      </c>
      <c r="MG16" s="44">
        <v>334.15310033999998</v>
      </c>
      <c r="MH16" s="50">
        <f t="shared" si="66"/>
        <v>3834.1869341300003</v>
      </c>
      <c r="MI16" s="50">
        <f t="shared" si="50"/>
        <v>0</v>
      </c>
      <c r="MJ16" s="50">
        <f t="shared" si="51"/>
        <v>3834.1869341300003</v>
      </c>
      <c r="MK16" s="50">
        <f t="shared" si="7"/>
        <v>3834.1869340000003</v>
      </c>
      <c r="ML16" s="50"/>
      <c r="MM16" s="50">
        <f>MM17+MM18+MM19</f>
        <v>3834.1869340000003</v>
      </c>
      <c r="MN16" s="44">
        <v>331.65799475000023</v>
      </c>
      <c r="MO16" s="44">
        <v>0</v>
      </c>
      <c r="MP16" s="44">
        <v>331.65799475000011</v>
      </c>
      <c r="MQ16" s="44">
        <v>297.94540603999997</v>
      </c>
      <c r="MR16" s="44">
        <v>0</v>
      </c>
      <c r="MS16" s="44">
        <v>297.94540604000002</v>
      </c>
      <c r="MT16" s="44">
        <v>262.87844720999999</v>
      </c>
      <c r="MU16" s="44">
        <v>0</v>
      </c>
      <c r="MV16" s="44">
        <v>262.87844720999999</v>
      </c>
      <c r="MW16" s="44">
        <v>364.6354298</v>
      </c>
      <c r="MX16" s="44">
        <v>0</v>
      </c>
      <c r="MY16" s="44">
        <v>364.63542980000005</v>
      </c>
      <c r="MZ16" s="44">
        <v>332.26023284999997</v>
      </c>
      <c r="NA16" s="44">
        <v>0</v>
      </c>
      <c r="NB16" s="44">
        <v>332.26023284999997</v>
      </c>
      <c r="NC16" s="44">
        <v>363.24318590000013</v>
      </c>
      <c r="ND16" s="44">
        <v>0</v>
      </c>
      <c r="NE16" s="44">
        <v>363.24318589999996</v>
      </c>
      <c r="NF16" s="44">
        <v>408.07442636000007</v>
      </c>
      <c r="NG16" s="44">
        <v>0</v>
      </c>
      <c r="NH16" s="44">
        <v>408.07442636000002</v>
      </c>
      <c r="NI16" s="44">
        <v>390.36981166000021</v>
      </c>
      <c r="NJ16" s="44">
        <v>0</v>
      </c>
      <c r="NK16" s="44">
        <v>390.36981166000004</v>
      </c>
      <c r="NL16" s="44">
        <v>373.75182788999996</v>
      </c>
      <c r="NM16" s="44">
        <v>0</v>
      </c>
      <c r="NN16" s="44">
        <v>373.7518278899999</v>
      </c>
      <c r="NO16" s="44">
        <v>409.06557903000004</v>
      </c>
      <c r="NP16" s="44">
        <v>0</v>
      </c>
      <c r="NQ16" s="44">
        <v>409.06557903000009</v>
      </c>
      <c r="NR16" s="44">
        <v>348.60056982000009</v>
      </c>
      <c r="NS16" s="44">
        <v>0</v>
      </c>
      <c r="NT16" s="44">
        <v>348.60056981999998</v>
      </c>
      <c r="NU16" s="44">
        <v>239.35404670999992</v>
      </c>
      <c r="NV16" s="44">
        <v>0</v>
      </c>
      <c r="NW16" s="44">
        <v>239.35404671000001</v>
      </c>
      <c r="NX16" s="50">
        <f t="shared" si="67"/>
        <v>4121.8369580200015</v>
      </c>
      <c r="NY16" s="50">
        <f t="shared" si="40"/>
        <v>0</v>
      </c>
      <c r="NZ16" s="50">
        <f t="shared" si="41"/>
        <v>4121.8369580199997</v>
      </c>
      <c r="OA16" s="50">
        <f t="shared" si="8"/>
        <v>4121.8369569999995</v>
      </c>
      <c r="OB16" s="50"/>
      <c r="OC16" s="50">
        <f>OC17+OC18+OC19</f>
        <v>4121.8369569999995</v>
      </c>
      <c r="OD16" s="44">
        <v>436.89547409999994</v>
      </c>
      <c r="OE16" s="44"/>
      <c r="OF16" s="44">
        <v>436.89547409999994</v>
      </c>
      <c r="OG16" s="50">
        <v>343.28456676000008</v>
      </c>
      <c r="OH16" s="44"/>
      <c r="OI16" s="44">
        <v>343.28456676000008</v>
      </c>
      <c r="OJ16" s="44">
        <v>318.62553228000002</v>
      </c>
      <c r="OK16" s="44"/>
      <c r="OL16" s="44">
        <v>318.62553228000002</v>
      </c>
      <c r="OM16" s="44">
        <v>444.64213990000002</v>
      </c>
      <c r="ON16" s="44"/>
      <c r="OO16" s="44">
        <v>444.64213990000002</v>
      </c>
      <c r="OP16" s="44">
        <v>353.84274018999997</v>
      </c>
      <c r="OQ16" s="44"/>
      <c r="OR16" s="44">
        <v>353.84274018999997</v>
      </c>
      <c r="OS16" s="44">
        <v>429.91112923000009</v>
      </c>
      <c r="OT16" s="44"/>
      <c r="OU16" s="44">
        <v>429.91112923000009</v>
      </c>
      <c r="OV16" s="44">
        <v>450.84646225</v>
      </c>
      <c r="OW16" s="44"/>
      <c r="OX16" s="44">
        <v>450.84646225</v>
      </c>
      <c r="OY16" s="95">
        <v>421.06747898000003</v>
      </c>
      <c r="OZ16" s="44"/>
      <c r="PA16" s="95">
        <v>421.06747898000003</v>
      </c>
      <c r="PB16" s="44">
        <v>404.00319265999997</v>
      </c>
      <c r="PC16" s="44"/>
      <c r="PD16" s="44">
        <v>404.00319265999997</v>
      </c>
      <c r="PE16" s="44">
        <v>458.55119419000005</v>
      </c>
      <c r="PF16" s="44"/>
      <c r="PG16" s="44">
        <v>458.55119419000005</v>
      </c>
      <c r="PH16" s="44">
        <v>477.92892660000001</v>
      </c>
      <c r="PI16" s="44"/>
      <c r="PJ16" s="44">
        <v>477.92892660000001</v>
      </c>
      <c r="PK16" s="44">
        <v>449.69893338999998</v>
      </c>
      <c r="PL16" s="44"/>
      <c r="PM16" s="44">
        <v>449.69893338999998</v>
      </c>
      <c r="PN16" s="50">
        <f t="shared" si="68"/>
        <v>4989.29777053</v>
      </c>
      <c r="PO16" s="50">
        <f t="shared" si="42"/>
        <v>0</v>
      </c>
      <c r="PP16" s="50">
        <f t="shared" si="43"/>
        <v>4989.29777053</v>
      </c>
      <c r="PQ16" s="50">
        <f t="shared" si="9"/>
        <v>4989.2977689999998</v>
      </c>
      <c r="PR16" s="50"/>
      <c r="PS16" s="50">
        <f>PS17+PS18+PS19</f>
        <v>4989.2977689999998</v>
      </c>
      <c r="PT16" s="44">
        <v>526.0802788499999</v>
      </c>
      <c r="PU16" s="44"/>
      <c r="PV16" s="44">
        <v>526.0802788499999</v>
      </c>
      <c r="PW16" s="44">
        <v>404.6139822099999</v>
      </c>
      <c r="PX16" s="44"/>
      <c r="PY16" s="44">
        <v>404.6139822099999</v>
      </c>
      <c r="PZ16" s="44">
        <v>441.05854564999999</v>
      </c>
      <c r="QA16" s="44"/>
      <c r="QB16" s="44">
        <v>441.05854564999999</v>
      </c>
      <c r="QC16" s="44">
        <v>463.77579973999997</v>
      </c>
      <c r="QD16" s="44"/>
      <c r="QE16" s="44">
        <v>463.77579973999997</v>
      </c>
      <c r="QF16" s="44">
        <v>401.75729967000001</v>
      </c>
      <c r="QG16" s="44"/>
      <c r="QH16" s="44">
        <v>401.75729967000001</v>
      </c>
      <c r="QI16" s="44">
        <v>430.67532429000005</v>
      </c>
      <c r="QJ16" s="44"/>
      <c r="QK16" s="44">
        <v>430.67532429000005</v>
      </c>
      <c r="QL16" s="44">
        <v>457.96821406999993</v>
      </c>
      <c r="QM16" s="44"/>
      <c r="QN16" s="44">
        <v>457.96821406999993</v>
      </c>
      <c r="QO16" s="44">
        <v>432.12222761000004</v>
      </c>
      <c r="QP16" s="44"/>
      <c r="QQ16" s="44">
        <v>432.12222761000004</v>
      </c>
      <c r="QR16" s="44">
        <v>454.60263272999993</v>
      </c>
      <c r="QS16" s="44"/>
      <c r="QT16" s="44">
        <v>454.60263272999993</v>
      </c>
      <c r="QU16" s="50">
        <v>467.09780219999999</v>
      </c>
      <c r="QV16" s="44"/>
      <c r="QW16" s="44">
        <v>467.09780219999999</v>
      </c>
      <c r="QX16" s="50">
        <v>402.58569424999996</v>
      </c>
      <c r="QY16" s="44"/>
      <c r="QZ16" s="44">
        <v>402.58569424999996</v>
      </c>
      <c r="RA16" s="50">
        <v>437.88978357000008</v>
      </c>
      <c r="RB16" s="44"/>
      <c r="RC16" s="44">
        <v>437.88978357000008</v>
      </c>
      <c r="RD16" s="50">
        <f t="shared" si="52"/>
        <v>5320.2275848399995</v>
      </c>
      <c r="RE16" s="50">
        <f t="shared" si="53"/>
        <v>0</v>
      </c>
      <c r="RF16" s="50">
        <f t="shared" si="54"/>
        <v>5320.2275848399995</v>
      </c>
      <c r="RG16" s="50">
        <f t="shared" si="11"/>
        <v>5320.227586</v>
      </c>
      <c r="RH16" s="50"/>
      <c r="RI16" s="50">
        <f>RI17+RI18+RI19</f>
        <v>5320.227586</v>
      </c>
      <c r="RJ16" s="50">
        <v>481.93385056</v>
      </c>
      <c r="RK16" s="50"/>
      <c r="RL16" s="50">
        <v>481.93385056</v>
      </c>
      <c r="RM16" s="50">
        <v>374.18459430000001</v>
      </c>
      <c r="RN16" s="50"/>
      <c r="RO16" s="50">
        <v>374.18459430000001</v>
      </c>
      <c r="RP16" s="50">
        <v>401.02036353</v>
      </c>
      <c r="RQ16" s="50"/>
      <c r="RR16" s="50">
        <v>401.02036353</v>
      </c>
      <c r="RS16" s="50">
        <v>392.32557656000006</v>
      </c>
      <c r="RT16" s="50"/>
      <c r="RU16" s="50">
        <v>392.32557656000006</v>
      </c>
      <c r="RV16" s="50">
        <v>428.23288407999996</v>
      </c>
      <c r="RW16" s="50"/>
      <c r="RX16" s="50">
        <v>428.23288407999996</v>
      </c>
      <c r="RY16" s="50">
        <v>512.73672293999994</v>
      </c>
      <c r="RZ16" s="50"/>
      <c r="SA16" s="50">
        <v>512.73672293999994</v>
      </c>
      <c r="SB16" s="50">
        <v>430.25507226999997</v>
      </c>
      <c r="SC16" s="50"/>
      <c r="SD16" s="50">
        <v>430.25507226999997</v>
      </c>
      <c r="SE16" s="50">
        <v>461.50572820999997</v>
      </c>
      <c r="SF16" s="50"/>
      <c r="SG16" s="50">
        <v>461.50572820999997</v>
      </c>
      <c r="SH16" s="50">
        <v>475.68259329</v>
      </c>
      <c r="SI16" s="50"/>
      <c r="SJ16" s="50">
        <v>475.68259329</v>
      </c>
      <c r="SK16" s="50">
        <v>467.86032359000006</v>
      </c>
      <c r="SL16" s="50"/>
      <c r="SM16" s="50">
        <v>467.86032359000006</v>
      </c>
      <c r="SN16" s="50">
        <v>452.39405193000005</v>
      </c>
      <c r="SO16" s="50"/>
      <c r="SP16" s="50">
        <v>452.39405193000005</v>
      </c>
      <c r="SQ16" s="50">
        <v>495.06971055999992</v>
      </c>
      <c r="SR16" s="50"/>
      <c r="SS16" s="50">
        <v>495.06971055999992</v>
      </c>
      <c r="ST16" s="50">
        <f t="shared" si="55"/>
        <v>5373.2014718200007</v>
      </c>
      <c r="SU16" s="50">
        <f t="shared" si="65"/>
        <v>0</v>
      </c>
      <c r="SV16" s="50">
        <f t="shared" si="56"/>
        <v>5373.2014718200007</v>
      </c>
      <c r="SW16" s="50">
        <f t="shared" si="44"/>
        <v>5373.2014740000004</v>
      </c>
      <c r="SX16" s="50"/>
      <c r="SY16" s="50">
        <f>SY17+SY18+SY19</f>
        <v>5373.2014740000004</v>
      </c>
      <c r="SZ16" s="50">
        <v>471.47759225999994</v>
      </c>
      <c r="TA16" s="50"/>
      <c r="TB16" s="50">
        <v>471.47759225999994</v>
      </c>
      <c r="TC16" s="50">
        <v>412.29085031999989</v>
      </c>
      <c r="TD16" s="50"/>
      <c r="TE16" s="50">
        <v>412.29085031999989</v>
      </c>
      <c r="TF16" s="50">
        <v>401.74165784999997</v>
      </c>
      <c r="TG16" s="50"/>
      <c r="TH16" s="50">
        <v>401.74165784999997</v>
      </c>
      <c r="TI16" s="50">
        <v>463.95485793</v>
      </c>
      <c r="TJ16" s="50"/>
      <c r="TK16" s="50">
        <v>463.95485793</v>
      </c>
      <c r="TL16" s="50">
        <v>472.84803924999994</v>
      </c>
      <c r="TM16" s="50"/>
      <c r="TN16" s="50">
        <v>472.84803924999994</v>
      </c>
      <c r="TO16" s="50">
        <v>473.86270486000001</v>
      </c>
      <c r="TP16" s="50"/>
      <c r="TQ16" s="50">
        <v>473.86270486000001</v>
      </c>
      <c r="TR16" s="50">
        <v>467.55921628000004</v>
      </c>
      <c r="TS16" s="50"/>
      <c r="TT16" s="50">
        <v>467.55921628000004</v>
      </c>
      <c r="TU16" s="50">
        <v>493.60906688</v>
      </c>
      <c r="TV16" s="50"/>
      <c r="TW16" s="50">
        <v>493.60906688</v>
      </c>
      <c r="TX16" s="50">
        <v>483.79831576000004</v>
      </c>
      <c r="TY16" s="50"/>
      <c r="TZ16" s="50">
        <v>483.79831576000004</v>
      </c>
      <c r="UA16" s="50">
        <v>509.66623312999991</v>
      </c>
      <c r="UB16" s="50"/>
      <c r="UC16" s="50">
        <v>509.66623312999991</v>
      </c>
      <c r="UD16" s="50">
        <v>488.84121003000001</v>
      </c>
      <c r="UE16" s="50"/>
      <c r="UF16" s="50">
        <v>488.84121003000001</v>
      </c>
      <c r="UG16" s="50">
        <v>524.40882712000007</v>
      </c>
      <c r="UH16" s="50"/>
      <c r="UI16" s="50">
        <v>524.40882712000007</v>
      </c>
      <c r="UJ16" s="50">
        <f t="shared" si="45"/>
        <v>5664.0585716699998</v>
      </c>
      <c r="UK16" s="50">
        <f t="shared" si="15"/>
        <v>0</v>
      </c>
      <c r="UL16" s="50">
        <f t="shared" si="16"/>
        <v>5664.0585716699998</v>
      </c>
      <c r="UM16" s="50">
        <v>518.08484423999994</v>
      </c>
      <c r="UN16" s="50"/>
      <c r="UO16" s="50">
        <v>518.08484423999994</v>
      </c>
      <c r="UP16" s="50">
        <v>447.52058060000002</v>
      </c>
      <c r="UQ16" s="50"/>
      <c r="UR16" s="50">
        <v>447.52058060000002</v>
      </c>
      <c r="US16" s="50">
        <v>414.3795437</v>
      </c>
      <c r="UT16" s="50"/>
      <c r="UU16" s="50">
        <v>414.3795437</v>
      </c>
      <c r="UV16" s="50">
        <v>540.22172358</v>
      </c>
      <c r="UW16" s="50"/>
      <c r="UX16" s="50">
        <v>540.22172358</v>
      </c>
      <c r="UY16" s="50"/>
      <c r="UZ16" s="50"/>
      <c r="VA16" s="50"/>
      <c r="VB16" s="50"/>
      <c r="VC16" s="50"/>
      <c r="VD16" s="50"/>
      <c r="VE16" s="50"/>
      <c r="VF16" s="50"/>
      <c r="VG16" s="50"/>
      <c r="VH16" s="50"/>
      <c r="VI16" s="50"/>
      <c r="VJ16" s="50"/>
      <c r="VK16" s="50"/>
      <c r="VL16" s="50"/>
      <c r="VM16" s="50"/>
      <c r="VN16" s="50"/>
      <c r="VO16" s="50"/>
      <c r="VP16" s="50"/>
      <c r="VQ16" s="50"/>
      <c r="VR16" s="50"/>
      <c r="VS16" s="50"/>
      <c r="VT16" s="50"/>
      <c r="VU16" s="50"/>
      <c r="VV16" s="50"/>
      <c r="VW16" s="276">
        <f t="shared" si="57"/>
        <v>1749.464958</v>
      </c>
      <c r="VX16" s="292">
        <f t="shared" si="58"/>
        <v>0</v>
      </c>
      <c r="VY16" s="292">
        <f t="shared" si="59"/>
        <v>1749.464958</v>
      </c>
      <c r="VZ16" s="276">
        <f t="shared" si="60"/>
        <v>1920.206692</v>
      </c>
      <c r="WA16" s="292">
        <f t="shared" si="61"/>
        <v>0</v>
      </c>
      <c r="WB16" s="292">
        <f t="shared" si="62"/>
        <v>1920.206692</v>
      </c>
      <c r="WC16" s="277">
        <f t="shared" si="63"/>
        <v>170.74173399999995</v>
      </c>
      <c r="WD16" s="277">
        <f t="shared" si="64"/>
        <v>9.7596544142954968</v>
      </c>
    </row>
    <row r="17" spans="1:602" s="12" customFormat="1" ht="20.5">
      <c r="A17" s="47" t="s">
        <v>54</v>
      </c>
      <c r="B17" s="12" t="s">
        <v>55</v>
      </c>
      <c r="C17" s="47" t="s">
        <v>56</v>
      </c>
      <c r="D17" s="45">
        <v>1711.618476844184</v>
      </c>
      <c r="E17" s="42">
        <v>1589.5619077296087</v>
      </c>
      <c r="F17" s="42">
        <v>1136.0742426053353</v>
      </c>
      <c r="G17" s="42">
        <v>1174.2210374442946</v>
      </c>
      <c r="H17" s="42">
        <v>142.42891617008439</v>
      </c>
      <c r="I17" s="42">
        <v>52.269356748111846</v>
      </c>
      <c r="J17" s="42">
        <v>89.056008503081941</v>
      </c>
      <c r="K17" s="42">
        <v>120.88149185263602</v>
      </c>
      <c r="L17" s="42">
        <v>102.70866130528567</v>
      </c>
      <c r="M17" s="42">
        <v>123.50039555836335</v>
      </c>
      <c r="N17" s="42">
        <v>125.29966534055013</v>
      </c>
      <c r="O17" s="42">
        <v>124.90918520668636</v>
      </c>
      <c r="P17" s="42">
        <v>134.23805214540613</v>
      </c>
      <c r="Q17" s="42">
        <v>133.82016892334136</v>
      </c>
      <c r="R17" s="42">
        <v>127.64414829739158</v>
      </c>
      <c r="S17" s="42">
        <v>87.28521038582592</v>
      </c>
      <c r="T17" s="42">
        <v>1364.0412604367648</v>
      </c>
      <c r="U17" s="42">
        <v>0</v>
      </c>
      <c r="V17" s="42">
        <v>1364.0412604367648</v>
      </c>
      <c r="W17" s="42">
        <v>1364.0412604367648</v>
      </c>
      <c r="X17" s="42">
        <v>163.89514573053086</v>
      </c>
      <c r="Y17" s="42">
        <v>92.755980330220083</v>
      </c>
      <c r="Z17" s="42">
        <v>113.82030409616337</v>
      </c>
      <c r="AA17" s="42">
        <v>135.97703342610458</v>
      </c>
      <c r="AB17" s="42">
        <v>123.84096561772557</v>
      </c>
      <c r="AC17" s="42">
        <v>132.81516752892699</v>
      </c>
      <c r="AD17" s="42">
        <v>146.12317089828744</v>
      </c>
      <c r="AE17" s="42">
        <v>135.38206242423206</v>
      </c>
      <c r="AF17" s="42">
        <v>141.44228974223253</v>
      </c>
      <c r="AG17" s="42">
        <v>132.58674822567886</v>
      </c>
      <c r="AH17" s="42">
        <v>129.05187221472843</v>
      </c>
      <c r="AI17" s="42">
        <v>141.08610793336405</v>
      </c>
      <c r="AJ17" s="42">
        <f t="shared" si="46"/>
        <v>1588.7768481681946</v>
      </c>
      <c r="AK17" s="42">
        <v>0</v>
      </c>
      <c r="AL17" s="42">
        <v>1588.7768481681946</v>
      </c>
      <c r="AM17" s="42">
        <v>1588.7768481681949</v>
      </c>
      <c r="AN17" s="42">
        <v>156.33879431534254</v>
      </c>
      <c r="AO17" s="42">
        <v>96.606676968258583</v>
      </c>
      <c r="AP17" s="42">
        <v>121.0156700872505</v>
      </c>
      <c r="AQ17" s="42">
        <v>152.77638715772818</v>
      </c>
      <c r="AR17" s="42">
        <v>125.10937331033973</v>
      </c>
      <c r="AS17" s="42">
        <v>148.60405603838339</v>
      </c>
      <c r="AT17" s="42">
        <v>153.83293208348275</v>
      </c>
      <c r="AU17" s="42">
        <v>157.18937285502076</v>
      </c>
      <c r="AV17" s="42">
        <v>148.91696404687508</v>
      </c>
      <c r="AW17" s="42">
        <v>137.88467481687641</v>
      </c>
      <c r="AX17" s="42">
        <v>137.9986753063443</v>
      </c>
      <c r="AY17" s="42">
        <v>130.53096453634299</v>
      </c>
      <c r="AZ17" s="42">
        <v>1666.804541522245</v>
      </c>
      <c r="BA17" s="42"/>
      <c r="BB17" s="42">
        <v>1666.804541522245</v>
      </c>
      <c r="BC17" s="45">
        <f t="shared" si="21"/>
        <v>1666.8045415222452</v>
      </c>
      <c r="BD17" s="45"/>
      <c r="BE17" s="45">
        <v>1666.8045415222452</v>
      </c>
      <c r="BF17" s="44">
        <v>193.157231</v>
      </c>
      <c r="BG17" s="118"/>
      <c r="BH17" s="50">
        <f>BF17+BG17</f>
        <v>193.157231</v>
      </c>
      <c r="BI17" s="45">
        <v>109.30025500000001</v>
      </c>
      <c r="BJ17" s="120"/>
      <c r="BK17" s="50">
        <f>BI17+BJ17</f>
        <v>109.30025500000001</v>
      </c>
      <c r="BL17" s="50">
        <v>119.640603</v>
      </c>
      <c r="BM17" s="50"/>
      <c r="BN17" s="50">
        <f>BL17+BM17</f>
        <v>119.640603</v>
      </c>
      <c r="BO17" s="50">
        <v>151.299755</v>
      </c>
      <c r="BP17" s="50"/>
      <c r="BQ17" s="50">
        <f>BO17+BP17</f>
        <v>151.299755</v>
      </c>
      <c r="BR17" s="50">
        <v>131.94423900000001</v>
      </c>
      <c r="BS17" s="50"/>
      <c r="BT17" s="50">
        <f>BR17+BS17</f>
        <v>131.94423900000001</v>
      </c>
      <c r="BU17" s="50">
        <v>172.240635</v>
      </c>
      <c r="BV17" s="50"/>
      <c r="BW17" s="50">
        <f>BU17+BV17</f>
        <v>172.240635</v>
      </c>
      <c r="BX17" s="50">
        <v>153.109219</v>
      </c>
      <c r="BY17" s="50"/>
      <c r="BZ17" s="50">
        <f>BX17+BY17</f>
        <v>153.109219</v>
      </c>
      <c r="CA17" s="50">
        <v>169.16682900000001</v>
      </c>
      <c r="CB17" s="50"/>
      <c r="CC17" s="50">
        <f>CA17+CB17</f>
        <v>169.16682900000001</v>
      </c>
      <c r="CD17" s="50">
        <v>167.45422997999998</v>
      </c>
      <c r="CE17" s="50"/>
      <c r="CF17" s="50">
        <f>CD17+CE17</f>
        <v>167.45422997999998</v>
      </c>
      <c r="CG17" s="50">
        <v>136.02338406000001</v>
      </c>
      <c r="CH17" s="50"/>
      <c r="CI17" s="50">
        <f>CG17+CH17</f>
        <v>136.02338406000001</v>
      </c>
      <c r="CJ17" s="45">
        <v>159.25278201000003</v>
      </c>
      <c r="CK17" s="45"/>
      <c r="CL17" s="50">
        <f>CJ17+CK17</f>
        <v>159.25278201000003</v>
      </c>
      <c r="CM17" s="42">
        <v>141.12171398000001</v>
      </c>
      <c r="CN17" s="45"/>
      <c r="CO17" s="50">
        <f>CM17+CN17</f>
        <v>141.12171398000001</v>
      </c>
      <c r="CP17" s="50">
        <f t="shared" si="24"/>
        <v>1803.7108760300002</v>
      </c>
      <c r="CQ17" s="50">
        <f t="shared" si="25"/>
        <v>0</v>
      </c>
      <c r="CR17" s="50">
        <f t="shared" si="26"/>
        <v>1803.7108760300002</v>
      </c>
      <c r="CS17" s="45">
        <f t="shared" si="2"/>
        <v>1803.7108760000001</v>
      </c>
      <c r="CT17" s="45"/>
      <c r="CU17" s="44">
        <v>1803.7108760000001</v>
      </c>
      <c r="CV17" s="42">
        <v>195.85518510999998</v>
      </c>
      <c r="CW17" s="45"/>
      <c r="CX17" s="50">
        <f>CV17+CW17</f>
        <v>195.85518510999998</v>
      </c>
      <c r="CY17" s="42">
        <v>111.55879289000001</v>
      </c>
      <c r="CZ17" s="45"/>
      <c r="DA17" s="50">
        <v>111.55879289000001</v>
      </c>
      <c r="DB17" s="42">
        <v>126.83421593999999</v>
      </c>
      <c r="DC17" s="45"/>
      <c r="DD17" s="50">
        <v>126.83421593999999</v>
      </c>
      <c r="DE17" s="42">
        <v>164.12995512000001</v>
      </c>
      <c r="DF17" s="45"/>
      <c r="DG17" s="50">
        <v>164.12995512000001</v>
      </c>
      <c r="DH17" s="42">
        <v>147.94360851000002</v>
      </c>
      <c r="DI17" s="45"/>
      <c r="DJ17" s="50">
        <v>147.94360851000002</v>
      </c>
      <c r="DK17" s="42">
        <v>167.16480282000001</v>
      </c>
      <c r="DL17" s="45"/>
      <c r="DM17" s="50">
        <v>167.16480282000001</v>
      </c>
      <c r="DN17" s="42">
        <v>156.23052010000001</v>
      </c>
      <c r="DO17" s="45"/>
      <c r="DP17" s="50">
        <v>156.23052010000001</v>
      </c>
      <c r="DQ17" s="42">
        <v>174.42611324000001</v>
      </c>
      <c r="DR17" s="45"/>
      <c r="DS17" s="50">
        <v>174.42611324000001</v>
      </c>
      <c r="DT17" s="42">
        <v>160.71261931000001</v>
      </c>
      <c r="DU17" s="45"/>
      <c r="DV17" s="50">
        <v>160.71261931000001</v>
      </c>
      <c r="DW17" s="42">
        <v>174.71547671000002</v>
      </c>
      <c r="DX17" s="45"/>
      <c r="DY17" s="50">
        <v>174.71547671000002</v>
      </c>
      <c r="DZ17" s="42">
        <v>177.20929921999999</v>
      </c>
      <c r="EA17" s="45"/>
      <c r="EB17" s="50">
        <v>177.20929921999999</v>
      </c>
      <c r="EC17" s="42">
        <v>146.79276353</v>
      </c>
      <c r="ED17" s="45"/>
      <c r="EE17" s="50">
        <v>146.79276353</v>
      </c>
      <c r="EF17" s="50">
        <f t="shared" si="27"/>
        <v>1903.5733525000001</v>
      </c>
      <c r="EG17" s="50">
        <f t="shared" si="28"/>
        <v>0</v>
      </c>
      <c r="EH17" s="50">
        <f t="shared" si="29"/>
        <v>1903.5733525000001</v>
      </c>
      <c r="EI17" s="50">
        <f t="shared" si="70"/>
        <v>1903.5733520000001</v>
      </c>
      <c r="EJ17" s="50"/>
      <c r="EK17" s="50">
        <v>1903.5733520000001</v>
      </c>
      <c r="EL17" s="50">
        <v>183.31981141000003</v>
      </c>
      <c r="EM17" s="50"/>
      <c r="EN17" s="50">
        <v>183.31981141000003</v>
      </c>
      <c r="EO17" s="50">
        <v>127.01537313999999</v>
      </c>
      <c r="EP17" s="50"/>
      <c r="EQ17" s="50">
        <v>127.01537313999999</v>
      </c>
      <c r="ER17" s="50">
        <v>143.28984392000001</v>
      </c>
      <c r="ES17" s="50"/>
      <c r="ET17" s="50">
        <v>143.28984392000001</v>
      </c>
      <c r="EU17" s="50">
        <v>163.24171190999999</v>
      </c>
      <c r="EV17" s="50"/>
      <c r="EW17" s="50">
        <v>163.24171190999999</v>
      </c>
      <c r="EX17" s="50">
        <v>164.45248280000001</v>
      </c>
      <c r="EY17" s="50"/>
      <c r="EZ17" s="50">
        <v>164.45248280000001</v>
      </c>
      <c r="FA17" s="50">
        <v>174.86393899999999</v>
      </c>
      <c r="FB17" s="50"/>
      <c r="FC17" s="50">
        <v>174.86393899999999</v>
      </c>
      <c r="FD17" s="50">
        <v>177.90379772</v>
      </c>
      <c r="FE17" s="50"/>
      <c r="FF17" s="50">
        <v>177.90379772</v>
      </c>
      <c r="FG17" s="50">
        <v>170.19623402000002</v>
      </c>
      <c r="FH17" s="50"/>
      <c r="FI17" s="50">
        <v>170.19623402000002</v>
      </c>
      <c r="FJ17" s="50">
        <v>180.17024107000003</v>
      </c>
      <c r="FK17" s="50"/>
      <c r="FL17" s="50">
        <v>180.17024107000003</v>
      </c>
      <c r="FM17" s="50">
        <v>183.46651279999998</v>
      </c>
      <c r="FN17" s="50"/>
      <c r="FO17" s="50">
        <v>183.46651279999998</v>
      </c>
      <c r="FP17" s="50">
        <v>174.33822691000003</v>
      </c>
      <c r="FQ17" s="50"/>
      <c r="FR17" s="50">
        <v>174.33822691000003</v>
      </c>
      <c r="FS17" s="50">
        <v>176.63724355000002</v>
      </c>
      <c r="FT17" s="50"/>
      <c r="FU17" s="50">
        <v>176.63724355000002</v>
      </c>
      <c r="FV17" s="50">
        <f t="shared" si="30"/>
        <v>2018.8954182499999</v>
      </c>
      <c r="FW17" s="50">
        <f t="shared" si="31"/>
        <v>0</v>
      </c>
      <c r="FX17" s="50">
        <f t="shared" si="32"/>
        <v>2018.8954182499999</v>
      </c>
      <c r="FY17" s="50">
        <f t="shared" si="71"/>
        <v>2018.8954180000001</v>
      </c>
      <c r="FZ17" s="50"/>
      <c r="GA17" s="50">
        <v>2018.8954180000001</v>
      </c>
      <c r="GB17" s="50">
        <v>210.52298981999999</v>
      </c>
      <c r="GC17" s="50"/>
      <c r="GD17" s="50">
        <v>210.52298981999999</v>
      </c>
      <c r="GE17" s="50">
        <v>118.99255610000002</v>
      </c>
      <c r="GF17" s="50"/>
      <c r="GG17" s="50">
        <v>118.99255610000002</v>
      </c>
      <c r="GH17" s="50">
        <v>148.10282532999997</v>
      </c>
      <c r="GI17" s="50"/>
      <c r="GJ17" s="50">
        <v>148.10282532999997</v>
      </c>
      <c r="GK17" s="50">
        <v>186.97635074000002</v>
      </c>
      <c r="GL17" s="50"/>
      <c r="GM17" s="50">
        <v>186.97635074000002</v>
      </c>
      <c r="GN17" s="50">
        <v>170.97870240999998</v>
      </c>
      <c r="GO17" s="50"/>
      <c r="GP17" s="50">
        <v>170.97870240999998</v>
      </c>
      <c r="GQ17" s="50">
        <v>185.83319803000001</v>
      </c>
      <c r="GR17" s="50"/>
      <c r="GS17" s="50">
        <v>185.83319803000001</v>
      </c>
      <c r="GT17" s="50">
        <v>180.66670752000002</v>
      </c>
      <c r="GU17" s="50"/>
      <c r="GV17" s="50">
        <v>180.66670752000002</v>
      </c>
      <c r="GW17" s="50">
        <v>196.71585393999999</v>
      </c>
      <c r="GX17" s="50"/>
      <c r="GY17" s="50">
        <v>196.71585393999999</v>
      </c>
      <c r="GZ17" s="50">
        <v>199.33320000999998</v>
      </c>
      <c r="HA17" s="50"/>
      <c r="HB17" s="50">
        <v>199.33320000999998</v>
      </c>
      <c r="HC17" s="50">
        <v>201.21672025000001</v>
      </c>
      <c r="HD17" s="50"/>
      <c r="HE17" s="50">
        <v>201.21672025000001</v>
      </c>
      <c r="HF17" s="50">
        <v>185.54479760999999</v>
      </c>
      <c r="HG17" s="50"/>
      <c r="HH17" s="50">
        <v>185.54479760999999</v>
      </c>
      <c r="HI17" s="50">
        <v>202.86799911000003</v>
      </c>
      <c r="HJ17" s="50"/>
      <c r="HK17" s="50">
        <v>202.86799911000003</v>
      </c>
      <c r="HL17" s="50">
        <f t="shared" si="33"/>
        <v>2187.7519008700001</v>
      </c>
      <c r="HM17" s="50">
        <f t="shared" si="34"/>
        <v>0</v>
      </c>
      <c r="HN17" s="50">
        <f t="shared" si="35"/>
        <v>2187.7519008700001</v>
      </c>
      <c r="HO17" s="50">
        <f t="shared" si="3"/>
        <v>2187.7519010000001</v>
      </c>
      <c r="HP17" s="50"/>
      <c r="HQ17" s="50">
        <v>2187.7519010000001</v>
      </c>
      <c r="HR17" s="50">
        <v>204.37609752</v>
      </c>
      <c r="HS17" s="50">
        <v>0</v>
      </c>
      <c r="HT17" s="50">
        <v>204.37609752</v>
      </c>
      <c r="HU17" s="50">
        <v>149.91155864999999</v>
      </c>
      <c r="HV17" s="50">
        <v>0</v>
      </c>
      <c r="HW17" s="50">
        <v>149.91155864999999</v>
      </c>
      <c r="HX17" s="50">
        <v>164.13907448</v>
      </c>
      <c r="HY17" s="50">
        <v>0</v>
      </c>
      <c r="HZ17" s="50">
        <v>164.13907448</v>
      </c>
      <c r="IA17" s="50">
        <v>201.08871765000001</v>
      </c>
      <c r="IB17" s="50">
        <v>0</v>
      </c>
      <c r="IC17" s="50">
        <v>201.08871765000001</v>
      </c>
      <c r="ID17" s="50">
        <v>190.62738694999999</v>
      </c>
      <c r="IE17" s="50">
        <v>0</v>
      </c>
      <c r="IF17" s="50">
        <v>190.62738694999999</v>
      </c>
      <c r="IG17" s="50">
        <v>207.19511937000001</v>
      </c>
      <c r="IH17" s="50">
        <v>0</v>
      </c>
      <c r="II17" s="50">
        <v>207.19511937000001</v>
      </c>
      <c r="IJ17" s="50">
        <v>220.72023086999999</v>
      </c>
      <c r="IK17" s="50">
        <v>0</v>
      </c>
      <c r="IL17" s="50">
        <v>220.72023086999999</v>
      </c>
      <c r="IM17" s="50">
        <v>224.21628387000001</v>
      </c>
      <c r="IN17" s="50">
        <v>0</v>
      </c>
      <c r="IO17" s="50">
        <v>224.21628387000001</v>
      </c>
      <c r="IP17" s="50">
        <v>230.49635628000001</v>
      </c>
      <c r="IQ17" s="50">
        <v>0</v>
      </c>
      <c r="IR17" s="50">
        <v>230.49635628000001</v>
      </c>
      <c r="IS17" s="50">
        <v>207.09512849000001</v>
      </c>
      <c r="IT17" s="50">
        <v>0</v>
      </c>
      <c r="IU17" s="50">
        <v>207.09512849000001</v>
      </c>
      <c r="IV17" s="50">
        <v>215.80597918000001</v>
      </c>
      <c r="IW17" s="50">
        <v>0</v>
      </c>
      <c r="IX17" s="50">
        <v>215.80597918000001</v>
      </c>
      <c r="IY17" s="50">
        <v>241.29659856000001</v>
      </c>
      <c r="IZ17" s="50">
        <v>0</v>
      </c>
      <c r="JA17" s="50">
        <v>241.29659856000001</v>
      </c>
      <c r="JB17" s="50">
        <f t="shared" si="36"/>
        <v>2456.9685318699999</v>
      </c>
      <c r="JC17" s="50">
        <f t="shared" si="37"/>
        <v>0</v>
      </c>
      <c r="JD17" s="50">
        <f t="shared" si="38"/>
        <v>2456.9685318699999</v>
      </c>
      <c r="JE17" s="50">
        <f t="shared" si="4"/>
        <v>2456.9685319999999</v>
      </c>
      <c r="JF17" s="50"/>
      <c r="JG17" s="45">
        <v>2456.9685319999999</v>
      </c>
      <c r="JH17" s="50">
        <v>214.12216085</v>
      </c>
      <c r="JI17" s="50">
        <v>0</v>
      </c>
      <c r="JJ17" s="50">
        <v>214.12216085</v>
      </c>
      <c r="JK17" s="50">
        <v>189.67648955000001</v>
      </c>
      <c r="JL17" s="50">
        <v>0</v>
      </c>
      <c r="JM17" s="50">
        <v>189.67648955000001</v>
      </c>
      <c r="JN17" s="50">
        <v>182.61135922</v>
      </c>
      <c r="JO17" s="50">
        <v>0</v>
      </c>
      <c r="JP17" s="50">
        <v>182.61135922</v>
      </c>
      <c r="JQ17" s="50">
        <v>220.75818766999998</v>
      </c>
      <c r="JR17" s="50">
        <v>0</v>
      </c>
      <c r="JS17" s="50">
        <v>220.75818766999998</v>
      </c>
      <c r="JT17" s="50">
        <v>202.56825332</v>
      </c>
      <c r="JU17" s="50">
        <v>0</v>
      </c>
      <c r="JV17" s="50">
        <v>202.56825332</v>
      </c>
      <c r="JW17" s="50">
        <v>228.45286518</v>
      </c>
      <c r="JX17" s="50">
        <v>0</v>
      </c>
      <c r="JY17" s="50">
        <v>228.45286518</v>
      </c>
      <c r="JZ17" s="50">
        <v>218.39993038</v>
      </c>
      <c r="KA17" s="50">
        <v>0</v>
      </c>
      <c r="KB17" s="50">
        <v>218.39993038</v>
      </c>
      <c r="KC17" s="50">
        <v>228.15742975000001</v>
      </c>
      <c r="KD17" s="50">
        <v>0</v>
      </c>
      <c r="KE17" s="50">
        <v>228.15742975000001</v>
      </c>
      <c r="KF17" s="50">
        <v>246.06554786999999</v>
      </c>
      <c r="KG17" s="50">
        <v>0</v>
      </c>
      <c r="KH17" s="50">
        <v>246.06554786999999</v>
      </c>
      <c r="KI17" s="50">
        <v>234.78656058999999</v>
      </c>
      <c r="KJ17" s="50">
        <v>0</v>
      </c>
      <c r="KK17" s="50">
        <v>234.78656058999999</v>
      </c>
      <c r="KL17" s="50">
        <v>225.72968612</v>
      </c>
      <c r="KM17" s="50">
        <v>0</v>
      </c>
      <c r="KN17" s="50">
        <v>225.72968612</v>
      </c>
      <c r="KO17" s="50">
        <v>257.01818082</v>
      </c>
      <c r="KP17" s="50">
        <v>0</v>
      </c>
      <c r="KQ17" s="50">
        <v>257.01818082</v>
      </c>
      <c r="KR17" s="50">
        <f t="shared" si="48"/>
        <v>2648.3466513200005</v>
      </c>
      <c r="KS17" s="50">
        <f t="shared" si="39"/>
        <v>0</v>
      </c>
      <c r="KT17" s="50">
        <f t="shared" si="49"/>
        <v>2648.3466513200005</v>
      </c>
      <c r="KU17" s="50">
        <f t="shared" si="5"/>
        <v>2648.3466509999998</v>
      </c>
      <c r="KV17" s="50"/>
      <c r="KW17" s="45">
        <v>2648.3466509999998</v>
      </c>
      <c r="KX17" s="50">
        <v>219.17742745999999</v>
      </c>
      <c r="KY17" s="50">
        <v>0</v>
      </c>
      <c r="KZ17" s="50">
        <v>219.17742745999999</v>
      </c>
      <c r="LA17" s="50">
        <v>199.47310185000001</v>
      </c>
      <c r="LB17" s="50">
        <v>0</v>
      </c>
      <c r="LC17" s="50">
        <v>199.47310185000001</v>
      </c>
      <c r="LD17" s="50">
        <v>163.05346901999999</v>
      </c>
      <c r="LE17" s="50">
        <v>0</v>
      </c>
      <c r="LF17" s="50">
        <v>163.05346901999999</v>
      </c>
      <c r="LG17" s="50">
        <v>181.28259706</v>
      </c>
      <c r="LH17" s="50">
        <v>0</v>
      </c>
      <c r="LI17" s="174">
        <v>181.28259706</v>
      </c>
      <c r="LJ17" s="174">
        <v>161.38010387</v>
      </c>
      <c r="LK17" s="50">
        <v>0</v>
      </c>
      <c r="LL17" s="174">
        <v>161.38010387</v>
      </c>
      <c r="LM17" s="50">
        <v>204.26915094</v>
      </c>
      <c r="LN17" s="50">
        <v>0</v>
      </c>
      <c r="LO17" s="50">
        <v>204.26915094</v>
      </c>
      <c r="LP17" s="50">
        <v>218.83385175000001</v>
      </c>
      <c r="LQ17" s="50">
        <v>0</v>
      </c>
      <c r="LR17" s="44">
        <v>218.83385175000001</v>
      </c>
      <c r="LS17" s="50">
        <v>238.55673322000001</v>
      </c>
      <c r="LT17" s="50">
        <v>0</v>
      </c>
      <c r="LU17" s="52">
        <v>238.55673322000001</v>
      </c>
      <c r="LV17" s="44">
        <v>238.99603074000001</v>
      </c>
      <c r="LW17" s="44">
        <v>0</v>
      </c>
      <c r="LX17" s="44">
        <v>238.99603074000001</v>
      </c>
      <c r="LY17" s="44">
        <v>237.77250714000002</v>
      </c>
      <c r="LZ17" s="44">
        <v>0</v>
      </c>
      <c r="MA17" s="44">
        <v>237.77250714000002</v>
      </c>
      <c r="MB17" s="44">
        <v>248.70658576000002</v>
      </c>
      <c r="MC17" s="44">
        <v>0</v>
      </c>
      <c r="MD17" s="44">
        <v>248.70658576000002</v>
      </c>
      <c r="ME17" s="44">
        <v>233.15730057999997</v>
      </c>
      <c r="MF17" s="44">
        <v>0</v>
      </c>
      <c r="MG17" s="44">
        <v>233.15730057999997</v>
      </c>
      <c r="MH17" s="50">
        <f t="shared" si="66"/>
        <v>2544.6588593900001</v>
      </c>
      <c r="MI17" s="50">
        <f t="shared" si="50"/>
        <v>0</v>
      </c>
      <c r="MJ17" s="50">
        <f t="shared" si="51"/>
        <v>2544.6588593900001</v>
      </c>
      <c r="MK17" s="50">
        <f t="shared" si="7"/>
        <v>2544.6588590000001</v>
      </c>
      <c r="ML17" s="50"/>
      <c r="MM17" s="50">
        <v>2544.6588590000001</v>
      </c>
      <c r="MN17" s="44">
        <v>218.35477900000006</v>
      </c>
      <c r="MO17" s="44">
        <v>0</v>
      </c>
      <c r="MP17" s="44">
        <v>218.35477900000006</v>
      </c>
      <c r="MQ17" s="44">
        <v>209.04308809</v>
      </c>
      <c r="MR17" s="44">
        <v>0</v>
      </c>
      <c r="MS17" s="44">
        <v>209.04308809</v>
      </c>
      <c r="MT17" s="44">
        <v>168.040279</v>
      </c>
      <c r="MU17" s="44">
        <v>0</v>
      </c>
      <c r="MV17" s="44">
        <v>168.040279</v>
      </c>
      <c r="MW17" s="44">
        <v>240.62127121999998</v>
      </c>
      <c r="MX17" s="44">
        <v>0</v>
      </c>
      <c r="MY17" s="44">
        <v>240.62127121999998</v>
      </c>
      <c r="MZ17" s="44">
        <v>233.94073158999998</v>
      </c>
      <c r="NA17" s="44">
        <v>0</v>
      </c>
      <c r="NB17" s="44">
        <v>233.94073158999998</v>
      </c>
      <c r="NC17" s="44">
        <v>251.11796762</v>
      </c>
      <c r="ND17" s="44">
        <v>0</v>
      </c>
      <c r="NE17" s="44">
        <v>251.11796762</v>
      </c>
      <c r="NF17" s="44">
        <v>272.44773908000002</v>
      </c>
      <c r="NG17" s="44">
        <v>0</v>
      </c>
      <c r="NH17" s="44">
        <v>272.44773908000002</v>
      </c>
      <c r="NI17" s="44">
        <v>266.64371106999999</v>
      </c>
      <c r="NJ17" s="44">
        <v>0</v>
      </c>
      <c r="NK17" s="44">
        <v>266.64371106999999</v>
      </c>
      <c r="NL17" s="44">
        <v>255.51329713999999</v>
      </c>
      <c r="NM17" s="44">
        <v>0</v>
      </c>
      <c r="NN17" s="44">
        <v>255.51329713999999</v>
      </c>
      <c r="NO17" s="44">
        <v>281.78393442999999</v>
      </c>
      <c r="NP17" s="44">
        <v>0</v>
      </c>
      <c r="NQ17" s="44">
        <v>281.78393442999999</v>
      </c>
      <c r="NR17" s="44">
        <v>244.09561505000002</v>
      </c>
      <c r="NS17" s="44">
        <v>0</v>
      </c>
      <c r="NT17" s="44">
        <v>244.09561505000002</v>
      </c>
      <c r="NU17" s="44">
        <v>120.89054773000001</v>
      </c>
      <c r="NV17" s="44">
        <v>0</v>
      </c>
      <c r="NW17" s="44">
        <v>120.89054773000001</v>
      </c>
      <c r="NX17" s="50">
        <f t="shared" si="67"/>
        <v>2762.4929610200002</v>
      </c>
      <c r="NY17" s="50">
        <f t="shared" si="40"/>
        <v>0</v>
      </c>
      <c r="NZ17" s="50">
        <f t="shared" si="41"/>
        <v>2762.4929610200002</v>
      </c>
      <c r="OA17" s="50">
        <f t="shared" si="8"/>
        <v>2762.4929609999999</v>
      </c>
      <c r="OB17" s="50"/>
      <c r="OC17" s="50">
        <v>2762.4929609999999</v>
      </c>
      <c r="OD17" s="44">
        <v>305.15682826</v>
      </c>
      <c r="OE17" s="44"/>
      <c r="OF17" s="44">
        <v>305.15682826</v>
      </c>
      <c r="OG17" s="50">
        <v>241.22451790999997</v>
      </c>
      <c r="OH17" s="44"/>
      <c r="OI17" s="44">
        <v>241.22451790999997</v>
      </c>
      <c r="OJ17" s="44">
        <v>213.27002125000001</v>
      </c>
      <c r="OK17" s="44"/>
      <c r="OL17" s="44">
        <v>213.27002125000001</v>
      </c>
      <c r="OM17" s="44">
        <v>317.51033463000005</v>
      </c>
      <c r="ON17" s="44"/>
      <c r="OO17" s="44">
        <v>317.51033463000005</v>
      </c>
      <c r="OP17" s="44">
        <v>241.87598450999997</v>
      </c>
      <c r="OQ17" s="44"/>
      <c r="OR17" s="44">
        <v>241.87598450999997</v>
      </c>
      <c r="OS17" s="44">
        <v>307.37908601000004</v>
      </c>
      <c r="OT17" s="44"/>
      <c r="OU17" s="44">
        <v>307.37908601000004</v>
      </c>
      <c r="OV17" s="44">
        <v>318.39030732999998</v>
      </c>
      <c r="OW17" s="44"/>
      <c r="OX17" s="44">
        <v>318.39030732999998</v>
      </c>
      <c r="OY17" s="95">
        <v>302.72456161000002</v>
      </c>
      <c r="OZ17" s="44"/>
      <c r="PA17" s="95">
        <v>302.72456161000002</v>
      </c>
      <c r="PB17" s="44">
        <v>275.43128775999998</v>
      </c>
      <c r="PC17" s="44"/>
      <c r="PD17" s="44">
        <v>275.43128775999998</v>
      </c>
      <c r="PE17" s="44">
        <v>329.14276414</v>
      </c>
      <c r="PF17" s="44"/>
      <c r="PG17" s="44">
        <v>329.14276414</v>
      </c>
      <c r="PH17" s="44">
        <v>364.47679590000001</v>
      </c>
      <c r="PI17" s="44"/>
      <c r="PJ17" s="44">
        <v>364.47679590000001</v>
      </c>
      <c r="PK17" s="44">
        <v>342.08847143999998</v>
      </c>
      <c r="PL17" s="44"/>
      <c r="PM17" s="44">
        <v>342.08847143999998</v>
      </c>
      <c r="PN17" s="50">
        <f t="shared" si="68"/>
        <v>3558.6709607500002</v>
      </c>
      <c r="PO17" s="50">
        <f t="shared" si="42"/>
        <v>0</v>
      </c>
      <c r="PP17" s="50">
        <f t="shared" si="43"/>
        <v>3558.6709607500002</v>
      </c>
      <c r="PQ17" s="50">
        <f t="shared" si="9"/>
        <v>3558.6709599999999</v>
      </c>
      <c r="PR17" s="50"/>
      <c r="PS17" s="50">
        <v>3558.6709599999999</v>
      </c>
      <c r="PT17" s="44">
        <v>386.10967128999999</v>
      </c>
      <c r="PU17" s="44"/>
      <c r="PV17" s="44">
        <v>386.10967128999999</v>
      </c>
      <c r="PW17" s="44">
        <v>301.80614191999996</v>
      </c>
      <c r="PX17" s="44"/>
      <c r="PY17" s="44">
        <v>301.80614191999996</v>
      </c>
      <c r="PZ17" s="44">
        <v>325.43222743999996</v>
      </c>
      <c r="QA17" s="44"/>
      <c r="QB17" s="44">
        <v>325.43222743999996</v>
      </c>
      <c r="QC17" s="44">
        <v>338.49891364999996</v>
      </c>
      <c r="QD17" s="44"/>
      <c r="QE17" s="44">
        <v>338.49891364999996</v>
      </c>
      <c r="QF17" s="44">
        <v>289.73330856000001</v>
      </c>
      <c r="QG17" s="44"/>
      <c r="QH17" s="44">
        <v>289.73330856000001</v>
      </c>
      <c r="QI17" s="44">
        <v>305.09090129000003</v>
      </c>
      <c r="QJ17" s="44"/>
      <c r="QK17" s="44">
        <v>305.09090129000003</v>
      </c>
      <c r="QL17" s="44">
        <v>323.28390615999996</v>
      </c>
      <c r="QM17" s="44"/>
      <c r="QN17" s="44">
        <v>323.28390615999996</v>
      </c>
      <c r="QO17" s="44">
        <v>312.93571600999996</v>
      </c>
      <c r="QP17" s="44"/>
      <c r="QQ17" s="44">
        <v>312.93571600999996</v>
      </c>
      <c r="QR17" s="44">
        <v>329.26568889999999</v>
      </c>
      <c r="QS17" s="44"/>
      <c r="QT17" s="44">
        <v>329.26568889999999</v>
      </c>
      <c r="QU17" s="50">
        <v>341.81099528999999</v>
      </c>
      <c r="QV17" s="44"/>
      <c r="QW17" s="44">
        <v>341.81099528999999</v>
      </c>
      <c r="QX17" s="50">
        <v>294.74851663999999</v>
      </c>
      <c r="QY17" s="44"/>
      <c r="QZ17" s="44">
        <v>294.74851663999999</v>
      </c>
      <c r="RA17" s="50">
        <v>330.79873814000007</v>
      </c>
      <c r="RB17" s="44"/>
      <c r="RC17" s="44">
        <v>330.79873814000007</v>
      </c>
      <c r="RD17" s="50">
        <f t="shared" si="52"/>
        <v>3879.5147252899997</v>
      </c>
      <c r="RE17" s="50">
        <f t="shared" si="53"/>
        <v>0</v>
      </c>
      <c r="RF17" s="50">
        <f t="shared" si="54"/>
        <v>3879.5147252899997</v>
      </c>
      <c r="RG17" s="50">
        <f t="shared" si="11"/>
        <v>3879.514725</v>
      </c>
      <c r="RH17" s="50"/>
      <c r="RI17" s="50">
        <v>3879.514725</v>
      </c>
      <c r="RJ17" s="50">
        <v>342.50642629999999</v>
      </c>
      <c r="RK17" s="50"/>
      <c r="RL17" s="50">
        <v>342.50642629999999</v>
      </c>
      <c r="RM17" s="50">
        <v>264.23297828</v>
      </c>
      <c r="RN17" s="50"/>
      <c r="RO17" s="50">
        <v>264.23297828</v>
      </c>
      <c r="RP17" s="50">
        <v>295.02499803999996</v>
      </c>
      <c r="RQ17" s="50"/>
      <c r="RR17" s="50">
        <v>295.02499803999996</v>
      </c>
      <c r="RS17" s="50">
        <v>257.97659249000003</v>
      </c>
      <c r="RT17" s="50"/>
      <c r="RU17" s="50">
        <v>257.97659249000003</v>
      </c>
      <c r="RV17" s="50">
        <v>311.42055184999998</v>
      </c>
      <c r="RW17" s="50"/>
      <c r="RX17" s="50">
        <v>311.42055184999998</v>
      </c>
      <c r="RY17" s="50">
        <v>385.26376006999999</v>
      </c>
      <c r="RZ17" s="50"/>
      <c r="SA17" s="50">
        <v>385.26376006999999</v>
      </c>
      <c r="SB17" s="50">
        <v>291.92520031999999</v>
      </c>
      <c r="SC17" s="50"/>
      <c r="SD17" s="50">
        <v>291.92520031999999</v>
      </c>
      <c r="SE17" s="50">
        <v>335.26407283999998</v>
      </c>
      <c r="SF17" s="50"/>
      <c r="SG17" s="50">
        <v>335.26407283999998</v>
      </c>
      <c r="SH17" s="50">
        <v>348.50577060999996</v>
      </c>
      <c r="SI17" s="50"/>
      <c r="SJ17" s="50">
        <v>348.50577060999996</v>
      </c>
      <c r="SK17" s="50">
        <v>330.67379256000004</v>
      </c>
      <c r="SL17" s="50"/>
      <c r="SM17" s="50">
        <v>330.67379256000004</v>
      </c>
      <c r="SN17" s="50">
        <v>336.31847909000004</v>
      </c>
      <c r="SO17" s="50"/>
      <c r="SP17" s="50">
        <v>336.31847909000004</v>
      </c>
      <c r="SQ17" s="50">
        <v>383.24940474000005</v>
      </c>
      <c r="SR17" s="50"/>
      <c r="SS17" s="50">
        <v>383.24940474000005</v>
      </c>
      <c r="ST17" s="50">
        <f t="shared" si="55"/>
        <v>3882.3620271900004</v>
      </c>
      <c r="SU17" s="50">
        <f t="shared" si="65"/>
        <v>0</v>
      </c>
      <c r="SV17" s="50">
        <f t="shared" si="56"/>
        <v>3882.3620271900004</v>
      </c>
      <c r="SW17" s="50">
        <f t="shared" si="44"/>
        <v>3882.3620270000001</v>
      </c>
      <c r="SX17" s="50"/>
      <c r="SY17" s="50">
        <v>3882.3620270000001</v>
      </c>
      <c r="SZ17" s="50">
        <v>327.39997848999997</v>
      </c>
      <c r="TA17" s="50"/>
      <c r="TB17" s="50">
        <v>327.39997848999997</v>
      </c>
      <c r="TC17" s="50">
        <v>299.04544184999997</v>
      </c>
      <c r="TD17" s="50"/>
      <c r="TE17" s="50">
        <v>299.04544184999997</v>
      </c>
      <c r="TF17" s="50">
        <v>286.97640398999999</v>
      </c>
      <c r="TG17" s="50"/>
      <c r="TH17" s="50">
        <v>286.97640398999999</v>
      </c>
      <c r="TI17" s="50">
        <v>324.08337886999999</v>
      </c>
      <c r="TJ17" s="50"/>
      <c r="TK17" s="50">
        <v>324.08337886999999</v>
      </c>
      <c r="TL17" s="50">
        <v>341.89799519999997</v>
      </c>
      <c r="TM17" s="50"/>
      <c r="TN17" s="50">
        <v>341.89799519999997</v>
      </c>
      <c r="TO17" s="50">
        <v>353.14339132999999</v>
      </c>
      <c r="TP17" s="50"/>
      <c r="TQ17" s="50">
        <v>353.14339132999999</v>
      </c>
      <c r="TR17" s="50">
        <v>322.24170879000002</v>
      </c>
      <c r="TS17" s="50"/>
      <c r="TT17" s="50">
        <v>322.24170879000002</v>
      </c>
      <c r="TU17" s="50">
        <v>362.20796027</v>
      </c>
      <c r="TV17" s="50"/>
      <c r="TW17" s="50">
        <v>362.20796027</v>
      </c>
      <c r="TX17" s="50">
        <v>351.63367726999996</v>
      </c>
      <c r="TY17" s="50"/>
      <c r="TZ17" s="50">
        <v>351.63367726999996</v>
      </c>
      <c r="UA17" s="50">
        <v>365.58698776</v>
      </c>
      <c r="UB17" s="50"/>
      <c r="UC17" s="50">
        <v>365.58698776</v>
      </c>
      <c r="UD17" s="50">
        <v>368.36426121</v>
      </c>
      <c r="UE17" s="50"/>
      <c r="UF17" s="50">
        <v>368.36426121</v>
      </c>
      <c r="UG17" s="50">
        <v>397.15842108000004</v>
      </c>
      <c r="UH17" s="50"/>
      <c r="UI17" s="50">
        <v>397.15842108000004</v>
      </c>
      <c r="UJ17" s="50">
        <f t="shared" si="45"/>
        <v>4099.7396061099998</v>
      </c>
      <c r="UK17" s="50">
        <f t="shared" si="15"/>
        <v>0</v>
      </c>
      <c r="UL17" s="50">
        <f t="shared" si="16"/>
        <v>4099.7396061099998</v>
      </c>
      <c r="UM17" s="50">
        <v>365.46684836999998</v>
      </c>
      <c r="UN17" s="50"/>
      <c r="UO17" s="50">
        <v>365.46684836999998</v>
      </c>
      <c r="UP17" s="50">
        <v>325.80093109000001</v>
      </c>
      <c r="UQ17" s="50"/>
      <c r="UR17" s="50">
        <v>325.80093109000001</v>
      </c>
      <c r="US17" s="50">
        <v>289.94353837999995</v>
      </c>
      <c r="UT17" s="50"/>
      <c r="UU17" s="50">
        <v>289.94353837999995</v>
      </c>
      <c r="UV17" s="50">
        <v>388.96000047000001</v>
      </c>
      <c r="UW17" s="50"/>
      <c r="UX17" s="50">
        <v>388.96000047000001</v>
      </c>
      <c r="UY17" s="50"/>
      <c r="UZ17" s="50"/>
      <c r="VA17" s="50"/>
      <c r="VB17" s="50"/>
      <c r="VC17" s="50"/>
      <c r="VD17" s="50"/>
      <c r="VE17" s="50"/>
      <c r="VF17" s="50"/>
      <c r="VG17" s="50"/>
      <c r="VH17" s="50"/>
      <c r="VI17" s="50"/>
      <c r="VJ17" s="50"/>
      <c r="VK17" s="50"/>
      <c r="VL17" s="50"/>
      <c r="VM17" s="50"/>
      <c r="VN17" s="50"/>
      <c r="VO17" s="50"/>
      <c r="VP17" s="50"/>
      <c r="VQ17" s="50"/>
      <c r="VR17" s="50"/>
      <c r="VS17" s="50"/>
      <c r="VT17" s="50"/>
      <c r="VU17" s="50"/>
      <c r="VV17" s="50"/>
      <c r="VW17" s="276">
        <f t="shared" si="57"/>
        <v>1237.5052029999999</v>
      </c>
      <c r="VX17" s="292">
        <f t="shared" si="58"/>
        <v>0</v>
      </c>
      <c r="VY17" s="292">
        <f t="shared" si="59"/>
        <v>1237.5052029999999</v>
      </c>
      <c r="VZ17" s="276">
        <f t="shared" si="60"/>
        <v>1370.1713179999999</v>
      </c>
      <c r="WA17" s="292">
        <f t="shared" si="61"/>
        <v>0</v>
      </c>
      <c r="WB17" s="292">
        <f t="shared" si="62"/>
        <v>1370.1713179999999</v>
      </c>
      <c r="WC17" s="277">
        <f t="shared" si="63"/>
        <v>132.66611499999999</v>
      </c>
      <c r="WD17" s="277">
        <f t="shared" si="64"/>
        <v>10.720449067881617</v>
      </c>
    </row>
    <row r="18" spans="1:602" s="12" customFormat="1" ht="20.5">
      <c r="A18" s="47" t="s">
        <v>57</v>
      </c>
      <c r="B18" s="12" t="s">
        <v>58</v>
      </c>
      <c r="C18" s="47" t="s">
        <v>59</v>
      </c>
      <c r="D18" s="45">
        <v>637.57801036988974</v>
      </c>
      <c r="E18" s="42">
        <v>769.66218177471956</v>
      </c>
      <c r="F18" s="42">
        <v>717.24981787240824</v>
      </c>
      <c r="G18" s="42">
        <v>651.75811321506421</v>
      </c>
      <c r="H18" s="42">
        <v>55.343791441141484</v>
      </c>
      <c r="I18" s="42">
        <v>53.847516519541728</v>
      </c>
      <c r="J18" s="42">
        <v>41.413268848782877</v>
      </c>
      <c r="K18" s="42">
        <v>50.98525193368279</v>
      </c>
      <c r="L18" s="42">
        <v>51.338341842106765</v>
      </c>
      <c r="M18" s="42">
        <v>57.831477908492268</v>
      </c>
      <c r="N18" s="42">
        <v>62.199900683547625</v>
      </c>
      <c r="O18" s="42">
        <v>64.413401175861267</v>
      </c>
      <c r="P18" s="42">
        <v>65.490960495387057</v>
      </c>
      <c r="Q18" s="42">
        <v>63.12097825282725</v>
      </c>
      <c r="R18" s="42">
        <v>57.088223743746475</v>
      </c>
      <c r="S18" s="42">
        <v>62.074521488210081</v>
      </c>
      <c r="T18" s="42">
        <v>685.14763433332757</v>
      </c>
      <c r="U18" s="42">
        <v>0</v>
      </c>
      <c r="V18" s="42">
        <v>685.14763433332757</v>
      </c>
      <c r="W18" s="42">
        <v>685.14763433332769</v>
      </c>
      <c r="X18" s="42">
        <v>60.174768498756414</v>
      </c>
      <c r="Y18" s="42">
        <v>53.974944650286567</v>
      </c>
      <c r="Z18" s="42">
        <v>54.884546758413443</v>
      </c>
      <c r="AA18" s="42">
        <v>55.476334796045556</v>
      </c>
      <c r="AB18" s="42">
        <v>53.766562227875767</v>
      </c>
      <c r="AC18" s="42">
        <v>60.221629358967796</v>
      </c>
      <c r="AD18" s="42">
        <v>57.503571408244689</v>
      </c>
      <c r="AE18" s="42">
        <v>64.959892089401876</v>
      </c>
      <c r="AF18" s="42">
        <v>64.94532045918919</v>
      </c>
      <c r="AG18" s="42">
        <v>60.11057136840428</v>
      </c>
      <c r="AH18" s="42">
        <v>62.592562079897093</v>
      </c>
      <c r="AI18" s="42">
        <v>55.229271603462706</v>
      </c>
      <c r="AJ18" s="42">
        <f t="shared" si="46"/>
        <v>703.83997529894543</v>
      </c>
      <c r="AK18" s="42">
        <v>0</v>
      </c>
      <c r="AL18" s="42">
        <v>703.83997529894543</v>
      </c>
      <c r="AM18" s="42">
        <v>703.83997529894532</v>
      </c>
      <c r="AN18" s="42">
        <v>64.48722830262777</v>
      </c>
      <c r="AO18" s="42">
        <v>55.906271165218186</v>
      </c>
      <c r="AP18" s="42">
        <v>51.881193049555783</v>
      </c>
      <c r="AQ18" s="42">
        <v>56.331761059982583</v>
      </c>
      <c r="AR18" s="42">
        <v>57.89799431989573</v>
      </c>
      <c r="AS18" s="42">
        <v>64.496327567856753</v>
      </c>
      <c r="AT18" s="42">
        <v>61.859985145218296</v>
      </c>
      <c r="AU18" s="42">
        <v>66.332791219173487</v>
      </c>
      <c r="AV18" s="42">
        <v>65.777172582967651</v>
      </c>
      <c r="AW18" s="42">
        <v>60.088687599956749</v>
      </c>
      <c r="AX18" s="42">
        <v>64.591751042965043</v>
      </c>
      <c r="AY18" s="42">
        <v>61.29239304272599</v>
      </c>
      <c r="AZ18" s="42">
        <v>730.94355609814409</v>
      </c>
      <c r="BA18" s="42"/>
      <c r="BB18" s="42">
        <v>730.94355609814409</v>
      </c>
      <c r="BC18" s="45">
        <f t="shared" si="21"/>
        <v>730.94355609814409</v>
      </c>
      <c r="BD18" s="45"/>
      <c r="BE18" s="45">
        <v>730.94355609814409</v>
      </c>
      <c r="BF18" s="44">
        <v>66.739440999999999</v>
      </c>
      <c r="BG18" s="118"/>
      <c r="BH18" s="50">
        <f>BF18+BG18</f>
        <v>66.739440999999999</v>
      </c>
      <c r="BI18" s="45">
        <v>51.166615</v>
      </c>
      <c r="BJ18" s="120"/>
      <c r="BK18" s="50">
        <f>BI18+BJ18</f>
        <v>51.166615</v>
      </c>
      <c r="BL18" s="50">
        <v>52.370136000000002</v>
      </c>
      <c r="BM18" s="50"/>
      <c r="BN18" s="50">
        <f>BL18+BM18</f>
        <v>52.370136000000002</v>
      </c>
      <c r="BO18" s="50">
        <v>61.024819000000001</v>
      </c>
      <c r="BP18" s="50"/>
      <c r="BQ18" s="50">
        <f>BO18+BP18</f>
        <v>61.024819000000001</v>
      </c>
      <c r="BR18" s="50">
        <v>58.913553</v>
      </c>
      <c r="BS18" s="50"/>
      <c r="BT18" s="50">
        <f>BR18+BS18</f>
        <v>58.913553</v>
      </c>
      <c r="BU18" s="50">
        <v>65.518063999999995</v>
      </c>
      <c r="BV18" s="50"/>
      <c r="BW18" s="50">
        <f>BU18+BV18</f>
        <v>65.518063999999995</v>
      </c>
      <c r="BX18" s="50">
        <v>66.494169999999997</v>
      </c>
      <c r="BY18" s="50"/>
      <c r="BZ18" s="50">
        <f>BX18+BY18</f>
        <v>66.494169999999997</v>
      </c>
      <c r="CA18" s="50">
        <v>69.305045000000007</v>
      </c>
      <c r="CB18" s="50"/>
      <c r="CC18" s="50">
        <f>CA18+CB18</f>
        <v>69.305045000000007</v>
      </c>
      <c r="CD18" s="50">
        <v>67.349203079999995</v>
      </c>
      <c r="CE18" s="50"/>
      <c r="CF18" s="50">
        <f>CD18+CE18</f>
        <v>67.349203079999995</v>
      </c>
      <c r="CG18" s="50">
        <v>63.97557865000001</v>
      </c>
      <c r="CH18" s="50"/>
      <c r="CI18" s="50">
        <f>CG18+CH18</f>
        <v>63.97557865000001</v>
      </c>
      <c r="CJ18" s="45">
        <v>65.340900519999991</v>
      </c>
      <c r="CK18" s="45"/>
      <c r="CL18" s="50">
        <f>CJ18+CK18</f>
        <v>65.340900519999991</v>
      </c>
      <c r="CM18" s="42">
        <v>60.398081740000016</v>
      </c>
      <c r="CN18" s="45"/>
      <c r="CO18" s="50">
        <f>CM18+CN18</f>
        <v>60.398081740000016</v>
      </c>
      <c r="CP18" s="50">
        <f t="shared" si="24"/>
        <v>748.59560699000008</v>
      </c>
      <c r="CQ18" s="50">
        <f t="shared" si="25"/>
        <v>0</v>
      </c>
      <c r="CR18" s="50">
        <f t="shared" si="26"/>
        <v>748.59560699000008</v>
      </c>
      <c r="CS18" s="45">
        <f t="shared" si="2"/>
        <v>748.59560699999997</v>
      </c>
      <c r="CT18" s="45"/>
      <c r="CU18" s="44">
        <v>748.59560699999997</v>
      </c>
      <c r="CV18" s="42">
        <v>69.131329479999991</v>
      </c>
      <c r="CW18" s="45"/>
      <c r="CX18" s="50">
        <f>CV18+CW18</f>
        <v>69.131329479999991</v>
      </c>
      <c r="CY18" s="42">
        <v>54.626979419999998</v>
      </c>
      <c r="CZ18" s="45"/>
      <c r="DA18" s="50">
        <v>54.626979419999998</v>
      </c>
      <c r="DB18" s="42">
        <v>57.344745349999997</v>
      </c>
      <c r="DC18" s="45"/>
      <c r="DD18" s="50">
        <v>57.344745349999997</v>
      </c>
      <c r="DE18" s="42">
        <v>64.885803249999995</v>
      </c>
      <c r="DF18" s="45"/>
      <c r="DG18" s="50">
        <v>64.885803249999995</v>
      </c>
      <c r="DH18" s="42">
        <v>63.478285879999994</v>
      </c>
      <c r="DI18" s="45"/>
      <c r="DJ18" s="50">
        <v>63.478285879999994</v>
      </c>
      <c r="DK18" s="42">
        <v>65.273663380000002</v>
      </c>
      <c r="DL18" s="45"/>
      <c r="DM18" s="50">
        <v>65.273663380000002</v>
      </c>
      <c r="DN18" s="42">
        <v>70.818015249999988</v>
      </c>
      <c r="DO18" s="45"/>
      <c r="DP18" s="50">
        <v>70.818015249999988</v>
      </c>
      <c r="DQ18" s="42">
        <v>71.380233019999991</v>
      </c>
      <c r="DR18" s="45"/>
      <c r="DS18" s="50">
        <v>71.380233019999991</v>
      </c>
      <c r="DT18" s="42">
        <v>73.942910450000014</v>
      </c>
      <c r="DU18" s="45"/>
      <c r="DV18" s="50">
        <v>73.942910450000014</v>
      </c>
      <c r="DW18" s="42">
        <v>69.43074301</v>
      </c>
      <c r="DX18" s="45"/>
      <c r="DY18" s="50">
        <v>69.43074301</v>
      </c>
      <c r="DZ18" s="42">
        <v>69.296714399999985</v>
      </c>
      <c r="EA18" s="45"/>
      <c r="EB18" s="50">
        <v>69.296714399999985</v>
      </c>
      <c r="EC18" s="42">
        <v>66.683166159999999</v>
      </c>
      <c r="ED18" s="45"/>
      <c r="EE18" s="50">
        <v>66.683166159999999</v>
      </c>
      <c r="EF18" s="50">
        <f t="shared" si="27"/>
        <v>796.29258904999995</v>
      </c>
      <c r="EG18" s="50">
        <f t="shared" si="28"/>
        <v>0</v>
      </c>
      <c r="EH18" s="50">
        <f t="shared" si="29"/>
        <v>796.29258904999995</v>
      </c>
      <c r="EI18" s="50">
        <f t="shared" si="70"/>
        <v>796.29258904999995</v>
      </c>
      <c r="EJ18" s="50"/>
      <c r="EK18" s="50">
        <v>796.29258904999995</v>
      </c>
      <c r="EL18" s="50">
        <v>69.893747950000034</v>
      </c>
      <c r="EM18" s="50"/>
      <c r="EN18" s="50">
        <v>69.893747950000034</v>
      </c>
      <c r="EO18" s="50">
        <v>62.847186190000009</v>
      </c>
      <c r="EP18" s="50"/>
      <c r="EQ18" s="50">
        <v>62.847186190000009</v>
      </c>
      <c r="ER18" s="50">
        <v>60.453423570000005</v>
      </c>
      <c r="ES18" s="50"/>
      <c r="ET18" s="50">
        <v>60.453423570000005</v>
      </c>
      <c r="EU18" s="50">
        <v>68.180902589999988</v>
      </c>
      <c r="EV18" s="50"/>
      <c r="EW18" s="50">
        <v>68.180902589999988</v>
      </c>
      <c r="EX18" s="50">
        <v>71.182647299999999</v>
      </c>
      <c r="EY18" s="50"/>
      <c r="EZ18" s="50">
        <v>71.182647299999999</v>
      </c>
      <c r="FA18" s="50">
        <v>76.036618309999994</v>
      </c>
      <c r="FB18" s="50"/>
      <c r="FC18" s="50">
        <v>76.036618309999994</v>
      </c>
      <c r="FD18" s="50">
        <v>74.148619929999981</v>
      </c>
      <c r="FE18" s="50"/>
      <c r="FF18" s="50">
        <v>74.148619929999981</v>
      </c>
      <c r="FG18" s="50">
        <v>75.798546439999996</v>
      </c>
      <c r="FH18" s="50"/>
      <c r="FI18" s="50">
        <v>75.798546439999996</v>
      </c>
      <c r="FJ18" s="50">
        <v>80.900494660000021</v>
      </c>
      <c r="FK18" s="50"/>
      <c r="FL18" s="50">
        <v>80.900494660000021</v>
      </c>
      <c r="FM18" s="50">
        <v>74.773888770000028</v>
      </c>
      <c r="FN18" s="50"/>
      <c r="FO18" s="50">
        <v>74.773888770000028</v>
      </c>
      <c r="FP18" s="50">
        <v>74.775466170000001</v>
      </c>
      <c r="FQ18" s="50"/>
      <c r="FR18" s="50">
        <v>74.775466170000001</v>
      </c>
      <c r="FS18" s="50">
        <v>72.018300909999994</v>
      </c>
      <c r="FT18" s="50"/>
      <c r="FU18" s="50">
        <v>72.018300909999994</v>
      </c>
      <c r="FV18" s="50">
        <f t="shared" si="30"/>
        <v>861.00984278999999</v>
      </c>
      <c r="FW18" s="50">
        <f t="shared" si="31"/>
        <v>0</v>
      </c>
      <c r="FX18" s="50">
        <f t="shared" si="32"/>
        <v>861.00984278999999</v>
      </c>
      <c r="FY18" s="50">
        <f t="shared" si="71"/>
        <v>861.00984300000005</v>
      </c>
      <c r="FZ18" s="50"/>
      <c r="GA18" s="50">
        <v>861.00984300000005</v>
      </c>
      <c r="GB18" s="50">
        <v>73.958544279999998</v>
      </c>
      <c r="GC18" s="50"/>
      <c r="GD18" s="50">
        <v>73.958544279999998</v>
      </c>
      <c r="GE18" s="50">
        <v>65.000137600000002</v>
      </c>
      <c r="GF18" s="50"/>
      <c r="GG18" s="50">
        <v>65.000137600000002</v>
      </c>
      <c r="GH18" s="50">
        <v>63.586354440000001</v>
      </c>
      <c r="GI18" s="50"/>
      <c r="GJ18" s="50">
        <v>63.586354440000001</v>
      </c>
      <c r="GK18" s="50">
        <v>70.353395280000001</v>
      </c>
      <c r="GL18" s="50"/>
      <c r="GM18" s="50">
        <v>70.353395280000001</v>
      </c>
      <c r="GN18" s="50">
        <v>73.76425691</v>
      </c>
      <c r="GO18" s="50"/>
      <c r="GP18" s="50">
        <v>73.76425691</v>
      </c>
      <c r="GQ18" s="50">
        <v>81.720163170000006</v>
      </c>
      <c r="GR18" s="50"/>
      <c r="GS18" s="50">
        <v>81.720163170000006</v>
      </c>
      <c r="GT18" s="50">
        <v>77.435438270000006</v>
      </c>
      <c r="GU18" s="50"/>
      <c r="GV18" s="50">
        <v>77.435438270000006</v>
      </c>
      <c r="GW18" s="50">
        <v>81.838067769999995</v>
      </c>
      <c r="GX18" s="50"/>
      <c r="GY18" s="50">
        <v>81.838067769999995</v>
      </c>
      <c r="GZ18" s="50">
        <v>87.040423340000004</v>
      </c>
      <c r="HA18" s="50"/>
      <c r="HB18" s="50">
        <v>87.040423340000004</v>
      </c>
      <c r="HC18" s="50">
        <v>75.13277656999999</v>
      </c>
      <c r="HD18" s="50"/>
      <c r="HE18" s="50">
        <v>75.13277656999999</v>
      </c>
      <c r="HF18" s="50">
        <v>78.623796470000002</v>
      </c>
      <c r="HG18" s="50"/>
      <c r="HH18" s="50">
        <v>78.623796470000002</v>
      </c>
      <c r="HI18" s="50">
        <v>78.567804440000003</v>
      </c>
      <c r="HJ18" s="50"/>
      <c r="HK18" s="50">
        <v>78.567804440000003</v>
      </c>
      <c r="HL18" s="50">
        <f t="shared" si="33"/>
        <v>907.02115853999999</v>
      </c>
      <c r="HM18" s="50">
        <f t="shared" si="34"/>
        <v>0</v>
      </c>
      <c r="HN18" s="50">
        <f t="shared" si="35"/>
        <v>907.02115853999999</v>
      </c>
      <c r="HO18" s="50">
        <f t="shared" si="3"/>
        <v>907.00246000000004</v>
      </c>
      <c r="HP18" s="50"/>
      <c r="HQ18" s="50">
        <v>907.00246000000004</v>
      </c>
      <c r="HR18" s="50">
        <v>78.380427980000007</v>
      </c>
      <c r="HS18" s="50">
        <v>0</v>
      </c>
      <c r="HT18" s="50">
        <v>78.380427980000007</v>
      </c>
      <c r="HU18" s="50">
        <v>72.050875470000008</v>
      </c>
      <c r="HV18" s="50">
        <v>0</v>
      </c>
      <c r="HW18" s="50">
        <v>72.050875470000008</v>
      </c>
      <c r="HX18" s="50">
        <v>73.067936459999999</v>
      </c>
      <c r="HY18" s="50">
        <v>0</v>
      </c>
      <c r="HZ18" s="50">
        <v>73.067936459999999</v>
      </c>
      <c r="IA18" s="50">
        <v>82.708648690000018</v>
      </c>
      <c r="IB18" s="50">
        <v>0</v>
      </c>
      <c r="IC18" s="50">
        <v>82.708648690000018</v>
      </c>
      <c r="ID18" s="50">
        <v>80.300244059999983</v>
      </c>
      <c r="IE18" s="50">
        <v>0</v>
      </c>
      <c r="IF18" s="50">
        <v>80.300244059999983</v>
      </c>
      <c r="IG18" s="50">
        <v>95.330260679999995</v>
      </c>
      <c r="IH18" s="50">
        <v>0</v>
      </c>
      <c r="II18" s="50">
        <v>95.330260679999995</v>
      </c>
      <c r="IJ18" s="50">
        <v>93.795984349999998</v>
      </c>
      <c r="IK18" s="50">
        <v>0</v>
      </c>
      <c r="IL18" s="50">
        <v>93.795984349999998</v>
      </c>
      <c r="IM18" s="50">
        <v>97.583045370000008</v>
      </c>
      <c r="IN18" s="50">
        <v>0</v>
      </c>
      <c r="IO18" s="50">
        <v>97.583045370000008</v>
      </c>
      <c r="IP18" s="50">
        <v>97.29460241999999</v>
      </c>
      <c r="IQ18" s="50">
        <v>0</v>
      </c>
      <c r="IR18" s="50">
        <v>97.29460241999999</v>
      </c>
      <c r="IS18" s="50">
        <v>85.281813780000007</v>
      </c>
      <c r="IT18" s="50">
        <v>0</v>
      </c>
      <c r="IU18" s="50">
        <v>85.281813780000007</v>
      </c>
      <c r="IV18" s="50">
        <v>91.143385759999973</v>
      </c>
      <c r="IW18" s="50">
        <v>0</v>
      </c>
      <c r="IX18" s="50">
        <v>91.143385759999973</v>
      </c>
      <c r="IY18" s="50">
        <v>82.276838420000004</v>
      </c>
      <c r="IZ18" s="50">
        <v>0</v>
      </c>
      <c r="JA18" s="50">
        <v>82.276838420000004</v>
      </c>
      <c r="JB18" s="50">
        <f t="shared" si="36"/>
        <v>1029.21406344</v>
      </c>
      <c r="JC18" s="50">
        <f t="shared" si="37"/>
        <v>0</v>
      </c>
      <c r="JD18" s="50">
        <f t="shared" si="38"/>
        <v>1029.21406344</v>
      </c>
      <c r="JE18" s="50">
        <f t="shared" si="4"/>
        <v>1029.2140629999999</v>
      </c>
      <c r="JF18" s="50"/>
      <c r="JG18" s="45">
        <v>1029.2140629999999</v>
      </c>
      <c r="JH18" s="50">
        <v>89.964804270000002</v>
      </c>
      <c r="JI18" s="50">
        <v>0</v>
      </c>
      <c r="JJ18" s="50">
        <v>89.964804270000002</v>
      </c>
      <c r="JK18" s="50">
        <v>78.58715174000001</v>
      </c>
      <c r="JL18" s="50">
        <v>0</v>
      </c>
      <c r="JM18" s="50">
        <v>78.58715174000001</v>
      </c>
      <c r="JN18" s="50">
        <v>80.675586719999998</v>
      </c>
      <c r="JO18" s="50">
        <v>0</v>
      </c>
      <c r="JP18" s="50">
        <v>80.675586719999998</v>
      </c>
      <c r="JQ18" s="50">
        <v>88.41034741</v>
      </c>
      <c r="JR18" s="50">
        <v>0</v>
      </c>
      <c r="JS18" s="50">
        <v>88.41034741</v>
      </c>
      <c r="JT18" s="50">
        <v>87.330997550000006</v>
      </c>
      <c r="JU18" s="50">
        <v>0</v>
      </c>
      <c r="JV18" s="50">
        <v>87.330997550000006</v>
      </c>
      <c r="JW18" s="50">
        <v>95.749043650000004</v>
      </c>
      <c r="JX18" s="50">
        <v>0</v>
      </c>
      <c r="JY18" s="50">
        <v>95.749043650000004</v>
      </c>
      <c r="JZ18" s="50">
        <v>91.565102039999985</v>
      </c>
      <c r="KA18" s="50">
        <v>0</v>
      </c>
      <c r="KB18" s="50">
        <v>91.565102039999985</v>
      </c>
      <c r="KC18" s="50">
        <v>93.598704659999996</v>
      </c>
      <c r="KD18" s="50">
        <v>0</v>
      </c>
      <c r="KE18" s="50">
        <v>93.598704659999996</v>
      </c>
      <c r="KF18" s="50">
        <v>99.983932100000004</v>
      </c>
      <c r="KG18" s="50">
        <v>0</v>
      </c>
      <c r="KH18" s="50">
        <v>99.983932100000004</v>
      </c>
      <c r="KI18" s="50">
        <v>88.173631019999988</v>
      </c>
      <c r="KJ18" s="50">
        <v>0</v>
      </c>
      <c r="KK18" s="50">
        <v>88.173631019999988</v>
      </c>
      <c r="KL18" s="50">
        <v>84.54278137999998</v>
      </c>
      <c r="KM18" s="50">
        <v>0</v>
      </c>
      <c r="KN18" s="50">
        <v>84.54278137999998</v>
      </c>
      <c r="KO18" s="50">
        <v>85.472943020000017</v>
      </c>
      <c r="KP18" s="50">
        <v>0</v>
      </c>
      <c r="KQ18" s="50">
        <v>85.472943020000017</v>
      </c>
      <c r="KR18" s="50">
        <f t="shared" si="48"/>
        <v>1064.0550255600001</v>
      </c>
      <c r="KS18" s="50">
        <f t="shared" si="39"/>
        <v>0</v>
      </c>
      <c r="KT18" s="50">
        <f t="shared" si="49"/>
        <v>1064.0550255600001</v>
      </c>
      <c r="KU18" s="50">
        <f t="shared" si="5"/>
        <v>1064.0550249999999</v>
      </c>
      <c r="KV18" s="50"/>
      <c r="KW18" s="45">
        <v>1064.0550249999999</v>
      </c>
      <c r="KX18" s="50">
        <v>91.227132470000001</v>
      </c>
      <c r="KY18" s="50">
        <v>0</v>
      </c>
      <c r="KZ18" s="50">
        <v>91.227132470000001</v>
      </c>
      <c r="LA18" s="50">
        <v>78.474114360000002</v>
      </c>
      <c r="LB18" s="50">
        <v>0</v>
      </c>
      <c r="LC18" s="50">
        <v>78.474114360000002</v>
      </c>
      <c r="LD18" s="50">
        <v>71.947078020000006</v>
      </c>
      <c r="LE18" s="50">
        <v>0</v>
      </c>
      <c r="LF18" s="50">
        <v>71.947078020000006</v>
      </c>
      <c r="LG18" s="50">
        <v>80.2903479</v>
      </c>
      <c r="LH18" s="50">
        <v>0</v>
      </c>
      <c r="LI18" s="174">
        <v>80.2903479</v>
      </c>
      <c r="LJ18" s="174">
        <v>79.396007060000002</v>
      </c>
      <c r="LK18" s="50">
        <v>0</v>
      </c>
      <c r="LL18" s="174">
        <v>79.396007060000002</v>
      </c>
      <c r="LM18" s="50">
        <v>87.892598369999988</v>
      </c>
      <c r="LN18" s="50">
        <v>0</v>
      </c>
      <c r="LO18" s="50">
        <v>87.892598369999988</v>
      </c>
      <c r="LP18" s="50">
        <v>98.363117439999996</v>
      </c>
      <c r="LQ18" s="50">
        <v>0</v>
      </c>
      <c r="LR18" s="44">
        <v>98.363117439999996</v>
      </c>
      <c r="LS18" s="50">
        <v>102.65536318000002</v>
      </c>
      <c r="LT18" s="50">
        <v>0</v>
      </c>
      <c r="LU18" s="52">
        <v>102.65536318000002</v>
      </c>
      <c r="LV18" s="44">
        <v>101.34110115999999</v>
      </c>
      <c r="LW18" s="44">
        <v>0</v>
      </c>
      <c r="LX18" s="44">
        <v>101.34110115999999</v>
      </c>
      <c r="LY18" s="44">
        <v>95.319154620000006</v>
      </c>
      <c r="LZ18" s="44">
        <v>0</v>
      </c>
      <c r="MA18" s="44">
        <v>95.319154620000006</v>
      </c>
      <c r="MB18" s="44">
        <v>87.52151022000001</v>
      </c>
      <c r="MC18" s="44">
        <v>0</v>
      </c>
      <c r="MD18" s="44">
        <v>87.52151022000001</v>
      </c>
      <c r="ME18" s="44">
        <v>85.256483129999992</v>
      </c>
      <c r="MF18" s="44">
        <v>0</v>
      </c>
      <c r="MG18" s="44">
        <v>85.256483129999992</v>
      </c>
      <c r="MH18" s="50">
        <f t="shared" si="66"/>
        <v>1059.68400793</v>
      </c>
      <c r="MI18" s="50">
        <f t="shared" si="50"/>
        <v>0</v>
      </c>
      <c r="MJ18" s="50">
        <f t="shared" si="51"/>
        <v>1059.68400793</v>
      </c>
      <c r="MK18" s="50">
        <f t="shared" si="7"/>
        <v>1059.6840079999999</v>
      </c>
      <c r="ML18" s="50"/>
      <c r="MM18" s="50">
        <v>1059.6840079999999</v>
      </c>
      <c r="MN18" s="44">
        <v>88.145899</v>
      </c>
      <c r="MO18" s="44">
        <v>0</v>
      </c>
      <c r="MP18" s="44">
        <v>88.145899</v>
      </c>
      <c r="MQ18" s="44">
        <v>75.317371249999994</v>
      </c>
      <c r="MR18" s="44">
        <v>0</v>
      </c>
      <c r="MS18" s="44">
        <v>75.317371249999994</v>
      </c>
      <c r="MT18" s="44">
        <v>75.639572880000017</v>
      </c>
      <c r="MU18" s="44">
        <v>0</v>
      </c>
      <c r="MV18" s="44">
        <v>75.639572880000017</v>
      </c>
      <c r="MW18" s="44">
        <v>97.130311410000004</v>
      </c>
      <c r="MX18" s="44">
        <v>0</v>
      </c>
      <c r="MY18" s="44">
        <v>97.130311410000004</v>
      </c>
      <c r="MZ18" s="44">
        <v>82.14008299000001</v>
      </c>
      <c r="NA18" s="44">
        <v>0</v>
      </c>
      <c r="NB18" s="44">
        <v>82.14008299000001</v>
      </c>
      <c r="NC18" s="44">
        <v>94.391854240000001</v>
      </c>
      <c r="ND18" s="44">
        <v>0</v>
      </c>
      <c r="NE18" s="44">
        <v>94.391854240000001</v>
      </c>
      <c r="NF18" s="44">
        <v>105.34232808</v>
      </c>
      <c r="NG18" s="44">
        <v>0</v>
      </c>
      <c r="NH18" s="44">
        <v>105.34232808</v>
      </c>
      <c r="NI18" s="44">
        <v>106.11534505000002</v>
      </c>
      <c r="NJ18" s="44">
        <v>0</v>
      </c>
      <c r="NK18" s="44">
        <v>106.11534505000002</v>
      </c>
      <c r="NL18" s="44">
        <v>98.114018129999977</v>
      </c>
      <c r="NM18" s="44">
        <v>0</v>
      </c>
      <c r="NN18" s="44">
        <v>98.114018129999977</v>
      </c>
      <c r="NO18" s="44">
        <v>96.822309400000023</v>
      </c>
      <c r="NP18" s="44">
        <v>0</v>
      </c>
      <c r="NQ18" s="44">
        <v>96.822309400000023</v>
      </c>
      <c r="NR18" s="44">
        <v>87.558833309999997</v>
      </c>
      <c r="NS18" s="44">
        <v>0</v>
      </c>
      <c r="NT18" s="44">
        <v>87.558833309999997</v>
      </c>
      <c r="NU18" s="44">
        <v>98.122540729999997</v>
      </c>
      <c r="NV18" s="44">
        <v>0</v>
      </c>
      <c r="NW18" s="44">
        <v>98.122540729999997</v>
      </c>
      <c r="NX18" s="50">
        <f t="shared" si="67"/>
        <v>1104.8404664699999</v>
      </c>
      <c r="NY18" s="50">
        <f t="shared" si="40"/>
        <v>0</v>
      </c>
      <c r="NZ18" s="50">
        <f t="shared" si="41"/>
        <v>1104.8404664699999</v>
      </c>
      <c r="OA18" s="50">
        <f t="shared" si="8"/>
        <v>1104.8404660000001</v>
      </c>
      <c r="OB18" s="50"/>
      <c r="OC18" s="50">
        <v>1104.8404660000001</v>
      </c>
      <c r="OD18" s="44">
        <v>94.489587659999998</v>
      </c>
      <c r="OE18" s="44"/>
      <c r="OF18" s="44">
        <v>94.489587659999998</v>
      </c>
      <c r="OG18" s="50">
        <v>85.432088590000006</v>
      </c>
      <c r="OH18" s="44"/>
      <c r="OI18" s="44">
        <v>85.432088590000006</v>
      </c>
      <c r="OJ18" s="44">
        <v>83.467417219999987</v>
      </c>
      <c r="OK18" s="44"/>
      <c r="OL18" s="44">
        <v>83.467417219999987</v>
      </c>
      <c r="OM18" s="44">
        <v>94.762113360000015</v>
      </c>
      <c r="ON18" s="44"/>
      <c r="OO18" s="44">
        <v>94.762113360000015</v>
      </c>
      <c r="OP18" s="44">
        <v>89.708789329999988</v>
      </c>
      <c r="OQ18" s="44"/>
      <c r="OR18" s="44">
        <v>89.708789329999988</v>
      </c>
      <c r="OS18" s="44">
        <v>99.295791589999993</v>
      </c>
      <c r="OT18" s="44"/>
      <c r="OU18" s="44">
        <v>99.295791589999993</v>
      </c>
      <c r="OV18" s="44">
        <v>97.606663669999989</v>
      </c>
      <c r="OW18" s="44"/>
      <c r="OX18" s="44">
        <v>97.606663669999989</v>
      </c>
      <c r="OY18" s="95">
        <v>99.319585369999999</v>
      </c>
      <c r="OZ18" s="44"/>
      <c r="PA18" s="95">
        <v>99.319585369999999</v>
      </c>
      <c r="PB18" s="44">
        <v>108.36951241999998</v>
      </c>
      <c r="PC18" s="44"/>
      <c r="PD18" s="44">
        <v>108.36951241999998</v>
      </c>
      <c r="PE18" s="44">
        <v>96.951422370000017</v>
      </c>
      <c r="PF18" s="44"/>
      <c r="PG18" s="44">
        <v>96.951422370000017</v>
      </c>
      <c r="PH18" s="44">
        <v>96.244255089999996</v>
      </c>
      <c r="PI18" s="44"/>
      <c r="PJ18" s="44">
        <v>96.244255089999996</v>
      </c>
      <c r="PK18" s="44">
        <v>85.386054009999995</v>
      </c>
      <c r="PL18" s="44"/>
      <c r="PM18" s="44">
        <v>85.386054009999995</v>
      </c>
      <c r="PN18" s="50">
        <f t="shared" si="68"/>
        <v>1131.03328068</v>
      </c>
      <c r="PO18" s="50">
        <f t="shared" si="42"/>
        <v>0</v>
      </c>
      <c r="PP18" s="50">
        <f t="shared" si="43"/>
        <v>1131.03328068</v>
      </c>
      <c r="PQ18" s="50">
        <f t="shared" si="9"/>
        <v>1131.033281</v>
      </c>
      <c r="PR18" s="50"/>
      <c r="PS18" s="50">
        <v>1131.033281</v>
      </c>
      <c r="PT18" s="44">
        <v>101.65742056999999</v>
      </c>
      <c r="PU18" s="44"/>
      <c r="PV18" s="44">
        <v>101.65742056999999</v>
      </c>
      <c r="PW18" s="44">
        <v>85.200088219999998</v>
      </c>
      <c r="PX18" s="44"/>
      <c r="PY18" s="44">
        <v>85.200088219999998</v>
      </c>
      <c r="PZ18" s="44">
        <v>92.239320810000009</v>
      </c>
      <c r="QA18" s="44"/>
      <c r="QB18" s="44">
        <v>92.239320810000009</v>
      </c>
      <c r="QC18" s="44">
        <v>93.143622550000003</v>
      </c>
      <c r="QD18" s="44"/>
      <c r="QE18" s="44">
        <v>93.143622550000003</v>
      </c>
      <c r="QF18" s="44">
        <v>94.581915230000007</v>
      </c>
      <c r="QG18" s="44"/>
      <c r="QH18" s="44">
        <v>94.581915230000007</v>
      </c>
      <c r="QI18" s="44">
        <v>105.70550191999999</v>
      </c>
      <c r="QJ18" s="44"/>
      <c r="QK18" s="44">
        <v>105.70550191999999</v>
      </c>
      <c r="QL18" s="44">
        <v>100.8234592</v>
      </c>
      <c r="QM18" s="44"/>
      <c r="QN18" s="44">
        <v>100.8234592</v>
      </c>
      <c r="QO18" s="44">
        <v>101.00952856000001</v>
      </c>
      <c r="QP18" s="44"/>
      <c r="QQ18" s="44">
        <v>101.00952856000001</v>
      </c>
      <c r="QR18" s="44">
        <v>106.89766510000001</v>
      </c>
      <c r="QS18" s="44"/>
      <c r="QT18" s="44">
        <v>106.89766510000001</v>
      </c>
      <c r="QU18" s="50">
        <v>91.657523700000013</v>
      </c>
      <c r="QV18" s="44"/>
      <c r="QW18" s="44">
        <v>91.657523700000013</v>
      </c>
      <c r="QX18" s="50">
        <v>92.613513190000006</v>
      </c>
      <c r="QY18" s="44"/>
      <c r="QZ18" s="44">
        <v>92.613513190000006</v>
      </c>
      <c r="RA18" s="50">
        <v>89.23925869</v>
      </c>
      <c r="RB18" s="44"/>
      <c r="RC18" s="44">
        <v>89.23925869</v>
      </c>
      <c r="RD18" s="50">
        <f t="shared" si="52"/>
        <v>1154.7688177400003</v>
      </c>
      <c r="RE18" s="50">
        <f t="shared" si="53"/>
        <v>0</v>
      </c>
      <c r="RF18" s="50">
        <f t="shared" si="54"/>
        <v>1154.7688177400003</v>
      </c>
      <c r="RG18" s="50">
        <f t="shared" si="11"/>
        <v>1154.7688189999999</v>
      </c>
      <c r="RH18" s="50"/>
      <c r="RI18" s="50">
        <v>1154.7688189999999</v>
      </c>
      <c r="RJ18" s="50">
        <v>100.78356593000001</v>
      </c>
      <c r="RK18" s="50"/>
      <c r="RL18" s="50">
        <v>100.78356593000001</v>
      </c>
      <c r="RM18" s="50">
        <v>91.032900139999995</v>
      </c>
      <c r="RN18" s="50"/>
      <c r="RO18" s="50">
        <v>91.032900139999995</v>
      </c>
      <c r="RP18" s="50">
        <v>83.272342719999983</v>
      </c>
      <c r="RQ18" s="50"/>
      <c r="RR18" s="50">
        <v>83.272342719999983</v>
      </c>
      <c r="RS18" s="50">
        <v>98.178624989999989</v>
      </c>
      <c r="RT18" s="50"/>
      <c r="RU18" s="50">
        <v>98.178624989999989</v>
      </c>
      <c r="RV18" s="50">
        <v>97.76223573</v>
      </c>
      <c r="RW18" s="50"/>
      <c r="RX18" s="50">
        <v>97.76223573</v>
      </c>
      <c r="RY18" s="50">
        <v>107.28923574</v>
      </c>
      <c r="RZ18" s="50"/>
      <c r="SA18" s="50">
        <v>107.28923574</v>
      </c>
      <c r="SB18" s="50">
        <v>101.98135866</v>
      </c>
      <c r="SC18" s="50"/>
      <c r="SD18" s="50">
        <v>101.98135866</v>
      </c>
      <c r="SE18" s="50">
        <v>109.54193059999999</v>
      </c>
      <c r="SF18" s="50"/>
      <c r="SG18" s="50">
        <v>109.54193059999999</v>
      </c>
      <c r="SH18" s="50">
        <v>107.15859218999999</v>
      </c>
      <c r="SI18" s="50"/>
      <c r="SJ18" s="50">
        <v>107.15859218999999</v>
      </c>
      <c r="SK18" s="50">
        <v>101.29949929</v>
      </c>
      <c r="SL18" s="50"/>
      <c r="SM18" s="50">
        <v>101.29949929</v>
      </c>
      <c r="SN18" s="50">
        <v>100.66668283</v>
      </c>
      <c r="SO18" s="50"/>
      <c r="SP18" s="50">
        <v>100.66668283</v>
      </c>
      <c r="SQ18" s="50">
        <v>91.830675939999992</v>
      </c>
      <c r="SR18" s="50"/>
      <c r="SS18" s="50">
        <v>91.830675939999992</v>
      </c>
      <c r="ST18" s="50">
        <f t="shared" si="55"/>
        <v>1190.7976447599999</v>
      </c>
      <c r="SU18" s="50">
        <f t="shared" si="65"/>
        <v>0</v>
      </c>
      <c r="SV18" s="50">
        <f t="shared" si="56"/>
        <v>1190.7976447599999</v>
      </c>
      <c r="SW18" s="50">
        <f t="shared" si="44"/>
        <v>1190.797646</v>
      </c>
      <c r="SX18" s="50"/>
      <c r="SY18" s="50">
        <v>1190.797646</v>
      </c>
      <c r="SZ18" s="50">
        <v>99.860340059999999</v>
      </c>
      <c r="TA18" s="50"/>
      <c r="TB18" s="50">
        <v>99.860340059999999</v>
      </c>
      <c r="TC18" s="50">
        <v>95.10325186</v>
      </c>
      <c r="TD18" s="50"/>
      <c r="TE18" s="50">
        <v>95.10325186</v>
      </c>
      <c r="TF18" s="50">
        <v>90.818549629999993</v>
      </c>
      <c r="TG18" s="50"/>
      <c r="TH18" s="50">
        <v>90.818549629999993</v>
      </c>
      <c r="TI18" s="50">
        <v>104.91310651999999</v>
      </c>
      <c r="TJ18" s="50"/>
      <c r="TK18" s="50">
        <v>104.91310651999999</v>
      </c>
      <c r="TL18" s="50">
        <v>112.31231529999999</v>
      </c>
      <c r="TM18" s="50"/>
      <c r="TN18" s="50">
        <v>112.31231529999999</v>
      </c>
      <c r="TO18" s="50">
        <v>99.439710959999985</v>
      </c>
      <c r="TP18" s="50"/>
      <c r="TQ18" s="50">
        <v>99.439710959999985</v>
      </c>
      <c r="TR18" s="50">
        <v>107.71003675999999</v>
      </c>
      <c r="TS18" s="50"/>
      <c r="TT18" s="50">
        <v>107.71003675999999</v>
      </c>
      <c r="TU18" s="50">
        <v>114.57613521</v>
      </c>
      <c r="TV18" s="50"/>
      <c r="TW18" s="50">
        <v>114.57613521</v>
      </c>
      <c r="TX18" s="50">
        <v>110.13749369000001</v>
      </c>
      <c r="TY18" s="50"/>
      <c r="TZ18" s="50">
        <v>110.13749369000001</v>
      </c>
      <c r="UA18" s="50">
        <v>106.96070463</v>
      </c>
      <c r="UB18" s="50"/>
      <c r="UC18" s="50">
        <v>106.96070463</v>
      </c>
      <c r="UD18" s="50">
        <v>104.06523453</v>
      </c>
      <c r="UE18" s="50"/>
      <c r="UF18" s="50">
        <v>104.06523453</v>
      </c>
      <c r="UG18" s="50">
        <v>98.886429530000015</v>
      </c>
      <c r="UH18" s="50"/>
      <c r="UI18" s="50">
        <v>98.886429530000015</v>
      </c>
      <c r="UJ18" s="50">
        <f t="shared" si="45"/>
        <v>1244.7833086799999</v>
      </c>
      <c r="UK18" s="50">
        <f t="shared" si="15"/>
        <v>0</v>
      </c>
      <c r="UL18" s="50">
        <f t="shared" si="16"/>
        <v>1244.7833086799999</v>
      </c>
      <c r="UM18" s="50">
        <v>107.47964455</v>
      </c>
      <c r="UN18" s="50"/>
      <c r="UO18" s="50">
        <v>107.47964455</v>
      </c>
      <c r="UP18" s="50">
        <v>104.03680531000001</v>
      </c>
      <c r="UQ18" s="50"/>
      <c r="UR18" s="50">
        <v>104.03680531000001</v>
      </c>
      <c r="US18" s="50">
        <v>101.19427547000001</v>
      </c>
      <c r="UT18" s="50"/>
      <c r="UU18" s="50">
        <v>101.19427547000001</v>
      </c>
      <c r="UV18" s="50">
        <v>117.12522049</v>
      </c>
      <c r="UW18" s="50"/>
      <c r="UX18" s="50">
        <v>117.12522049</v>
      </c>
      <c r="UY18" s="50"/>
      <c r="UZ18" s="50"/>
      <c r="VA18" s="50"/>
      <c r="VB18" s="50"/>
      <c r="VC18" s="50"/>
      <c r="VD18" s="50"/>
      <c r="VE18" s="50"/>
      <c r="VF18" s="50"/>
      <c r="VG18" s="50"/>
      <c r="VH18" s="50"/>
      <c r="VI18" s="50"/>
      <c r="VJ18" s="50"/>
      <c r="VK18" s="50"/>
      <c r="VL18" s="50"/>
      <c r="VM18" s="50"/>
      <c r="VN18" s="50"/>
      <c r="VO18" s="50"/>
      <c r="VP18" s="50"/>
      <c r="VQ18" s="50"/>
      <c r="VR18" s="50"/>
      <c r="VS18" s="50"/>
      <c r="VT18" s="50"/>
      <c r="VU18" s="50"/>
      <c r="VV18" s="50"/>
      <c r="VW18" s="276">
        <f t="shared" si="57"/>
        <v>390.69524799999999</v>
      </c>
      <c r="VX18" s="292">
        <f t="shared" si="58"/>
        <v>0</v>
      </c>
      <c r="VY18" s="292">
        <f t="shared" si="59"/>
        <v>390.69524799999999</v>
      </c>
      <c r="VZ18" s="276">
        <f t="shared" si="60"/>
        <v>429.83594599999998</v>
      </c>
      <c r="WA18" s="292">
        <f t="shared" si="61"/>
        <v>0</v>
      </c>
      <c r="WB18" s="292">
        <f t="shared" si="62"/>
        <v>429.83594599999998</v>
      </c>
      <c r="WC18" s="277">
        <f t="shared" si="63"/>
        <v>39.140697999999986</v>
      </c>
      <c r="WD18" s="277">
        <f t="shared" si="64"/>
        <v>10.018217063136632</v>
      </c>
    </row>
    <row r="19" spans="1:602" s="12" customFormat="1" ht="20.5">
      <c r="A19" s="47" t="s">
        <v>60</v>
      </c>
      <c r="C19" s="47" t="s">
        <v>61</v>
      </c>
      <c r="D19" s="45">
        <v>106.81607105252674</v>
      </c>
      <c r="E19" s="42">
        <v>91.885815960068527</v>
      </c>
      <c r="F19" s="42">
        <v>55.092214899175303</v>
      </c>
      <c r="G19" s="42">
        <v>54.751980637560401</v>
      </c>
      <c r="H19" s="42">
        <v>11.742599643712898</v>
      </c>
      <c r="I19" s="42">
        <v>8.0308450151108985</v>
      </c>
      <c r="J19" s="42">
        <v>10.682847564897184</v>
      </c>
      <c r="K19" s="42">
        <v>11.73794543002032</v>
      </c>
      <c r="L19" s="42">
        <v>10.882203288541328</v>
      </c>
      <c r="M19" s="42">
        <v>11.566016983397933</v>
      </c>
      <c r="N19" s="42">
        <v>15.03691783199868</v>
      </c>
      <c r="O19" s="42">
        <v>11.324771913648755</v>
      </c>
      <c r="P19" s="42">
        <v>11.987403315860467</v>
      </c>
      <c r="Q19" s="42">
        <v>15.38714634521147</v>
      </c>
      <c r="R19" s="42">
        <v>10.187747935413004</v>
      </c>
      <c r="S19" s="42">
        <v>15.686396207192901</v>
      </c>
      <c r="T19" s="42">
        <v>144.25284147500582</v>
      </c>
      <c r="U19" s="42">
        <v>0</v>
      </c>
      <c r="V19" s="42">
        <v>144.25284147500582</v>
      </c>
      <c r="W19" s="42">
        <v>144.25284147500582</v>
      </c>
      <c r="X19" s="42">
        <v>15.768337971895436</v>
      </c>
      <c r="Y19" s="42">
        <v>8.9074635317954929</v>
      </c>
      <c r="Z19" s="42">
        <v>11.958252941076033</v>
      </c>
      <c r="AA19" s="42">
        <v>13.94954496559496</v>
      </c>
      <c r="AB19" s="42">
        <v>11.487196999447926</v>
      </c>
      <c r="AC19" s="42">
        <v>12.850568579575528</v>
      </c>
      <c r="AD19" s="42">
        <v>16.206739005469522</v>
      </c>
      <c r="AE19" s="42">
        <v>12.24851309895789</v>
      </c>
      <c r="AF19" s="42">
        <v>12.302939368586408</v>
      </c>
      <c r="AG19" s="42">
        <v>17.219569040585995</v>
      </c>
      <c r="AH19" s="42">
        <v>11.334683638681623</v>
      </c>
      <c r="AI19" s="42">
        <v>12.34930933802312</v>
      </c>
      <c r="AJ19" s="42">
        <f t="shared" si="46"/>
        <v>156.58311847968989</v>
      </c>
      <c r="AK19" s="42">
        <v>0</v>
      </c>
      <c r="AL19" s="42">
        <v>156.58311847968989</v>
      </c>
      <c r="AM19" s="42">
        <v>156.58311847968992</v>
      </c>
      <c r="AN19" s="42">
        <v>17.560675522620816</v>
      </c>
      <c r="AO19" s="42">
        <v>10.656656763478864</v>
      </c>
      <c r="AP19" s="42">
        <v>11.737676507248109</v>
      </c>
      <c r="AQ19" s="42">
        <v>15.593923768219875</v>
      </c>
      <c r="AR19" s="42">
        <v>12.03770894872539</v>
      </c>
      <c r="AS19" s="42">
        <v>12.189014291324465</v>
      </c>
      <c r="AT19" s="42">
        <v>17.247353458432222</v>
      </c>
      <c r="AU19" s="42">
        <v>12.337717201381894</v>
      </c>
      <c r="AV19" s="42">
        <v>12.46087529382303</v>
      </c>
      <c r="AW19" s="42">
        <v>15.355009362496515</v>
      </c>
      <c r="AX19" s="42">
        <v>12.035728311164993</v>
      </c>
      <c r="AY19" s="42">
        <v>13.871691111604372</v>
      </c>
      <c r="AZ19" s="42">
        <v>163.08403054052053</v>
      </c>
      <c r="BA19" s="42"/>
      <c r="BB19" s="42">
        <v>163.08403054052053</v>
      </c>
      <c r="BC19" s="45">
        <f t="shared" si="21"/>
        <v>163.08403054052053</v>
      </c>
      <c r="BD19" s="45"/>
      <c r="BE19" s="45">
        <v>163.08403054052053</v>
      </c>
      <c r="BF19" s="44">
        <f t="shared" ref="BF19:BL19" si="72">BF20+BF21+BF24+BF25+BF26+BF27+BF28+BF29</f>
        <v>18.859175999999998</v>
      </c>
      <c r="BG19" s="118">
        <f t="shared" si="72"/>
        <v>0</v>
      </c>
      <c r="BH19" s="50">
        <f t="shared" si="72"/>
        <v>18.859175999999998</v>
      </c>
      <c r="BI19" s="44">
        <f t="shared" si="72"/>
        <v>11.996338999999999</v>
      </c>
      <c r="BJ19" s="119">
        <f t="shared" si="72"/>
        <v>0</v>
      </c>
      <c r="BK19" s="50">
        <f t="shared" si="72"/>
        <v>11.996338999999999</v>
      </c>
      <c r="BL19" s="44">
        <f t="shared" si="72"/>
        <v>15.812757999999999</v>
      </c>
      <c r="BM19" s="50"/>
      <c r="BN19" s="50">
        <f>BN20+BN21+BN24+BN25+BN26+BN27+BN28+BN29</f>
        <v>15.812757999999999</v>
      </c>
      <c r="BO19" s="44">
        <f>BO20+BO21+BO24+BO25+BO26+BO27+BO28+BO29</f>
        <v>19.969612000000001</v>
      </c>
      <c r="BP19" s="50"/>
      <c r="BQ19" s="50">
        <f>BQ20+BQ21+BQ24+BQ25+BQ26+BQ27+BQ28+BQ29</f>
        <v>19.969612000000001</v>
      </c>
      <c r="BR19" s="44">
        <f>BR20+BR21+BR24+BR25+BR26+BR27+BR28+BR29</f>
        <v>17.570584</v>
      </c>
      <c r="BS19" s="50"/>
      <c r="BT19" s="50">
        <f>BT20+BT21+BT24+BT25+BT26+BT27+BT28+BT29</f>
        <v>17.570584</v>
      </c>
      <c r="BU19" s="44">
        <f>BU20+BU21+BU24+BU25+BU26+BU27+BU28+BU29</f>
        <v>15.489409999999998</v>
      </c>
      <c r="BV19" s="50"/>
      <c r="BW19" s="50">
        <f>BW20+BW21+BW24+BW25+BW26+BW27+BW28+BW29</f>
        <v>15.489409999999998</v>
      </c>
      <c r="BX19" s="44">
        <f>BX20+BX21+BX24+BX25+BX26+BX27+BX28+BX29</f>
        <v>20.317038999999998</v>
      </c>
      <c r="BY19" s="50"/>
      <c r="BZ19" s="50">
        <f>BZ20+BZ21+BZ24+BZ25+BZ26+BZ27+BZ28+BZ29</f>
        <v>20.317038999999998</v>
      </c>
      <c r="CA19" s="44">
        <f>CA20+CA21+CA24+CA25+CA26+CA27+CA28+CA29</f>
        <v>14.544630000000002</v>
      </c>
      <c r="CB19" s="50"/>
      <c r="CC19" s="50">
        <f>CC20+CC21+CC24+CC25+CC26+CC27+CC28+CC29</f>
        <v>14.544630000000002</v>
      </c>
      <c r="CD19" s="44">
        <f>CD20+CD21+CD24+CD25+CD26+CD27+CD28+CD29</f>
        <v>16.93648546</v>
      </c>
      <c r="CE19" s="50"/>
      <c r="CF19" s="50">
        <f>CF20+CF21+CF24+CF25+CF26+CF27+CF28+CF29</f>
        <v>16.93648546</v>
      </c>
      <c r="CG19" s="44">
        <f>CG20+CG21+CG24+CG25+CG26+CG27+CG28+CG29</f>
        <v>16.431924259999999</v>
      </c>
      <c r="CH19" s="50"/>
      <c r="CI19" s="50">
        <f>CI20+CI21+CI24+CI25+CI26+CI27+CI28+CI29</f>
        <v>16.431924259999999</v>
      </c>
      <c r="CJ19" s="44">
        <f>CJ20+CJ21+CJ24+CJ25+CJ26+CJ27+CJ28+CJ29</f>
        <v>14.51008652</v>
      </c>
      <c r="CK19" s="45"/>
      <c r="CL19" s="50">
        <f>CL20+CL21+CL24+CL25+CL26+CL27+CL28+CL29</f>
        <v>14.51008652</v>
      </c>
      <c r="CM19" s="44">
        <f>CM20+CM21+CM24+CM25+CM26+CM27+CM28+CM29</f>
        <v>17.05851848</v>
      </c>
      <c r="CN19" s="45"/>
      <c r="CO19" s="50">
        <f>CO20+CO21+CO24+CO25+CO26+CO27+CO28+CO29</f>
        <v>17.05851848</v>
      </c>
      <c r="CP19" s="50">
        <f t="shared" si="24"/>
        <v>199.49656271999996</v>
      </c>
      <c r="CQ19" s="50">
        <f t="shared" si="25"/>
        <v>0</v>
      </c>
      <c r="CR19" s="50">
        <f t="shared" si="26"/>
        <v>199.49656271999996</v>
      </c>
      <c r="CS19" s="45">
        <f t="shared" si="2"/>
        <v>199.49656299999998</v>
      </c>
      <c r="CT19" s="45"/>
      <c r="CU19" s="45">
        <f>CU20+CU21+CU24+CU25+CU26+CU27+CU28+CU29</f>
        <v>199.49656299999998</v>
      </c>
      <c r="CV19" s="44">
        <f>CV20+CV21+CV24+CV25+CV26+CV27+CV28+CV29</f>
        <v>25.023479199999997</v>
      </c>
      <c r="CW19" s="45"/>
      <c r="CX19" s="50">
        <f>CX20+CX21+CX24+CX25+CX26+CX27+CX28+CX29</f>
        <v>25.023479199999997</v>
      </c>
      <c r="CY19" s="44">
        <v>13.636759619999999</v>
      </c>
      <c r="CZ19" s="45"/>
      <c r="DA19" s="50">
        <v>13.636759619999999</v>
      </c>
      <c r="DB19" s="44">
        <v>17.957565119999998</v>
      </c>
      <c r="DC19" s="45"/>
      <c r="DD19" s="50">
        <v>17.957565119999998</v>
      </c>
      <c r="DE19" s="44">
        <v>20.830230100000001</v>
      </c>
      <c r="DF19" s="45"/>
      <c r="DG19" s="50">
        <v>20.830230100000001</v>
      </c>
      <c r="DH19" s="44">
        <v>15.228793599999999</v>
      </c>
      <c r="DI19" s="45"/>
      <c r="DJ19" s="50">
        <v>15.228793599999999</v>
      </c>
      <c r="DK19" s="44">
        <v>17.791905729999996</v>
      </c>
      <c r="DL19" s="45"/>
      <c r="DM19" s="50">
        <v>17.791905729999996</v>
      </c>
      <c r="DN19" s="44">
        <v>22.490116139999998</v>
      </c>
      <c r="DO19" s="45"/>
      <c r="DP19" s="50">
        <v>22.490116139999998</v>
      </c>
      <c r="DQ19" s="44">
        <v>14.739057599999999</v>
      </c>
      <c r="DR19" s="45"/>
      <c r="DS19" s="50">
        <v>14.739057599999999</v>
      </c>
      <c r="DT19" s="44">
        <v>17.497882660000002</v>
      </c>
      <c r="DU19" s="45"/>
      <c r="DV19" s="50">
        <v>17.497882660000002</v>
      </c>
      <c r="DW19" s="44">
        <v>21.836912540000004</v>
      </c>
      <c r="DX19" s="45"/>
      <c r="DY19" s="50">
        <v>21.836912540000004</v>
      </c>
      <c r="DZ19" s="44">
        <v>14.015762179999999</v>
      </c>
      <c r="EA19" s="45"/>
      <c r="EB19" s="50">
        <v>14.015762179999999</v>
      </c>
      <c r="EC19" s="44">
        <v>18.276910570000002</v>
      </c>
      <c r="ED19" s="45"/>
      <c r="EE19" s="50">
        <v>18.276910570000002</v>
      </c>
      <c r="EF19" s="50">
        <f t="shared" si="27"/>
        <v>219.32537506</v>
      </c>
      <c r="EG19" s="50">
        <f t="shared" si="28"/>
        <v>0</v>
      </c>
      <c r="EH19" s="50">
        <f t="shared" si="29"/>
        <v>219.32537506</v>
      </c>
      <c r="EI19" s="50">
        <f t="shared" si="70"/>
        <v>219.32537518999999</v>
      </c>
      <c r="EJ19" s="50"/>
      <c r="EK19" s="50">
        <f>EK20+EK21+EK24+EK25+EK26+EK27+EK28+EK29</f>
        <v>219.32537518999999</v>
      </c>
      <c r="EL19" s="50">
        <v>22.515348219999996</v>
      </c>
      <c r="EM19" s="50"/>
      <c r="EN19" s="50">
        <v>22.515348219999996</v>
      </c>
      <c r="EO19" s="50">
        <v>15.228021739999999</v>
      </c>
      <c r="EP19" s="50"/>
      <c r="EQ19" s="50">
        <v>15.228021739999999</v>
      </c>
      <c r="ER19" s="50">
        <v>17.987395960000001</v>
      </c>
      <c r="ES19" s="50"/>
      <c r="ET19" s="50">
        <v>17.987395960000001</v>
      </c>
      <c r="EU19" s="50">
        <v>20.823219239999997</v>
      </c>
      <c r="EV19" s="50"/>
      <c r="EW19" s="50">
        <v>20.823219239999997</v>
      </c>
      <c r="EX19" s="50">
        <v>17.404067649999998</v>
      </c>
      <c r="EY19" s="50"/>
      <c r="EZ19" s="50">
        <v>17.404067649999998</v>
      </c>
      <c r="FA19" s="50">
        <v>17.695550879999999</v>
      </c>
      <c r="FB19" s="50"/>
      <c r="FC19" s="50">
        <v>17.695550879999999</v>
      </c>
      <c r="FD19" s="50">
        <v>21.012273399999998</v>
      </c>
      <c r="FE19" s="50"/>
      <c r="FF19" s="50">
        <v>21.012273399999998</v>
      </c>
      <c r="FG19" s="50">
        <v>16.557473309999999</v>
      </c>
      <c r="FH19" s="50"/>
      <c r="FI19" s="50">
        <v>16.557473309999999</v>
      </c>
      <c r="FJ19" s="50">
        <v>17.023592399999998</v>
      </c>
      <c r="FK19" s="50"/>
      <c r="FL19" s="50">
        <v>17.023592399999998</v>
      </c>
      <c r="FM19" s="50">
        <v>25.653490740000002</v>
      </c>
      <c r="FN19" s="50"/>
      <c r="FO19" s="50">
        <v>25.653490740000002</v>
      </c>
      <c r="FP19" s="50">
        <v>14.89059267</v>
      </c>
      <c r="FQ19" s="50"/>
      <c r="FR19" s="50">
        <v>14.89059267</v>
      </c>
      <c r="FS19" s="50">
        <v>17.93412988</v>
      </c>
      <c r="FT19" s="50"/>
      <c r="FU19" s="50">
        <v>17.93412988</v>
      </c>
      <c r="FV19" s="50">
        <f t="shared" si="30"/>
        <v>224.72515608999998</v>
      </c>
      <c r="FW19" s="50">
        <f t="shared" si="31"/>
        <v>0</v>
      </c>
      <c r="FX19" s="50">
        <f t="shared" si="32"/>
        <v>224.72515608999998</v>
      </c>
      <c r="FY19" s="50">
        <f t="shared" si="71"/>
        <v>224.725157</v>
      </c>
      <c r="FZ19" s="50"/>
      <c r="GA19" s="50">
        <f>GA20+GA21+GA24+GA25+GA26+GA27+GA28+GA29</f>
        <v>224.725157</v>
      </c>
      <c r="GB19" s="50">
        <v>23.54848831</v>
      </c>
      <c r="GC19" s="50"/>
      <c r="GD19" s="50">
        <v>23.54848831</v>
      </c>
      <c r="GE19" s="50">
        <v>15.06737223</v>
      </c>
      <c r="GF19" s="50"/>
      <c r="GG19" s="50">
        <v>15.06737223</v>
      </c>
      <c r="GH19" s="50">
        <v>18.889870260000002</v>
      </c>
      <c r="GI19" s="50"/>
      <c r="GJ19" s="50">
        <v>18.889870260000002</v>
      </c>
      <c r="GK19" s="50">
        <v>22.617212979999998</v>
      </c>
      <c r="GL19" s="50"/>
      <c r="GM19" s="50">
        <v>22.617212979999998</v>
      </c>
      <c r="GN19" s="50">
        <v>17.56126308</v>
      </c>
      <c r="GO19" s="50"/>
      <c r="GP19" s="50">
        <v>17.56126308</v>
      </c>
      <c r="GQ19" s="50">
        <v>18.99885329</v>
      </c>
      <c r="GR19" s="50"/>
      <c r="GS19" s="50">
        <v>18.99885329</v>
      </c>
      <c r="GT19" s="50">
        <v>25.633848990000001</v>
      </c>
      <c r="GU19" s="50"/>
      <c r="GV19" s="50">
        <v>25.633848990000001</v>
      </c>
      <c r="GW19" s="50">
        <v>17.984631950000001</v>
      </c>
      <c r="GX19" s="50"/>
      <c r="GY19" s="50">
        <v>17.984631950000001</v>
      </c>
      <c r="GZ19" s="50">
        <v>18.022560300000002</v>
      </c>
      <c r="HA19" s="50"/>
      <c r="HB19" s="50">
        <v>18.022560300000002</v>
      </c>
      <c r="HC19" s="50">
        <v>24.075798389999999</v>
      </c>
      <c r="HD19" s="50"/>
      <c r="HE19" s="50">
        <v>24.075798389999999</v>
      </c>
      <c r="HF19" s="50">
        <v>15.95880666</v>
      </c>
      <c r="HG19" s="50"/>
      <c r="HH19" s="50">
        <v>15.95880666</v>
      </c>
      <c r="HI19" s="50">
        <v>20.168978469999999</v>
      </c>
      <c r="HJ19" s="50"/>
      <c r="HK19" s="50">
        <v>20.168978469999999</v>
      </c>
      <c r="HL19" s="50">
        <f t="shared" si="33"/>
        <v>238.52768491</v>
      </c>
      <c r="HM19" s="50">
        <f t="shared" si="34"/>
        <v>0</v>
      </c>
      <c r="HN19" s="50">
        <f t="shared" si="35"/>
        <v>238.52768491</v>
      </c>
      <c r="HO19" s="50">
        <f t="shared" si="3"/>
        <v>238.52768499999996</v>
      </c>
      <c r="HP19" s="50"/>
      <c r="HQ19" s="50">
        <f>HQ20+HQ21+HQ24+HQ25+HQ26+HQ27+HQ28+HQ29</f>
        <v>238.52768499999996</v>
      </c>
      <c r="HR19" s="50">
        <v>30.791952940000002</v>
      </c>
      <c r="HS19" s="50">
        <v>0</v>
      </c>
      <c r="HT19" s="50">
        <v>30.791952940000002</v>
      </c>
      <c r="HU19" s="50">
        <v>16.31607429</v>
      </c>
      <c r="HV19" s="50">
        <v>0</v>
      </c>
      <c r="HW19" s="50">
        <v>16.31607429</v>
      </c>
      <c r="HX19" s="50">
        <v>17.552814870000002</v>
      </c>
      <c r="HY19" s="50">
        <v>0</v>
      </c>
      <c r="HZ19" s="50">
        <v>17.552814870000002</v>
      </c>
      <c r="IA19" s="50">
        <v>23.079772750000004</v>
      </c>
      <c r="IB19" s="50">
        <v>0</v>
      </c>
      <c r="IC19" s="50">
        <v>23.07977275</v>
      </c>
      <c r="ID19" s="50">
        <v>16.798563309999999</v>
      </c>
      <c r="IE19" s="50">
        <v>0</v>
      </c>
      <c r="IF19" s="50">
        <v>16.798563309999999</v>
      </c>
      <c r="IG19" s="50">
        <v>17.410198309999998</v>
      </c>
      <c r="IH19" s="50">
        <v>0</v>
      </c>
      <c r="II19" s="50">
        <v>17.410198309999998</v>
      </c>
      <c r="IJ19" s="50">
        <v>23.736335590000007</v>
      </c>
      <c r="IK19" s="50">
        <v>0</v>
      </c>
      <c r="IL19" s="50">
        <v>23.736335590000003</v>
      </c>
      <c r="IM19" s="50">
        <v>16.417432209999998</v>
      </c>
      <c r="IN19" s="50">
        <v>0</v>
      </c>
      <c r="IO19" s="50">
        <v>16.417432209999998</v>
      </c>
      <c r="IP19" s="50">
        <v>16.717122379999999</v>
      </c>
      <c r="IQ19" s="50">
        <v>0</v>
      </c>
      <c r="IR19" s="50">
        <v>16.717122379999999</v>
      </c>
      <c r="IS19" s="50">
        <v>23.352504409999998</v>
      </c>
      <c r="IT19" s="50">
        <v>0</v>
      </c>
      <c r="IU19" s="50">
        <v>23.352504409999998</v>
      </c>
      <c r="IV19" s="50">
        <v>14.48127582</v>
      </c>
      <c r="IW19" s="50">
        <v>0</v>
      </c>
      <c r="IX19" s="50">
        <v>14.48127582</v>
      </c>
      <c r="IY19" s="50">
        <v>15.907395449999999</v>
      </c>
      <c r="IZ19" s="50">
        <v>0</v>
      </c>
      <c r="JA19" s="50">
        <v>15.907395450000001</v>
      </c>
      <c r="JB19" s="50">
        <f t="shared" si="36"/>
        <v>232.56144233000001</v>
      </c>
      <c r="JC19" s="50">
        <f t="shared" si="37"/>
        <v>0</v>
      </c>
      <c r="JD19" s="50">
        <f t="shared" si="38"/>
        <v>232.56144233000001</v>
      </c>
      <c r="JE19" s="50">
        <f t="shared" si="4"/>
        <v>232.56144300000003</v>
      </c>
      <c r="JF19" s="50"/>
      <c r="JG19" s="50">
        <f>JG20+JG21+JG24+JG25+JG26+JG27+JG28+JG29</f>
        <v>232.56144300000003</v>
      </c>
      <c r="JH19" s="50">
        <v>26.42217273</v>
      </c>
      <c r="JI19" s="50">
        <v>0</v>
      </c>
      <c r="JJ19" s="50">
        <v>26.42217273</v>
      </c>
      <c r="JK19" s="50">
        <v>14.072942239999998</v>
      </c>
      <c r="JL19" s="50">
        <v>0</v>
      </c>
      <c r="JM19" s="50">
        <v>14.072942239999998</v>
      </c>
      <c r="JN19" s="50">
        <v>18.650573649999998</v>
      </c>
      <c r="JO19" s="50">
        <v>0</v>
      </c>
      <c r="JP19" s="50">
        <v>18.650573649999998</v>
      </c>
      <c r="JQ19" s="50">
        <v>23.392942229999999</v>
      </c>
      <c r="JR19" s="50">
        <v>0</v>
      </c>
      <c r="JS19" s="50">
        <v>23.392942229999999</v>
      </c>
      <c r="JT19" s="50">
        <v>19.026968710000002</v>
      </c>
      <c r="JU19" s="50">
        <v>0</v>
      </c>
      <c r="JV19" s="50">
        <v>19.026968710000002</v>
      </c>
      <c r="JW19" s="50">
        <v>15.892339359999998</v>
      </c>
      <c r="JX19" s="50">
        <v>0</v>
      </c>
      <c r="JY19" s="50">
        <v>15.892339359999999</v>
      </c>
      <c r="JZ19" s="50">
        <v>23.636323810000007</v>
      </c>
      <c r="KA19" s="50">
        <v>0</v>
      </c>
      <c r="KB19" s="50">
        <v>23.636323810000004</v>
      </c>
      <c r="KC19" s="50">
        <v>15.099181079999999</v>
      </c>
      <c r="KD19" s="50">
        <v>0</v>
      </c>
      <c r="KE19" s="50">
        <v>15.099181079999999</v>
      </c>
      <c r="KF19" s="50">
        <v>17.174831380000001</v>
      </c>
      <c r="KG19" s="50">
        <v>0</v>
      </c>
      <c r="KH19" s="50">
        <v>17.174831380000001</v>
      </c>
      <c r="KI19" s="50">
        <v>24.537194389999996</v>
      </c>
      <c r="KJ19" s="50">
        <v>0</v>
      </c>
      <c r="KK19" s="50">
        <v>24.53719439</v>
      </c>
      <c r="KL19" s="50">
        <v>12.79547524</v>
      </c>
      <c r="KM19" s="50">
        <v>0</v>
      </c>
      <c r="KN19" s="50">
        <v>12.795475240000002</v>
      </c>
      <c r="KO19" s="50">
        <v>15.280814950000003</v>
      </c>
      <c r="KP19" s="50">
        <v>0</v>
      </c>
      <c r="KQ19" s="50">
        <v>15.280814950000002</v>
      </c>
      <c r="KR19" s="50">
        <f t="shared" si="48"/>
        <v>225.98175977</v>
      </c>
      <c r="KS19" s="50">
        <f t="shared" si="39"/>
        <v>0</v>
      </c>
      <c r="KT19" s="50">
        <f t="shared" si="49"/>
        <v>225.98175977</v>
      </c>
      <c r="KU19" s="50">
        <f t="shared" si="5"/>
        <v>225.98175999999998</v>
      </c>
      <c r="KV19" s="50"/>
      <c r="KW19" s="50">
        <f>KW20+KW21+KW24+KW25+KW26+KW27+KW28+KW29</f>
        <v>225.98175999999998</v>
      </c>
      <c r="KX19" s="50">
        <v>27.791874570000004</v>
      </c>
      <c r="KY19" s="50">
        <v>0</v>
      </c>
      <c r="KZ19" s="50">
        <v>27.791874570000004</v>
      </c>
      <c r="LA19" s="50">
        <v>16.616820969999999</v>
      </c>
      <c r="LB19" s="50">
        <v>0</v>
      </c>
      <c r="LC19" s="50">
        <v>16.616820969999999</v>
      </c>
      <c r="LD19" s="50">
        <v>19.582988390000001</v>
      </c>
      <c r="LE19" s="50">
        <v>0</v>
      </c>
      <c r="LF19" s="50">
        <v>19.582988390000001</v>
      </c>
      <c r="LG19" s="50">
        <v>23.036859270000004</v>
      </c>
      <c r="LH19" s="50">
        <v>0</v>
      </c>
      <c r="LI19" s="174">
        <v>23.036859270000004</v>
      </c>
      <c r="LJ19" s="174">
        <v>13.578153989999999</v>
      </c>
      <c r="LK19" s="50">
        <v>0</v>
      </c>
      <c r="LL19" s="174">
        <v>13.578153990000001</v>
      </c>
      <c r="LM19" s="50">
        <v>14.82710848</v>
      </c>
      <c r="LN19" s="50">
        <v>0</v>
      </c>
      <c r="LO19" s="50">
        <v>14.82710848</v>
      </c>
      <c r="LP19" s="50">
        <v>24.300942990000003</v>
      </c>
      <c r="LQ19" s="50">
        <v>0</v>
      </c>
      <c r="LR19" s="44">
        <v>24.300942990000003</v>
      </c>
      <c r="LS19" s="50">
        <v>16.912376179999999</v>
      </c>
      <c r="LT19" s="50">
        <v>0</v>
      </c>
      <c r="LU19" s="52">
        <v>16.912376179999999</v>
      </c>
      <c r="LV19" s="44">
        <v>18.11222875</v>
      </c>
      <c r="LW19" s="44">
        <v>0</v>
      </c>
      <c r="LX19" s="44">
        <v>18.11222875</v>
      </c>
      <c r="LY19" s="50">
        <v>25.348148999999999</v>
      </c>
      <c r="LZ19" s="50">
        <v>0</v>
      </c>
      <c r="MA19" s="50">
        <v>25.348148999999999</v>
      </c>
      <c r="MB19" s="50">
        <v>13.997247590000002</v>
      </c>
      <c r="MC19" s="50">
        <v>0</v>
      </c>
      <c r="MD19" s="50">
        <v>13.997247590000001</v>
      </c>
      <c r="ME19" s="44">
        <v>15.739316629999999</v>
      </c>
      <c r="MF19" s="44">
        <v>0</v>
      </c>
      <c r="MG19" s="44">
        <v>15.739316629999999</v>
      </c>
      <c r="MH19" s="50">
        <f t="shared" si="66"/>
        <v>229.84406681000004</v>
      </c>
      <c r="MI19" s="50">
        <f t="shared" si="50"/>
        <v>0</v>
      </c>
      <c r="MJ19" s="50">
        <f t="shared" si="51"/>
        <v>229.84406681000004</v>
      </c>
      <c r="MK19" s="50">
        <f t="shared" si="7"/>
        <v>229.844067</v>
      </c>
      <c r="ML19" s="50"/>
      <c r="MM19" s="50">
        <f>MM20+MM21+MM24+MM25+MM26+MM27+MM28+MM29</f>
        <v>229.844067</v>
      </c>
      <c r="MN19" s="44">
        <v>25.15731675</v>
      </c>
      <c r="MO19" s="44">
        <v>0</v>
      </c>
      <c r="MP19" s="44">
        <v>25.15731675</v>
      </c>
      <c r="MQ19" s="44">
        <v>13.5849467</v>
      </c>
      <c r="MR19" s="44">
        <v>0</v>
      </c>
      <c r="MS19" s="44">
        <v>13.5849467</v>
      </c>
      <c r="MT19" s="44">
        <v>19.19859533</v>
      </c>
      <c r="MU19" s="44">
        <v>0</v>
      </c>
      <c r="MV19" s="44">
        <v>19.198595330000003</v>
      </c>
      <c r="MW19" s="44">
        <v>26.883847170000003</v>
      </c>
      <c r="MX19" s="44">
        <v>0</v>
      </c>
      <c r="MY19" s="44">
        <v>26.883847170000003</v>
      </c>
      <c r="MZ19" s="44">
        <v>16.179418269999999</v>
      </c>
      <c r="NA19" s="44">
        <v>0</v>
      </c>
      <c r="NB19" s="44">
        <v>16.179418269999999</v>
      </c>
      <c r="NC19" s="44">
        <v>17.733364039999998</v>
      </c>
      <c r="ND19" s="44">
        <v>0</v>
      </c>
      <c r="NE19" s="44">
        <v>17.733364039999998</v>
      </c>
      <c r="NF19" s="44">
        <v>30.284359200000001</v>
      </c>
      <c r="NG19" s="44">
        <v>0</v>
      </c>
      <c r="NH19" s="44">
        <v>30.284359200000001</v>
      </c>
      <c r="NI19" s="44">
        <v>17.61075554</v>
      </c>
      <c r="NJ19" s="44">
        <v>0</v>
      </c>
      <c r="NK19" s="44">
        <v>17.61075554</v>
      </c>
      <c r="NL19" s="44">
        <v>20.124512620000001</v>
      </c>
      <c r="NM19" s="44">
        <v>0</v>
      </c>
      <c r="NN19" s="44">
        <v>20.124512620000001</v>
      </c>
      <c r="NO19" s="44">
        <v>30.459335199999995</v>
      </c>
      <c r="NP19" s="44">
        <v>0</v>
      </c>
      <c r="NQ19" s="44">
        <v>30.459335199999995</v>
      </c>
      <c r="NR19" s="44">
        <v>16.946121460000001</v>
      </c>
      <c r="NS19" s="44">
        <v>0</v>
      </c>
      <c r="NT19" s="44">
        <v>16.946121460000001</v>
      </c>
      <c r="NU19" s="44">
        <v>20.34095825</v>
      </c>
      <c r="NV19" s="44">
        <v>0</v>
      </c>
      <c r="NW19" s="44">
        <v>20.34095825</v>
      </c>
      <c r="NX19" s="50">
        <f t="shared" si="67"/>
        <v>254.50353053000001</v>
      </c>
      <c r="NY19" s="50">
        <f t="shared" si="40"/>
        <v>0</v>
      </c>
      <c r="NZ19" s="50">
        <f t="shared" si="41"/>
        <v>254.50353053000001</v>
      </c>
      <c r="OA19" s="50">
        <f t="shared" si="8"/>
        <v>254.50352999999956</v>
      </c>
      <c r="OB19" s="50"/>
      <c r="OC19" s="50">
        <f>OC20+OC21+OC24+OC25+OC26+OC27+OC28+OC29</f>
        <v>254.50352999999956</v>
      </c>
      <c r="OD19" s="44">
        <v>37.249058179999992</v>
      </c>
      <c r="OE19" s="44"/>
      <c r="OF19" s="44">
        <v>37.249058179999992</v>
      </c>
      <c r="OG19" s="50">
        <v>16.627960259999998</v>
      </c>
      <c r="OH19" s="44"/>
      <c r="OI19" s="44">
        <v>16.627960259999998</v>
      </c>
      <c r="OJ19" s="44">
        <v>21.888093810000008</v>
      </c>
      <c r="OK19" s="44"/>
      <c r="OL19" s="44">
        <v>21.888093810000008</v>
      </c>
      <c r="OM19" s="44">
        <v>32.369691909999993</v>
      </c>
      <c r="ON19" s="44"/>
      <c r="OO19" s="44">
        <v>32.369691909999993</v>
      </c>
      <c r="OP19" s="44">
        <v>22.257966349999997</v>
      </c>
      <c r="OQ19" s="44"/>
      <c r="OR19" s="44">
        <v>22.257966349999997</v>
      </c>
      <c r="OS19" s="44">
        <v>23.236251630000005</v>
      </c>
      <c r="OT19" s="44"/>
      <c r="OU19" s="44">
        <v>23.236251630000005</v>
      </c>
      <c r="OV19" s="44">
        <v>34.849491250000007</v>
      </c>
      <c r="OW19" s="44"/>
      <c r="OX19" s="44">
        <v>34.849491250000007</v>
      </c>
      <c r="OY19" s="95">
        <v>19.023332000000003</v>
      </c>
      <c r="OZ19" s="44"/>
      <c r="PA19" s="95">
        <v>19.023332000000003</v>
      </c>
      <c r="PB19" s="44">
        <v>20.202392480000004</v>
      </c>
      <c r="PC19" s="44"/>
      <c r="PD19" s="44">
        <v>20.202392480000004</v>
      </c>
      <c r="PE19" s="44">
        <v>32.457007680000004</v>
      </c>
      <c r="PF19" s="44"/>
      <c r="PG19" s="44">
        <v>32.457007680000004</v>
      </c>
      <c r="PH19" s="44">
        <v>17.207875609999995</v>
      </c>
      <c r="PI19" s="44"/>
      <c r="PJ19" s="44">
        <v>17.207875609999995</v>
      </c>
      <c r="PK19" s="44">
        <v>22.224407939999995</v>
      </c>
      <c r="PL19" s="44"/>
      <c r="PM19" s="44">
        <v>22.224407939999995</v>
      </c>
      <c r="PN19" s="50">
        <f t="shared" si="68"/>
        <v>299.59352909999996</v>
      </c>
      <c r="PO19" s="50">
        <f t="shared" si="42"/>
        <v>0</v>
      </c>
      <c r="PP19" s="50">
        <f t="shared" si="43"/>
        <v>299.59352909999996</v>
      </c>
      <c r="PQ19" s="50">
        <f t="shared" si="9"/>
        <v>299.59352799999999</v>
      </c>
      <c r="PR19" s="50"/>
      <c r="PS19" s="50">
        <f>PS20+PS21+PS24+PS25+PS26+PS27+PS28+PS29</f>
        <v>299.59352799999999</v>
      </c>
      <c r="PT19" s="44">
        <v>38.313186990000005</v>
      </c>
      <c r="PU19" s="44"/>
      <c r="PV19" s="44">
        <v>38.313186990000005</v>
      </c>
      <c r="PW19" s="44">
        <v>17.607752070000004</v>
      </c>
      <c r="PX19" s="44"/>
      <c r="PY19" s="44">
        <v>17.607752070000004</v>
      </c>
      <c r="PZ19" s="44">
        <v>23.386997400000002</v>
      </c>
      <c r="QA19" s="44"/>
      <c r="QB19" s="44">
        <v>23.386997400000002</v>
      </c>
      <c r="QC19" s="44">
        <v>32.133263539999994</v>
      </c>
      <c r="QD19" s="44"/>
      <c r="QE19" s="44">
        <v>32.133263539999994</v>
      </c>
      <c r="QF19" s="44">
        <v>17.442075879999997</v>
      </c>
      <c r="QG19" s="44"/>
      <c r="QH19" s="44">
        <v>17.442075879999997</v>
      </c>
      <c r="QI19" s="44">
        <v>19.878921080000001</v>
      </c>
      <c r="QJ19" s="44"/>
      <c r="QK19" s="44">
        <v>19.878921080000001</v>
      </c>
      <c r="QL19" s="44">
        <v>33.860848710000006</v>
      </c>
      <c r="QM19" s="44"/>
      <c r="QN19" s="44">
        <v>33.860848710000006</v>
      </c>
      <c r="QO19" s="44">
        <v>18.176983039999996</v>
      </c>
      <c r="QP19" s="44"/>
      <c r="QQ19" s="44">
        <v>18.176983039999996</v>
      </c>
      <c r="QR19" s="44">
        <v>18.439278730000002</v>
      </c>
      <c r="QS19" s="44"/>
      <c r="QT19" s="44">
        <v>18.439278730000002</v>
      </c>
      <c r="QU19" s="50">
        <v>33.629283209999997</v>
      </c>
      <c r="QV19" s="44"/>
      <c r="QW19" s="44">
        <v>33.629283209999997</v>
      </c>
      <c r="QX19" s="50">
        <v>15.22366442</v>
      </c>
      <c r="QY19" s="44"/>
      <c r="QZ19" s="44">
        <v>15.22366442</v>
      </c>
      <c r="RA19" s="50">
        <v>17.851786739999998</v>
      </c>
      <c r="RB19" s="44"/>
      <c r="RC19" s="44">
        <v>17.851786739999998</v>
      </c>
      <c r="RD19" s="50">
        <f t="shared" si="52"/>
        <v>285.94404180999999</v>
      </c>
      <c r="RE19" s="50">
        <f t="shared" si="53"/>
        <v>0</v>
      </c>
      <c r="RF19" s="50">
        <f t="shared" si="54"/>
        <v>285.94404180999999</v>
      </c>
      <c r="RG19" s="50">
        <f t="shared" si="11"/>
        <v>285.94404200000002</v>
      </c>
      <c r="RH19" s="50"/>
      <c r="RI19" s="50">
        <f>RI20+RI21+RI24+RI25+RI26+RI27+RI28+RI29</f>
        <v>285.94404200000002</v>
      </c>
      <c r="RJ19" s="50">
        <v>38.64385833</v>
      </c>
      <c r="RK19" s="50"/>
      <c r="RL19" s="50">
        <v>38.64385833</v>
      </c>
      <c r="RM19" s="50">
        <v>18.918715880000001</v>
      </c>
      <c r="RN19" s="50"/>
      <c r="RO19" s="50">
        <v>18.918715880000001</v>
      </c>
      <c r="RP19" s="50">
        <v>22.723022769999993</v>
      </c>
      <c r="RQ19" s="50"/>
      <c r="RR19" s="50">
        <v>22.723022769999993</v>
      </c>
      <c r="RS19" s="50">
        <v>36.170359079999997</v>
      </c>
      <c r="RT19" s="50"/>
      <c r="RU19" s="50">
        <v>36.170359079999997</v>
      </c>
      <c r="RV19" s="50">
        <v>19.050096500000002</v>
      </c>
      <c r="RW19" s="50"/>
      <c r="RX19" s="50">
        <v>19.050096500000002</v>
      </c>
      <c r="RY19" s="50">
        <v>20.183727129999998</v>
      </c>
      <c r="RZ19" s="50"/>
      <c r="SA19" s="50">
        <v>20.183727129999998</v>
      </c>
      <c r="SB19" s="50">
        <v>36.34851329</v>
      </c>
      <c r="SC19" s="50"/>
      <c r="SD19" s="50">
        <v>36.34851329</v>
      </c>
      <c r="SE19" s="50">
        <v>16.699724770000003</v>
      </c>
      <c r="SF19" s="50"/>
      <c r="SG19" s="50">
        <v>16.699724770000003</v>
      </c>
      <c r="SH19" s="50">
        <v>20.018230490000004</v>
      </c>
      <c r="SI19" s="50"/>
      <c r="SJ19" s="50">
        <v>20.018230490000004</v>
      </c>
      <c r="SK19" s="50">
        <v>35.887031739999998</v>
      </c>
      <c r="SL19" s="50"/>
      <c r="SM19" s="50">
        <v>35.887031739999998</v>
      </c>
      <c r="SN19" s="50">
        <v>15.408890009999999</v>
      </c>
      <c r="SO19" s="50"/>
      <c r="SP19" s="50">
        <v>15.408890009999999</v>
      </c>
      <c r="SQ19" s="50">
        <v>19.989629879999999</v>
      </c>
      <c r="SR19" s="50"/>
      <c r="SS19" s="50">
        <v>19.989629879999999</v>
      </c>
      <c r="ST19" s="50">
        <f t="shared" si="55"/>
        <v>300.04179986999998</v>
      </c>
      <c r="SU19" s="50">
        <f t="shared" si="65"/>
        <v>0</v>
      </c>
      <c r="SV19" s="50">
        <f t="shared" si="56"/>
        <v>300.04179986999998</v>
      </c>
      <c r="SW19" s="50">
        <f t="shared" si="44"/>
        <v>300.04180100000002</v>
      </c>
      <c r="SX19" s="50"/>
      <c r="SY19" s="50">
        <f>SY20+SY21+SY24+SY25+SY26+SY27+SY28+SY29</f>
        <v>300.04180100000002</v>
      </c>
      <c r="SZ19" s="50">
        <v>44.217273709999994</v>
      </c>
      <c r="TA19" s="50"/>
      <c r="TB19" s="50">
        <v>44.217273709999994</v>
      </c>
      <c r="TC19" s="50">
        <v>18.142156610000004</v>
      </c>
      <c r="TD19" s="50"/>
      <c r="TE19" s="50">
        <v>18.142156610000004</v>
      </c>
      <c r="TF19" s="50">
        <v>23.946704229999995</v>
      </c>
      <c r="TG19" s="50"/>
      <c r="TH19" s="50">
        <v>23.946704229999995</v>
      </c>
      <c r="TI19" s="50">
        <v>34.958372540000013</v>
      </c>
      <c r="TJ19" s="50"/>
      <c r="TK19" s="50">
        <v>34.958372540000013</v>
      </c>
      <c r="TL19" s="50">
        <v>18.637728750000001</v>
      </c>
      <c r="TM19" s="50"/>
      <c r="TN19" s="50">
        <v>18.637728750000001</v>
      </c>
      <c r="TO19" s="50">
        <v>21.279602570000002</v>
      </c>
      <c r="TP19" s="50"/>
      <c r="TQ19" s="50">
        <v>21.279602570000002</v>
      </c>
      <c r="TR19" s="50">
        <v>37.607470729999996</v>
      </c>
      <c r="TS19" s="50"/>
      <c r="TT19" s="50">
        <v>37.607470729999996</v>
      </c>
      <c r="TU19" s="50">
        <v>16.824971399999999</v>
      </c>
      <c r="TV19" s="50"/>
      <c r="TW19" s="50">
        <v>16.824971399999999</v>
      </c>
      <c r="TX19" s="50">
        <v>22.027144799999995</v>
      </c>
      <c r="TY19" s="50"/>
      <c r="TZ19" s="50">
        <v>22.027144799999995</v>
      </c>
      <c r="UA19" s="50">
        <v>37.11854074</v>
      </c>
      <c r="UB19" s="50"/>
      <c r="UC19" s="50">
        <v>37.11854074</v>
      </c>
      <c r="UD19" s="50">
        <v>16.411714289999999</v>
      </c>
      <c r="UE19" s="50"/>
      <c r="UF19" s="50">
        <v>16.411714289999999</v>
      </c>
      <c r="UG19" s="50">
        <v>28.363976510000001</v>
      </c>
      <c r="UH19" s="50"/>
      <c r="UI19" s="50">
        <v>28.363976510000001</v>
      </c>
      <c r="UJ19" s="50">
        <f t="shared" si="45"/>
        <v>319.53565688000003</v>
      </c>
      <c r="UK19" s="50">
        <f t="shared" si="15"/>
        <v>0</v>
      </c>
      <c r="UL19" s="50">
        <f t="shared" si="16"/>
        <v>319.53565688000003</v>
      </c>
      <c r="UM19" s="50">
        <v>45.138351319999998</v>
      </c>
      <c r="UN19" s="50"/>
      <c r="UO19" s="50">
        <v>45.138351319999998</v>
      </c>
      <c r="UP19" s="50">
        <v>17.682844200000002</v>
      </c>
      <c r="UQ19" s="50"/>
      <c r="UR19" s="50">
        <v>17.682844200000002</v>
      </c>
      <c r="US19" s="50">
        <v>23.241729850000006</v>
      </c>
      <c r="UT19" s="172"/>
      <c r="UU19" s="50">
        <v>23.241729850000006</v>
      </c>
      <c r="UV19" s="50">
        <v>34.136502620000002</v>
      </c>
      <c r="UW19" s="50"/>
      <c r="UX19" s="50">
        <v>34.136502620000002</v>
      </c>
      <c r="UY19" s="50"/>
      <c r="UZ19" s="50"/>
      <c r="VA19" s="50"/>
      <c r="VB19" s="50"/>
      <c r="VC19" s="50"/>
      <c r="VD19" s="50"/>
      <c r="VE19" s="50"/>
      <c r="VF19" s="50"/>
      <c r="VG19" s="50"/>
      <c r="VH19" s="50"/>
      <c r="VI19" s="50"/>
      <c r="VJ19" s="50"/>
      <c r="VK19" s="50"/>
      <c r="VL19" s="50"/>
      <c r="VM19" s="50"/>
      <c r="VN19" s="50"/>
      <c r="VO19" s="50"/>
      <c r="VP19" s="50"/>
      <c r="VQ19" s="50"/>
      <c r="VR19" s="50"/>
      <c r="VS19" s="50"/>
      <c r="VT19" s="50"/>
      <c r="VU19" s="50"/>
      <c r="VV19" s="50"/>
      <c r="VW19" s="276">
        <f>ROUND(SUM(SZ19+TC19+TF19+TI19),6)</f>
        <v>121.26450699999999</v>
      </c>
      <c r="VX19" s="292">
        <f t="shared" si="58"/>
        <v>0</v>
      </c>
      <c r="VY19" s="292">
        <f t="shared" si="59"/>
        <v>121.26450699999999</v>
      </c>
      <c r="VZ19" s="276">
        <f t="shared" si="60"/>
        <v>120.199428</v>
      </c>
      <c r="WA19" s="292">
        <f t="shared" si="61"/>
        <v>0</v>
      </c>
      <c r="WB19" s="292">
        <f t="shared" si="62"/>
        <v>120.199428</v>
      </c>
      <c r="WC19" s="277">
        <f t="shared" si="63"/>
        <v>-1.0650789999999972</v>
      </c>
      <c r="WD19" s="277">
        <f t="shared" si="64"/>
        <v>-0.87831058431630993</v>
      </c>
    </row>
    <row r="20" spans="1:602" s="12" customFormat="1" ht="20.5">
      <c r="A20" s="77" t="s">
        <v>62</v>
      </c>
      <c r="B20" s="12" t="s">
        <v>63</v>
      </c>
      <c r="C20" s="77" t="s">
        <v>64</v>
      </c>
      <c r="D20" s="45">
        <v>10.831284397926021</v>
      </c>
      <c r="E20" s="42">
        <v>8.9672127648675879</v>
      </c>
      <c r="F20" s="42">
        <v>7.0369306378449759</v>
      </c>
      <c r="G20" s="42">
        <v>7.6427026596319889</v>
      </c>
      <c r="H20" s="42">
        <v>2.7793140050426577</v>
      </c>
      <c r="I20" s="42">
        <v>-0.62306133715801282</v>
      </c>
      <c r="J20" s="42">
        <v>3.096026772755989E-2</v>
      </c>
      <c r="K20" s="42">
        <v>2.1957956983739422</v>
      </c>
      <c r="L20" s="42">
        <v>-0.53829801765499341</v>
      </c>
      <c r="M20" s="42">
        <v>0.11949135178513498</v>
      </c>
      <c r="N20" s="42">
        <v>2.8416187158866486</v>
      </c>
      <c r="O20" s="42">
        <v>-1.2726450048662217</v>
      </c>
      <c r="P20" s="42">
        <v>0.15596809352251839</v>
      </c>
      <c r="Q20" s="42">
        <v>3.4912806415444417</v>
      </c>
      <c r="R20" s="42">
        <v>-1.490048434556434</v>
      </c>
      <c r="S20" s="42">
        <v>0.33673968844798835</v>
      </c>
      <c r="T20" s="42">
        <v>8.0271156680952309</v>
      </c>
      <c r="U20" s="42">
        <v>0</v>
      </c>
      <c r="V20" s="42">
        <v>8.0271156680952309</v>
      </c>
      <c r="W20" s="42">
        <v>8.0271156680952309</v>
      </c>
      <c r="X20" s="42">
        <v>3.6458358233590018</v>
      </c>
      <c r="Y20" s="42">
        <v>-1.37582028559883</v>
      </c>
      <c r="Z20" s="42">
        <v>0.26710007342018544</v>
      </c>
      <c r="AA20" s="42">
        <v>3.0279409337453971</v>
      </c>
      <c r="AB20" s="42">
        <v>-1.062582170847064</v>
      </c>
      <c r="AC20" s="42">
        <v>0.26347886466212489</v>
      </c>
      <c r="AD20" s="42">
        <v>3.021745749881902</v>
      </c>
      <c r="AE20" s="42">
        <v>-1.3257337749927434</v>
      </c>
      <c r="AF20" s="42">
        <v>0.22826705596439403</v>
      </c>
      <c r="AG20" s="42">
        <v>3.3245456770308652</v>
      </c>
      <c r="AH20" s="42">
        <v>-1.4125118809796189</v>
      </c>
      <c r="AI20" s="42">
        <v>0.13627554766335992</v>
      </c>
      <c r="AJ20" s="42">
        <f t="shared" si="46"/>
        <v>8.7385416133089748</v>
      </c>
      <c r="AK20" s="42">
        <v>0</v>
      </c>
      <c r="AL20" s="42">
        <v>8.7385416133089748</v>
      </c>
      <c r="AM20" s="42">
        <v>8.7385416133089748</v>
      </c>
      <c r="AN20" s="42">
        <v>2.9534052168172065</v>
      </c>
      <c r="AO20" s="42">
        <v>3.5265877826534855E-2</v>
      </c>
      <c r="AP20" s="42">
        <v>-0.11444869408825221</v>
      </c>
      <c r="AQ20" s="42">
        <v>2.7069125958304165</v>
      </c>
      <c r="AR20" s="42">
        <v>-0.94088821349906937</v>
      </c>
      <c r="AS20" s="42">
        <v>0.18378096880495842</v>
      </c>
      <c r="AT20" s="42">
        <v>3.0840746495466731</v>
      </c>
      <c r="AU20" s="42">
        <v>-0.98337943437999797</v>
      </c>
      <c r="AV20" s="42">
        <v>-1.9948662785072367E-2</v>
      </c>
      <c r="AW20" s="42">
        <v>2.2909659022999302</v>
      </c>
      <c r="AX20" s="42">
        <v>7.5682551607560572E-3</v>
      </c>
      <c r="AY20" s="42">
        <v>0.24412638516570767</v>
      </c>
      <c r="AZ20" s="42">
        <v>9.4474348466997906</v>
      </c>
      <c r="BA20" s="42"/>
      <c r="BB20" s="42">
        <v>9.4474348466997906</v>
      </c>
      <c r="BC20" s="45">
        <f t="shared" si="21"/>
        <v>9.4474348466997906</v>
      </c>
      <c r="BD20" s="45"/>
      <c r="BE20" s="45">
        <v>9.4474348466997906</v>
      </c>
      <c r="BF20" s="44">
        <v>4.4177860000000004</v>
      </c>
      <c r="BG20" s="118"/>
      <c r="BH20" s="50">
        <f>BF20+BG20</f>
        <v>4.4177860000000004</v>
      </c>
      <c r="BI20" s="45">
        <v>-8.6440000000000003E-2</v>
      </c>
      <c r="BJ20" s="120"/>
      <c r="BK20" s="50">
        <f>BI20+BJ20</f>
        <v>-8.6440000000000003E-2</v>
      </c>
      <c r="BL20" s="50">
        <v>-0.19642999999999999</v>
      </c>
      <c r="BM20" s="50"/>
      <c r="BN20" s="50">
        <f>BL20+BM20</f>
        <v>-0.19642999999999999</v>
      </c>
      <c r="BO20" s="50">
        <v>3.3065000000000002</v>
      </c>
      <c r="BP20" s="50"/>
      <c r="BQ20" s="50">
        <f>BO20+BP20</f>
        <v>3.3065000000000002</v>
      </c>
      <c r="BR20" s="50">
        <v>0.213477</v>
      </c>
      <c r="BS20" s="50"/>
      <c r="BT20" s="50">
        <f>BR20+BS20</f>
        <v>0.213477</v>
      </c>
      <c r="BU20" s="50">
        <v>0.13180500000000001</v>
      </c>
      <c r="BV20" s="50"/>
      <c r="BW20" s="50">
        <f>BU20+BV20</f>
        <v>0.13180500000000001</v>
      </c>
      <c r="BX20" s="50">
        <v>2.5556909999999999</v>
      </c>
      <c r="BY20" s="50"/>
      <c r="BZ20" s="50">
        <f>BX20+BY20</f>
        <v>2.5556909999999999</v>
      </c>
      <c r="CA20" s="50">
        <v>-1.194585</v>
      </c>
      <c r="CB20" s="50"/>
      <c r="CC20" s="50">
        <f>CA20+CB20</f>
        <v>-1.194585</v>
      </c>
      <c r="CD20" s="50">
        <v>0.27799345000000003</v>
      </c>
      <c r="CE20" s="50"/>
      <c r="CF20" s="50">
        <f>CD20+CE20</f>
        <v>0.27799345000000003</v>
      </c>
      <c r="CG20" s="50">
        <v>1.2915700000000071E-3</v>
      </c>
      <c r="CH20" s="50"/>
      <c r="CI20" s="50">
        <f>CG20+CH20</f>
        <v>1.2915700000000071E-3</v>
      </c>
      <c r="CJ20" s="45">
        <v>0.33906560999999996</v>
      </c>
      <c r="CK20" s="45"/>
      <c r="CL20" s="50">
        <f>CJ20+CK20</f>
        <v>0.33906560999999996</v>
      </c>
      <c r="CM20" s="42">
        <v>0.27812045000000002</v>
      </c>
      <c r="CN20" s="45"/>
      <c r="CO20" s="50">
        <f>CM20+CN20</f>
        <v>0.27812045000000002</v>
      </c>
      <c r="CP20" s="50">
        <f t="shared" si="24"/>
        <v>10.04427508</v>
      </c>
      <c r="CQ20" s="50">
        <f t="shared" si="25"/>
        <v>0</v>
      </c>
      <c r="CR20" s="50">
        <f t="shared" si="26"/>
        <v>10.04427508</v>
      </c>
      <c r="CS20" s="45">
        <f t="shared" si="2"/>
        <v>10.044275000000001</v>
      </c>
      <c r="CT20" s="45"/>
      <c r="CU20" s="42">
        <v>10.044275000000001</v>
      </c>
      <c r="CV20" s="42">
        <v>5.2625767100000003</v>
      </c>
      <c r="CW20" s="45"/>
      <c r="CX20" s="50">
        <f>CV20+CW20</f>
        <v>5.2625767100000003</v>
      </c>
      <c r="CY20" s="42">
        <v>-2.3531755700000003</v>
      </c>
      <c r="CZ20" s="45"/>
      <c r="DA20" s="50">
        <v>-2.3531755700000003</v>
      </c>
      <c r="DB20" s="42">
        <v>0.13428249</v>
      </c>
      <c r="DC20" s="45"/>
      <c r="DD20" s="50">
        <v>0.13428249</v>
      </c>
      <c r="DE20" s="42">
        <v>3.7828635199999998</v>
      </c>
      <c r="DF20" s="45"/>
      <c r="DG20" s="50">
        <v>3.7828635199999998</v>
      </c>
      <c r="DH20" s="42">
        <v>-1.5221914800000003</v>
      </c>
      <c r="DI20" s="45"/>
      <c r="DJ20" s="50">
        <v>-1.5221914800000003</v>
      </c>
      <c r="DK20" s="42">
        <v>0.32435016999999999</v>
      </c>
      <c r="DL20" s="45"/>
      <c r="DM20" s="50">
        <v>0.32435016999999999</v>
      </c>
      <c r="DN20" s="42">
        <v>4.3997084299999996</v>
      </c>
      <c r="DO20" s="45"/>
      <c r="DP20" s="50">
        <v>4.3997084299999996</v>
      </c>
      <c r="DQ20" s="42">
        <v>-1.57051432</v>
      </c>
      <c r="DR20" s="45"/>
      <c r="DS20" s="50">
        <v>-1.57051432</v>
      </c>
      <c r="DT20" s="42">
        <v>0.22572956</v>
      </c>
      <c r="DU20" s="45"/>
      <c r="DV20" s="50">
        <v>0.22572956</v>
      </c>
      <c r="DW20" s="42">
        <v>4.4393341600000005</v>
      </c>
      <c r="DX20" s="45"/>
      <c r="DY20" s="50">
        <v>4.4393341600000005</v>
      </c>
      <c r="DZ20" s="42">
        <v>-2.0289561300000001</v>
      </c>
      <c r="EA20" s="45"/>
      <c r="EB20" s="50">
        <v>-2.0289561300000001</v>
      </c>
      <c r="EC20" s="42">
        <v>0.34006252000000003</v>
      </c>
      <c r="ED20" s="45"/>
      <c r="EE20" s="50">
        <v>0.34006252000000003</v>
      </c>
      <c r="EF20" s="50">
        <f t="shared" si="27"/>
        <v>11.434070059999996</v>
      </c>
      <c r="EG20" s="50">
        <f t="shared" si="28"/>
        <v>0</v>
      </c>
      <c r="EH20" s="50">
        <f t="shared" si="29"/>
        <v>11.434070059999996</v>
      </c>
      <c r="EI20" s="50">
        <f t="shared" si="70"/>
        <v>11.434070059999996</v>
      </c>
      <c r="EJ20" s="50"/>
      <c r="EK20" s="50">
        <v>11.434070059999996</v>
      </c>
      <c r="EL20" s="50">
        <v>4.7399357800000006</v>
      </c>
      <c r="EM20" s="50"/>
      <c r="EN20" s="50">
        <v>4.7399357800000006</v>
      </c>
      <c r="EO20" s="50">
        <v>-1.8023149700000001</v>
      </c>
      <c r="EP20" s="50"/>
      <c r="EQ20" s="50">
        <v>-1.8023149700000001</v>
      </c>
      <c r="ER20" s="50">
        <v>0.24376579999999998</v>
      </c>
      <c r="ES20" s="50"/>
      <c r="ET20" s="50">
        <v>0.24376579999999998</v>
      </c>
      <c r="EU20" s="50">
        <v>3.1163457499999998</v>
      </c>
      <c r="EV20" s="50"/>
      <c r="EW20" s="50">
        <v>3.1163457499999998</v>
      </c>
      <c r="EX20" s="50">
        <v>-1.0772724899999999</v>
      </c>
      <c r="EY20" s="50"/>
      <c r="EZ20" s="50">
        <v>-1.0772724899999999</v>
      </c>
      <c r="FA20" s="50">
        <v>0.24668946999999999</v>
      </c>
      <c r="FB20" s="50"/>
      <c r="FC20" s="50">
        <v>0.24668946999999999</v>
      </c>
      <c r="FD20" s="50">
        <v>3.4443665499999998</v>
      </c>
      <c r="FE20" s="50"/>
      <c r="FF20" s="50">
        <v>3.4443665499999998</v>
      </c>
      <c r="FG20" s="50">
        <v>-1.6071904600000002</v>
      </c>
      <c r="FH20" s="50"/>
      <c r="FI20" s="50">
        <v>-1.6071904600000002</v>
      </c>
      <c r="FJ20" s="50">
        <v>0.30034575000000002</v>
      </c>
      <c r="FK20" s="50"/>
      <c r="FL20" s="50">
        <v>0.30034575000000002</v>
      </c>
      <c r="FM20" s="50">
        <v>3.6154020199999999</v>
      </c>
      <c r="FN20" s="50"/>
      <c r="FO20" s="50">
        <v>3.6154020199999999</v>
      </c>
      <c r="FP20" s="50">
        <v>-1.7561342899999999</v>
      </c>
      <c r="FQ20" s="50"/>
      <c r="FR20" s="50">
        <v>-1.7561342899999999</v>
      </c>
      <c r="FS20" s="50">
        <v>0.35132799999999997</v>
      </c>
      <c r="FT20" s="50"/>
      <c r="FU20" s="50">
        <v>0.35132799999999997</v>
      </c>
      <c r="FV20" s="50">
        <f t="shared" si="30"/>
        <v>9.8152669099999983</v>
      </c>
      <c r="FW20" s="50">
        <f t="shared" si="31"/>
        <v>0</v>
      </c>
      <c r="FX20" s="50">
        <f t="shared" si="32"/>
        <v>9.8152669099999983</v>
      </c>
      <c r="FY20" s="50">
        <f t="shared" si="71"/>
        <v>9.8152670000000004</v>
      </c>
      <c r="FZ20" s="50"/>
      <c r="GA20" s="50">
        <v>9.8152670000000004</v>
      </c>
      <c r="GB20" s="50">
        <v>4.2821553699999999</v>
      </c>
      <c r="GC20" s="50"/>
      <c r="GD20" s="50">
        <v>4.2821553699999999</v>
      </c>
      <c r="GE20" s="50">
        <v>-1.5832393199999999</v>
      </c>
      <c r="GF20" s="50"/>
      <c r="GG20" s="50">
        <v>-1.5832393199999999</v>
      </c>
      <c r="GH20" s="50">
        <v>0.36673520999999998</v>
      </c>
      <c r="GI20" s="50"/>
      <c r="GJ20" s="50">
        <v>0.36673520999999998</v>
      </c>
      <c r="GK20" s="50">
        <v>5.4322675599999997</v>
      </c>
      <c r="GL20" s="50"/>
      <c r="GM20" s="50">
        <v>5.4322675599999997</v>
      </c>
      <c r="GN20" s="50">
        <v>-1.32690548</v>
      </c>
      <c r="GO20" s="50"/>
      <c r="GP20" s="50">
        <v>-1.32690548</v>
      </c>
      <c r="GQ20" s="50">
        <v>0.41886071000000008</v>
      </c>
      <c r="GR20" s="50"/>
      <c r="GS20" s="50">
        <v>0.41886071000000008</v>
      </c>
      <c r="GT20" s="50">
        <v>5.9943001499999999</v>
      </c>
      <c r="GU20" s="50"/>
      <c r="GV20" s="50">
        <v>5.9943001499999999</v>
      </c>
      <c r="GW20" s="50">
        <v>-1.6504093399999999</v>
      </c>
      <c r="GX20" s="50"/>
      <c r="GY20" s="50">
        <v>-1.6504093399999999</v>
      </c>
      <c r="GZ20" s="50">
        <v>0.34065957000000002</v>
      </c>
      <c r="HA20" s="50"/>
      <c r="HB20" s="50">
        <v>0.34065957000000002</v>
      </c>
      <c r="HC20" s="50">
        <v>5.6207902800000005</v>
      </c>
      <c r="HD20" s="50"/>
      <c r="HE20" s="50">
        <v>5.6207902800000005</v>
      </c>
      <c r="HF20" s="50">
        <v>-1.6878847699999999</v>
      </c>
      <c r="HG20" s="50"/>
      <c r="HH20" s="50">
        <v>-1.6878847699999999</v>
      </c>
      <c r="HI20" s="50">
        <v>0.43804920999999997</v>
      </c>
      <c r="HJ20" s="50"/>
      <c r="HK20" s="50">
        <v>0.43804920999999997</v>
      </c>
      <c r="HL20" s="50">
        <f t="shared" si="33"/>
        <v>16.64537915</v>
      </c>
      <c r="HM20" s="50">
        <f t="shared" si="34"/>
        <v>0</v>
      </c>
      <c r="HN20" s="50">
        <f t="shared" si="35"/>
        <v>16.64537915</v>
      </c>
      <c r="HO20" s="50">
        <f t="shared" si="3"/>
        <v>16.645378999999998</v>
      </c>
      <c r="HP20" s="50"/>
      <c r="HQ20" s="50">
        <v>16.645378999999998</v>
      </c>
      <c r="HR20" s="50">
        <v>8.0372797299999998</v>
      </c>
      <c r="HS20" s="50">
        <v>0</v>
      </c>
      <c r="HT20" s="50">
        <v>8.0372797299999998</v>
      </c>
      <c r="HU20" s="50">
        <v>-2.5431130499999997</v>
      </c>
      <c r="HV20" s="50">
        <v>0</v>
      </c>
      <c r="HW20" s="50">
        <v>-2.5431130499999997</v>
      </c>
      <c r="HX20" s="50">
        <v>0.29462558</v>
      </c>
      <c r="HY20" s="50">
        <v>0</v>
      </c>
      <c r="HZ20" s="50">
        <v>0.29462558</v>
      </c>
      <c r="IA20" s="50">
        <v>5.9139779800000003</v>
      </c>
      <c r="IB20" s="50">
        <v>0</v>
      </c>
      <c r="IC20" s="50">
        <v>5.9139779800000003</v>
      </c>
      <c r="ID20" s="50">
        <v>-1.56677972</v>
      </c>
      <c r="IE20" s="50">
        <v>0</v>
      </c>
      <c r="IF20" s="50">
        <v>-1.56677972</v>
      </c>
      <c r="IG20" s="50">
        <v>0.31851378999999991</v>
      </c>
      <c r="IH20" s="50">
        <v>0</v>
      </c>
      <c r="II20" s="50">
        <v>0.31851378999999991</v>
      </c>
      <c r="IJ20" s="50">
        <v>6.3102488900000004</v>
      </c>
      <c r="IK20" s="50">
        <v>0</v>
      </c>
      <c r="IL20" s="50">
        <v>6.3102488900000004</v>
      </c>
      <c r="IM20" s="50">
        <v>-1.7936043400000001</v>
      </c>
      <c r="IN20" s="50">
        <v>0</v>
      </c>
      <c r="IO20" s="50">
        <v>-1.7936043400000001</v>
      </c>
      <c r="IP20" s="50">
        <v>0.34034881000000006</v>
      </c>
      <c r="IQ20" s="50">
        <v>0</v>
      </c>
      <c r="IR20" s="50">
        <v>0.34034881000000006</v>
      </c>
      <c r="IS20" s="50">
        <v>5.1740194500000003</v>
      </c>
      <c r="IT20" s="50">
        <v>0</v>
      </c>
      <c r="IU20" s="50">
        <v>5.1740194500000003</v>
      </c>
      <c r="IV20" s="50">
        <v>-2.0743138000000001</v>
      </c>
      <c r="IW20" s="50">
        <v>0</v>
      </c>
      <c r="IX20" s="50">
        <v>-2.0743138000000001</v>
      </c>
      <c r="IY20" s="50">
        <v>0.35230646999999998</v>
      </c>
      <c r="IZ20" s="50">
        <v>0</v>
      </c>
      <c r="JA20" s="50">
        <v>0.35230646999999998</v>
      </c>
      <c r="JB20" s="50">
        <f t="shared" si="36"/>
        <v>18.763509790000001</v>
      </c>
      <c r="JC20" s="50">
        <f t="shared" si="37"/>
        <v>0</v>
      </c>
      <c r="JD20" s="50">
        <f t="shared" si="38"/>
        <v>18.763509790000001</v>
      </c>
      <c r="JE20" s="50">
        <f t="shared" si="4"/>
        <v>18.76351</v>
      </c>
      <c r="JF20" s="50"/>
      <c r="JG20" s="45">
        <v>18.76351</v>
      </c>
      <c r="JH20" s="50">
        <v>6.6248823400000001</v>
      </c>
      <c r="JI20" s="50">
        <v>0</v>
      </c>
      <c r="JJ20" s="50">
        <v>6.6248823400000001</v>
      </c>
      <c r="JK20" s="50">
        <v>-2.6813204699999997</v>
      </c>
      <c r="JL20" s="50">
        <v>0</v>
      </c>
      <c r="JM20" s="50">
        <v>-2.6813204699999997</v>
      </c>
      <c r="JN20" s="50">
        <v>0.36313689000000005</v>
      </c>
      <c r="JO20" s="50">
        <v>0</v>
      </c>
      <c r="JP20" s="50">
        <v>0.36313689000000005</v>
      </c>
      <c r="JQ20" s="50">
        <v>5.4458154299999997</v>
      </c>
      <c r="JR20" s="50">
        <v>0</v>
      </c>
      <c r="JS20" s="50">
        <v>5.4458154299999997</v>
      </c>
      <c r="JT20" s="50">
        <v>-1.0111526899999999</v>
      </c>
      <c r="JU20" s="50">
        <v>0</v>
      </c>
      <c r="JV20" s="50">
        <v>-1.0111526899999999</v>
      </c>
      <c r="JW20" s="50">
        <v>0.34976589000000002</v>
      </c>
      <c r="JX20" s="50">
        <v>0</v>
      </c>
      <c r="JY20" s="50">
        <v>0.34976589000000002</v>
      </c>
      <c r="JZ20" s="50">
        <v>6.2634605900000002</v>
      </c>
      <c r="KA20" s="50">
        <v>0</v>
      </c>
      <c r="KB20" s="50">
        <v>6.2634605900000002</v>
      </c>
      <c r="KC20" s="50">
        <v>-2.1024753299999999</v>
      </c>
      <c r="KD20" s="50">
        <v>0</v>
      </c>
      <c r="KE20" s="50">
        <v>-2.1024753299999999</v>
      </c>
      <c r="KF20" s="50">
        <v>0.49722879000000003</v>
      </c>
      <c r="KG20" s="50">
        <v>0</v>
      </c>
      <c r="KH20" s="50">
        <v>0.49722879000000003</v>
      </c>
      <c r="KI20" s="50">
        <v>6.3999080600000005</v>
      </c>
      <c r="KJ20" s="50">
        <v>0</v>
      </c>
      <c r="KK20" s="50">
        <v>6.3999080600000005</v>
      </c>
      <c r="KL20" s="50">
        <v>-2.6558197999999997</v>
      </c>
      <c r="KM20" s="50">
        <v>0</v>
      </c>
      <c r="KN20" s="50">
        <v>-2.6558197999999997</v>
      </c>
      <c r="KO20" s="50">
        <v>9.7021049999999984E-2</v>
      </c>
      <c r="KP20" s="50">
        <v>0</v>
      </c>
      <c r="KQ20" s="50">
        <v>9.7021049999999984E-2</v>
      </c>
      <c r="KR20" s="50">
        <f t="shared" si="48"/>
        <v>17.590450749999999</v>
      </c>
      <c r="KS20" s="50">
        <f t="shared" si="39"/>
        <v>0</v>
      </c>
      <c r="KT20" s="50">
        <f t="shared" si="49"/>
        <v>17.590450749999999</v>
      </c>
      <c r="KU20" s="50">
        <f t="shared" si="5"/>
        <v>17.590451000000002</v>
      </c>
      <c r="KV20" s="50"/>
      <c r="KW20" s="45">
        <v>17.590451000000002</v>
      </c>
      <c r="KX20" s="50">
        <v>7.1398055600000001</v>
      </c>
      <c r="KY20" s="50">
        <v>0</v>
      </c>
      <c r="KZ20" s="50">
        <v>7.1398055600000001</v>
      </c>
      <c r="LA20" s="50">
        <v>-1.9503630499999998</v>
      </c>
      <c r="LB20" s="50">
        <v>0</v>
      </c>
      <c r="LC20" s="50">
        <v>-1.9503630499999998</v>
      </c>
      <c r="LD20" s="50">
        <v>0.33784378999999998</v>
      </c>
      <c r="LE20" s="50">
        <v>0</v>
      </c>
      <c r="LF20" s="50">
        <v>0.33784378999999998</v>
      </c>
      <c r="LG20" s="50">
        <v>7.4132658300000003</v>
      </c>
      <c r="LH20" s="50">
        <v>0</v>
      </c>
      <c r="LI20" s="174">
        <v>7.4132658300000003</v>
      </c>
      <c r="LJ20" s="174">
        <v>-0.82594946999999996</v>
      </c>
      <c r="LK20" s="50">
        <v>0</v>
      </c>
      <c r="LL20" s="174">
        <v>-0.82594946999999996</v>
      </c>
      <c r="LM20" s="50">
        <v>0.41699642999999997</v>
      </c>
      <c r="LN20" s="50">
        <v>0</v>
      </c>
      <c r="LO20" s="50">
        <v>0.41699642999999997</v>
      </c>
      <c r="LP20" s="50">
        <v>7.0220473200000004</v>
      </c>
      <c r="LQ20" s="50">
        <v>0</v>
      </c>
      <c r="LR20" s="44">
        <v>7.0220473200000004</v>
      </c>
      <c r="LS20" s="50">
        <v>-0.74256704000000007</v>
      </c>
      <c r="LT20" s="50">
        <v>0</v>
      </c>
      <c r="LU20" s="52">
        <v>-0.74256704000000007</v>
      </c>
      <c r="LV20" s="44">
        <v>0.51143798000000007</v>
      </c>
      <c r="LW20" s="50">
        <v>0</v>
      </c>
      <c r="LX20" s="50">
        <v>0.51143798000000007</v>
      </c>
      <c r="LY20" s="50">
        <v>7.4115789899999989</v>
      </c>
      <c r="LZ20" s="50">
        <v>0</v>
      </c>
      <c r="MA20" s="50">
        <v>7.4115789899999989</v>
      </c>
      <c r="MB20" s="50">
        <v>-1.0569351299999998</v>
      </c>
      <c r="MC20" s="50">
        <v>0</v>
      </c>
      <c r="MD20" s="50">
        <v>-1.0569351299999998</v>
      </c>
      <c r="ME20" s="44">
        <v>0.79556311999999996</v>
      </c>
      <c r="MF20" s="44">
        <v>0</v>
      </c>
      <c r="MG20" s="44">
        <v>0.79556311999999996</v>
      </c>
      <c r="MH20" s="50">
        <f t="shared" si="66"/>
        <v>26.472724329999998</v>
      </c>
      <c r="MI20" s="50">
        <f t="shared" si="50"/>
        <v>0</v>
      </c>
      <c r="MJ20" s="50">
        <f t="shared" si="51"/>
        <v>26.472724329999998</v>
      </c>
      <c r="MK20" s="50">
        <f t="shared" si="7"/>
        <v>26.472723999999999</v>
      </c>
      <c r="ML20" s="50"/>
      <c r="MM20" s="50">
        <v>26.472723999999999</v>
      </c>
      <c r="MN20" s="44">
        <v>7.7728837000000004</v>
      </c>
      <c r="MO20" s="44">
        <v>0</v>
      </c>
      <c r="MP20" s="44">
        <v>7.7728837000000004</v>
      </c>
      <c r="MQ20" s="44">
        <v>-0.94323964999999999</v>
      </c>
      <c r="MR20" s="44">
        <v>0</v>
      </c>
      <c r="MS20" s="44">
        <v>-0.94323964999999999</v>
      </c>
      <c r="MT20" s="44">
        <v>1.1016128500000002</v>
      </c>
      <c r="MU20" s="50">
        <v>0</v>
      </c>
      <c r="MV20" s="44">
        <v>1.1016128500000002</v>
      </c>
      <c r="MW20" s="50">
        <v>8.777343440000001</v>
      </c>
      <c r="MX20" s="50">
        <v>0</v>
      </c>
      <c r="MY20" s="50">
        <v>8.777343440000001</v>
      </c>
      <c r="MZ20" s="50">
        <v>-0.41164245999999999</v>
      </c>
      <c r="NA20" s="50">
        <v>0</v>
      </c>
      <c r="NB20" s="50">
        <v>-0.41164245999999999</v>
      </c>
      <c r="NC20" s="50">
        <v>0.42733345</v>
      </c>
      <c r="ND20" s="50">
        <v>0</v>
      </c>
      <c r="NE20" s="50">
        <v>0.42733345</v>
      </c>
      <c r="NF20" s="50">
        <v>11.538093999999999</v>
      </c>
      <c r="NG20" s="50">
        <v>0</v>
      </c>
      <c r="NH20" s="50">
        <v>11.538093999999999</v>
      </c>
      <c r="NI20" s="50">
        <v>-1.8273900000000003</v>
      </c>
      <c r="NJ20" s="50">
        <v>0</v>
      </c>
      <c r="NK20" s="50">
        <v>-1.8273900000000003</v>
      </c>
      <c r="NL20" s="50">
        <v>0.41803526000000002</v>
      </c>
      <c r="NM20" s="50">
        <v>0</v>
      </c>
      <c r="NN20" s="50">
        <v>0.41803526000000002</v>
      </c>
      <c r="NO20" s="50">
        <v>10.23354127</v>
      </c>
      <c r="NP20" s="50">
        <v>0</v>
      </c>
      <c r="NQ20" s="50">
        <v>10.23354127</v>
      </c>
      <c r="NR20" s="50">
        <v>-1.62457798</v>
      </c>
      <c r="NS20" s="50">
        <v>0</v>
      </c>
      <c r="NT20" s="50">
        <v>-1.62457798</v>
      </c>
      <c r="NU20" s="50">
        <v>0.819249</v>
      </c>
      <c r="NV20" s="50">
        <v>0</v>
      </c>
      <c r="NW20" s="50">
        <v>0.819249</v>
      </c>
      <c r="NX20" s="50">
        <f t="shared" si="67"/>
        <v>36.281242880000001</v>
      </c>
      <c r="NY20" s="50">
        <f t="shared" si="40"/>
        <v>0</v>
      </c>
      <c r="NZ20" s="50">
        <f t="shared" si="41"/>
        <v>36.281242880000001</v>
      </c>
      <c r="OA20" s="50">
        <f t="shared" si="8"/>
        <v>36.281243000000003</v>
      </c>
      <c r="OB20" s="50"/>
      <c r="OC20" s="50">
        <v>36.281243000000003</v>
      </c>
      <c r="OD20" s="50">
        <v>12.311961719999999</v>
      </c>
      <c r="OE20" s="50"/>
      <c r="OF20" s="50">
        <v>12.311961719999999</v>
      </c>
      <c r="OG20" s="50">
        <v>-1.27417319</v>
      </c>
      <c r="OH20" s="50"/>
      <c r="OI20" s="50">
        <v>-1.27417319</v>
      </c>
      <c r="OJ20" s="50">
        <v>0.45107066999999995</v>
      </c>
      <c r="OK20" s="50"/>
      <c r="OL20" s="50">
        <v>0.45107066999999995</v>
      </c>
      <c r="OM20" s="50">
        <v>11.21992784</v>
      </c>
      <c r="ON20" s="50"/>
      <c r="OO20" s="50">
        <v>11.21992784</v>
      </c>
      <c r="OP20" s="50">
        <v>-1.4670345500000002</v>
      </c>
      <c r="OQ20" s="50"/>
      <c r="OR20" s="50">
        <v>-1.4670345500000002</v>
      </c>
      <c r="OS20" s="50">
        <v>0.32202741000000007</v>
      </c>
      <c r="OT20" s="50"/>
      <c r="OU20" s="50">
        <v>0.32202741000000007</v>
      </c>
      <c r="OV20" s="50">
        <v>13.464576020000001</v>
      </c>
      <c r="OW20" s="50"/>
      <c r="OX20" s="50">
        <v>13.464576020000001</v>
      </c>
      <c r="OY20" s="94">
        <v>-2.03863021</v>
      </c>
      <c r="OZ20" s="50"/>
      <c r="PA20" s="94">
        <v>-2.03863021</v>
      </c>
      <c r="PB20" s="50">
        <v>0.32493687999999993</v>
      </c>
      <c r="PC20" s="50"/>
      <c r="PD20" s="50">
        <v>0.32493687999999993</v>
      </c>
      <c r="PE20" s="50">
        <v>13.167801909999998</v>
      </c>
      <c r="PF20" s="50"/>
      <c r="PG20" s="50">
        <v>13.167801909999998</v>
      </c>
      <c r="PH20" s="50">
        <v>-2.3529704200000001</v>
      </c>
      <c r="PI20" s="50"/>
      <c r="PJ20" s="50">
        <v>-2.3529704200000001</v>
      </c>
      <c r="PK20" s="50">
        <v>0.19531230000000002</v>
      </c>
      <c r="PL20" s="50"/>
      <c r="PM20" s="50">
        <v>0.19531230000000002</v>
      </c>
      <c r="PN20" s="50">
        <f t="shared" si="68"/>
        <v>44.324806380000005</v>
      </c>
      <c r="PO20" s="50">
        <f t="shared" si="42"/>
        <v>0</v>
      </c>
      <c r="PP20" s="50">
        <f t="shared" si="43"/>
        <v>44.324806380000005</v>
      </c>
      <c r="PQ20" s="50">
        <f t="shared" si="9"/>
        <v>44.324807</v>
      </c>
      <c r="PR20" s="50"/>
      <c r="PS20" s="50">
        <v>44.324807</v>
      </c>
      <c r="PT20" s="50">
        <v>14.642445390000001</v>
      </c>
      <c r="PU20" s="50"/>
      <c r="PV20" s="50">
        <v>14.642445390000001</v>
      </c>
      <c r="PW20" s="50">
        <v>-1.7541752400000004</v>
      </c>
      <c r="PX20" s="50"/>
      <c r="PY20" s="50">
        <v>-1.7541752400000004</v>
      </c>
      <c r="PZ20" s="50">
        <v>0.23423492000000001</v>
      </c>
      <c r="QA20" s="50"/>
      <c r="QB20" s="50">
        <v>0.23423492000000001</v>
      </c>
      <c r="QC20" s="50">
        <v>14.105309309999999</v>
      </c>
      <c r="QD20" s="50"/>
      <c r="QE20" s="50">
        <v>14.105309309999999</v>
      </c>
      <c r="QF20" s="50">
        <v>-1.9767875099999999</v>
      </c>
      <c r="QG20" s="50"/>
      <c r="QH20" s="50">
        <v>-1.9767875099999999</v>
      </c>
      <c r="QI20" s="50">
        <v>0.37069960000000002</v>
      </c>
      <c r="QJ20" s="50"/>
      <c r="QK20" s="50">
        <v>0.37069960000000002</v>
      </c>
      <c r="QL20" s="50">
        <v>14.341495570000001</v>
      </c>
      <c r="QM20" s="50"/>
      <c r="QN20" s="50">
        <v>14.341495570000001</v>
      </c>
      <c r="QO20" s="50">
        <v>-2.4643908100000003</v>
      </c>
      <c r="QP20" s="50"/>
      <c r="QQ20" s="50">
        <v>-2.4643908100000003</v>
      </c>
      <c r="QR20" s="50">
        <v>0.32278379999999995</v>
      </c>
      <c r="QS20" s="50"/>
      <c r="QT20" s="50">
        <v>0.32278379999999995</v>
      </c>
      <c r="QU20" s="50">
        <v>14.281098910000001</v>
      </c>
      <c r="QV20" s="50"/>
      <c r="QW20" s="50">
        <v>14.281098910000001</v>
      </c>
      <c r="QX20" s="50">
        <v>-2.6288067399999995</v>
      </c>
      <c r="QY20" s="50"/>
      <c r="QZ20" s="50">
        <v>-2.6288067399999995</v>
      </c>
      <c r="RA20" s="50">
        <v>0.36178299999999997</v>
      </c>
      <c r="RB20" s="50"/>
      <c r="RC20" s="50">
        <v>0.36178299999999997</v>
      </c>
      <c r="RD20" s="50">
        <f t="shared" si="52"/>
        <v>49.835690200000002</v>
      </c>
      <c r="RE20" s="50">
        <f t="shared" si="53"/>
        <v>0</v>
      </c>
      <c r="RF20" s="50">
        <f t="shared" si="54"/>
        <v>49.835690200000002</v>
      </c>
      <c r="RG20" s="50">
        <f t="shared" si="11"/>
        <v>49.835690999999997</v>
      </c>
      <c r="RH20" s="50"/>
      <c r="RI20" s="50">
        <v>49.835690999999997</v>
      </c>
      <c r="RJ20" s="50">
        <v>15.474755779999999</v>
      </c>
      <c r="RK20" s="50"/>
      <c r="RL20" s="50">
        <v>15.474755779999999</v>
      </c>
      <c r="RM20" s="50">
        <v>-1.6159047800000006</v>
      </c>
      <c r="RN20" s="50"/>
      <c r="RO20" s="50">
        <v>-1.6159047800000006</v>
      </c>
      <c r="RP20" s="50">
        <v>0.67809754</v>
      </c>
      <c r="RQ20" s="50"/>
      <c r="RR20" s="50">
        <v>0.67809754</v>
      </c>
      <c r="RS20" s="50">
        <v>13.935405849999999</v>
      </c>
      <c r="RT20" s="50"/>
      <c r="RU20" s="50">
        <v>13.935405849999999</v>
      </c>
      <c r="RV20" s="50">
        <v>-2.3126857499999995</v>
      </c>
      <c r="RW20" s="50"/>
      <c r="RX20" s="50">
        <v>-2.3126857499999995</v>
      </c>
      <c r="RY20" s="50">
        <v>0.57125124999999999</v>
      </c>
      <c r="RZ20" s="50"/>
      <c r="SA20" s="50">
        <v>0.57125124999999999</v>
      </c>
      <c r="SB20" s="50">
        <v>14.332861339999999</v>
      </c>
      <c r="SC20" s="50"/>
      <c r="SD20" s="50">
        <v>14.332861339999999</v>
      </c>
      <c r="SE20" s="50">
        <v>-3.2539792500000004</v>
      </c>
      <c r="SF20" s="50"/>
      <c r="SG20" s="50">
        <v>-3.2539792500000004</v>
      </c>
      <c r="SH20" s="50">
        <v>0.64161565999999992</v>
      </c>
      <c r="SI20" s="50"/>
      <c r="SJ20" s="50">
        <v>0.64161565999999992</v>
      </c>
      <c r="SK20" s="50">
        <v>14.1320614</v>
      </c>
      <c r="SL20" s="50"/>
      <c r="SM20" s="50">
        <v>14.1320614</v>
      </c>
      <c r="SN20" s="50">
        <v>-4.05727013</v>
      </c>
      <c r="SO20" s="50"/>
      <c r="SP20" s="50">
        <v>-4.05727013</v>
      </c>
      <c r="SQ20" s="50">
        <v>0.56326843999999998</v>
      </c>
      <c r="SR20" s="50"/>
      <c r="SS20" s="50">
        <v>0.56326843999999998</v>
      </c>
      <c r="ST20" s="50">
        <f t="shared" si="55"/>
        <v>49.089477349999996</v>
      </c>
      <c r="SU20" s="50">
        <f t="shared" si="65"/>
        <v>0</v>
      </c>
      <c r="SV20" s="50">
        <f t="shared" si="56"/>
        <v>49.089477349999996</v>
      </c>
      <c r="SW20" s="50">
        <f t="shared" si="44"/>
        <v>49.089478</v>
      </c>
      <c r="SX20" s="50"/>
      <c r="SY20" s="50">
        <v>49.089478</v>
      </c>
      <c r="SZ20" s="50">
        <v>14.509894489999999</v>
      </c>
      <c r="TA20" s="50"/>
      <c r="TB20" s="50">
        <v>14.509894489999999</v>
      </c>
      <c r="TC20" s="50">
        <v>-3.1018273000000001</v>
      </c>
      <c r="TD20" s="50"/>
      <c r="TE20" s="50">
        <v>-3.1018273000000001</v>
      </c>
      <c r="TF20" s="50">
        <v>0.92508538000000018</v>
      </c>
      <c r="TG20" s="50"/>
      <c r="TH20" s="50">
        <v>0.92508538000000018</v>
      </c>
      <c r="TI20" s="50">
        <v>11.64463276</v>
      </c>
      <c r="TJ20" s="50"/>
      <c r="TK20" s="50">
        <v>11.64463276</v>
      </c>
      <c r="TL20" s="50">
        <v>-3.2263214099999997</v>
      </c>
      <c r="TM20" s="50"/>
      <c r="TN20" s="50">
        <v>-3.2263214099999997</v>
      </c>
      <c r="TO20" s="50">
        <v>0.64019007000000006</v>
      </c>
      <c r="TP20" s="50"/>
      <c r="TQ20" s="50">
        <v>0.64019007000000006</v>
      </c>
      <c r="TR20" s="50">
        <v>12.928481250000001</v>
      </c>
      <c r="TS20" s="50"/>
      <c r="TT20" s="50">
        <v>12.928481250000001</v>
      </c>
      <c r="TU20" s="50">
        <v>-3.8679617999999998</v>
      </c>
      <c r="TV20" s="50"/>
      <c r="TW20" s="50">
        <v>-3.8679617999999998</v>
      </c>
      <c r="TX20" s="50">
        <v>0.66357655999999998</v>
      </c>
      <c r="TY20" s="50"/>
      <c r="TZ20" s="50">
        <v>0.66357655999999998</v>
      </c>
      <c r="UA20" s="50">
        <v>14.89708559</v>
      </c>
      <c r="UB20" s="50"/>
      <c r="UC20" s="50">
        <v>14.89708559</v>
      </c>
      <c r="UD20" s="50">
        <v>-4.4048975000000006</v>
      </c>
      <c r="UE20" s="50"/>
      <c r="UF20" s="50">
        <v>-4.4048975000000006</v>
      </c>
      <c r="UG20" s="50">
        <v>0.50622490999999992</v>
      </c>
      <c r="UH20" s="50"/>
      <c r="UI20" s="50">
        <v>0.50622490999999992</v>
      </c>
      <c r="UJ20" s="50">
        <f t="shared" si="45"/>
        <v>42.114162999999991</v>
      </c>
      <c r="UK20" s="50">
        <f t="shared" si="15"/>
        <v>0</v>
      </c>
      <c r="UL20" s="50">
        <f t="shared" si="16"/>
        <v>42.114162999999991</v>
      </c>
      <c r="UM20" s="50">
        <v>15.067167590000002</v>
      </c>
      <c r="UN20" s="50"/>
      <c r="UO20" s="50">
        <v>15.067167590000002</v>
      </c>
      <c r="UP20" s="50">
        <v>-4.2027785899999994</v>
      </c>
      <c r="UQ20" s="50"/>
      <c r="UR20" s="50">
        <v>-4.2027785899999994</v>
      </c>
      <c r="US20" s="50">
        <v>0.64766780000000002</v>
      </c>
      <c r="UT20" s="50"/>
      <c r="UU20" s="50">
        <v>0.64766780000000002</v>
      </c>
      <c r="UV20" s="50">
        <v>10.909546240000001</v>
      </c>
      <c r="UW20" s="50"/>
      <c r="UX20" s="50">
        <v>10.909546240000001</v>
      </c>
      <c r="UY20" s="50"/>
      <c r="UZ20" s="50"/>
      <c r="VA20" s="50"/>
      <c r="VB20" s="50"/>
      <c r="VC20" s="50"/>
      <c r="VD20" s="50"/>
      <c r="VE20" s="50"/>
      <c r="VF20" s="50"/>
      <c r="VG20" s="50"/>
      <c r="VH20" s="50"/>
      <c r="VI20" s="50"/>
      <c r="VJ20" s="50"/>
      <c r="VK20" s="50"/>
      <c r="VL20" s="50"/>
      <c r="VM20" s="50"/>
      <c r="VN20" s="50"/>
      <c r="VO20" s="50"/>
      <c r="VP20" s="50"/>
      <c r="VQ20" s="50"/>
      <c r="VR20" s="50"/>
      <c r="VS20" s="50"/>
      <c r="VT20" s="50"/>
      <c r="VU20" s="50"/>
      <c r="VV20" s="50"/>
      <c r="VW20" s="276">
        <f t="shared" si="57"/>
        <v>23.977785000000001</v>
      </c>
      <c r="VX20" s="292">
        <f t="shared" si="58"/>
        <v>0</v>
      </c>
      <c r="VY20" s="292">
        <f t="shared" si="59"/>
        <v>23.977785000000001</v>
      </c>
      <c r="VZ20" s="276">
        <f t="shared" si="60"/>
        <v>22.421603000000001</v>
      </c>
      <c r="WA20" s="292">
        <f t="shared" si="61"/>
        <v>0</v>
      </c>
      <c r="WB20" s="292">
        <f t="shared" si="62"/>
        <v>22.421603000000001</v>
      </c>
      <c r="WC20" s="277">
        <f t="shared" si="63"/>
        <v>-1.5561819999999997</v>
      </c>
      <c r="WD20" s="277">
        <f t="shared" si="64"/>
        <v>-6.4900990646133465</v>
      </c>
    </row>
    <row r="21" spans="1:602" s="12" customFormat="1" ht="20.5">
      <c r="A21" s="77" t="s">
        <v>65</v>
      </c>
      <c r="B21" s="12" t="s">
        <v>66</v>
      </c>
      <c r="C21" s="77" t="s">
        <v>67</v>
      </c>
      <c r="D21" s="45">
        <v>31.844290869147017</v>
      </c>
      <c r="E21" s="42">
        <v>30.653035554720805</v>
      </c>
      <c r="F21" s="42">
        <v>22.03088912413703</v>
      </c>
      <c r="G21" s="42">
        <v>16.53653792522524</v>
      </c>
      <c r="H21" s="42">
        <v>1.3688297163931906</v>
      </c>
      <c r="I21" s="42">
        <v>1.3820040864878402</v>
      </c>
      <c r="J21" s="42">
        <v>1.3393207779124763</v>
      </c>
      <c r="K21" s="42">
        <v>1.3678465119720433</v>
      </c>
      <c r="L21" s="42">
        <v>1.2031619057375882</v>
      </c>
      <c r="M21" s="42">
        <v>1.5784955691771816</v>
      </c>
      <c r="N21" s="42">
        <v>1.4951238183049615</v>
      </c>
      <c r="O21" s="42">
        <v>1.5396198655670712</v>
      </c>
      <c r="P21" s="42">
        <v>1.5068397447937123</v>
      </c>
      <c r="Q21" s="42">
        <v>1.5309417703940218</v>
      </c>
      <c r="R21" s="42">
        <v>1.5406301045526207</v>
      </c>
      <c r="S21" s="42">
        <v>1.5630175696211177</v>
      </c>
      <c r="T21" s="42">
        <v>17.415831440913827</v>
      </c>
      <c r="U21" s="42">
        <v>0</v>
      </c>
      <c r="V21" s="42">
        <v>17.415831440913827</v>
      </c>
      <c r="W21" s="42">
        <v>17.415831440913824</v>
      </c>
      <c r="X21" s="42">
        <v>1.5986121308359087</v>
      </c>
      <c r="Y21" s="42">
        <v>1.7784076356992844</v>
      </c>
      <c r="Z21" s="42">
        <v>1.7609603815573045</v>
      </c>
      <c r="AA21" s="42">
        <v>1.7918324312326053</v>
      </c>
      <c r="AB21" s="42">
        <v>1.7790237391932886</v>
      </c>
      <c r="AC21" s="42">
        <v>1.784254215969175</v>
      </c>
      <c r="AD21" s="42">
        <v>1.765302986323356</v>
      </c>
      <c r="AE21" s="42">
        <v>1.7744591664247786</v>
      </c>
      <c r="AF21" s="42">
        <v>1.7925381756506793</v>
      </c>
      <c r="AG21" s="42">
        <v>1.8032467088975019</v>
      </c>
      <c r="AH21" s="42">
        <v>1.8506539518841667</v>
      </c>
      <c r="AI21" s="42">
        <v>1.8447760684344428</v>
      </c>
      <c r="AJ21" s="42">
        <f t="shared" si="46"/>
        <v>21.324067592102487</v>
      </c>
      <c r="AK21" s="42">
        <v>0</v>
      </c>
      <c r="AL21" s="42">
        <v>21.324067592102487</v>
      </c>
      <c r="AM21" s="42">
        <v>21.324067592102494</v>
      </c>
      <c r="AN21" s="42">
        <v>1.8503850291119572</v>
      </c>
      <c r="AO21" s="42">
        <v>1.8525819431875743</v>
      </c>
      <c r="AP21" s="42">
        <v>1.8597660229594595</v>
      </c>
      <c r="AQ21" s="42">
        <v>1.8880043369132788</v>
      </c>
      <c r="AR21" s="42">
        <v>1.8708388113898042</v>
      </c>
      <c r="AS21" s="42">
        <v>1.864936739119299</v>
      </c>
      <c r="AT21" s="42">
        <v>1.8427015213345397</v>
      </c>
      <c r="AU21" s="42">
        <v>2.1717733535950279</v>
      </c>
      <c r="AV21" s="42">
        <v>1.7079712124575273</v>
      </c>
      <c r="AW21" s="42">
        <v>1.7140369149862551</v>
      </c>
      <c r="AX21" s="42">
        <v>1.8629134154045794</v>
      </c>
      <c r="AY21" s="42">
        <v>1.8871520366987098</v>
      </c>
      <c r="AZ21" s="42">
        <v>22.373061337158013</v>
      </c>
      <c r="BA21" s="42"/>
      <c r="BB21" s="42">
        <v>22.373061337158013</v>
      </c>
      <c r="BC21" s="45">
        <f t="shared" si="21"/>
        <v>22.373061337158013</v>
      </c>
      <c r="BD21" s="45"/>
      <c r="BE21" s="45">
        <v>22.373061337158013</v>
      </c>
      <c r="BF21" s="44">
        <f t="shared" ref="BF21:BL21" si="73">BF22+BF23</f>
        <v>1.9080009999999998</v>
      </c>
      <c r="BG21" s="118">
        <f t="shared" si="73"/>
        <v>0</v>
      </c>
      <c r="BH21" s="50">
        <f t="shared" si="73"/>
        <v>1.9080009999999998</v>
      </c>
      <c r="BI21" s="44">
        <f t="shared" si="73"/>
        <v>1.9009669999999999</v>
      </c>
      <c r="BJ21" s="119">
        <f t="shared" si="73"/>
        <v>0</v>
      </c>
      <c r="BK21" s="50">
        <f t="shared" si="73"/>
        <v>1.9009669999999999</v>
      </c>
      <c r="BL21" s="44">
        <f t="shared" si="73"/>
        <v>1.8734379999999999</v>
      </c>
      <c r="BM21" s="50"/>
      <c r="BN21" s="50">
        <f>BN22+BN23</f>
        <v>1.8734379999999999</v>
      </c>
      <c r="BO21" s="44">
        <f>BO22+BO23</f>
        <v>1.920309</v>
      </c>
      <c r="BP21" s="50"/>
      <c r="BQ21" s="50">
        <f>BQ22+BQ23</f>
        <v>1.920309</v>
      </c>
      <c r="BR21" s="44">
        <f>BR22+BR23</f>
        <v>2.7944439999999999</v>
      </c>
      <c r="BS21" s="50"/>
      <c r="BT21" s="50">
        <f>BT22+BT23</f>
        <v>2.7944439999999999</v>
      </c>
      <c r="BU21" s="44">
        <f>BU22+BU23</f>
        <v>1.423424</v>
      </c>
      <c r="BV21" s="50"/>
      <c r="BW21" s="50">
        <f>BW22+BW23</f>
        <v>1.423424</v>
      </c>
      <c r="BX21" s="44">
        <f>BX22+BX23</f>
        <v>1.5476839999999998</v>
      </c>
      <c r="BY21" s="50"/>
      <c r="BZ21" s="50">
        <f>BZ22+BZ23</f>
        <v>1.5476839999999998</v>
      </c>
      <c r="CA21" s="44">
        <f>CA22+CA23</f>
        <v>1.9434560000000001</v>
      </c>
      <c r="CB21" s="50"/>
      <c r="CC21" s="50">
        <f>CC22+CC23</f>
        <v>1.9434560000000001</v>
      </c>
      <c r="CD21" s="44">
        <f>CD22+CD23</f>
        <v>1.9535947499999999</v>
      </c>
      <c r="CE21" s="50"/>
      <c r="CF21" s="50">
        <f>CF22+CF23</f>
        <v>1.9535947499999999</v>
      </c>
      <c r="CG21" s="44">
        <f>CG22+CG23</f>
        <v>1.9553128200000001</v>
      </c>
      <c r="CH21" s="50"/>
      <c r="CI21" s="50">
        <f>CI22+CI23</f>
        <v>1.9553128200000001</v>
      </c>
      <c r="CJ21" s="44">
        <f>CJ22+CJ23</f>
        <v>1.9827270100000003</v>
      </c>
      <c r="CK21" s="45"/>
      <c r="CL21" s="50">
        <f>CL22+CL23</f>
        <v>1.9827270100000003</v>
      </c>
      <c r="CM21" s="44">
        <f>CM22+CM23</f>
        <v>1.9884799199999998</v>
      </c>
      <c r="CN21" s="45"/>
      <c r="CO21" s="50">
        <f>CO22+CO23</f>
        <v>1.9884799199999998</v>
      </c>
      <c r="CP21" s="50">
        <f t="shared" si="24"/>
        <v>23.191837500000002</v>
      </c>
      <c r="CQ21" s="50">
        <f t="shared" si="25"/>
        <v>0</v>
      </c>
      <c r="CR21" s="50">
        <f t="shared" si="26"/>
        <v>23.191837500000002</v>
      </c>
      <c r="CS21" s="45">
        <f t="shared" si="2"/>
        <v>23.191837999999997</v>
      </c>
      <c r="CT21" s="45"/>
      <c r="CU21" s="45">
        <f>CU22+CU23</f>
        <v>23.191837999999997</v>
      </c>
      <c r="CV21" s="44">
        <f>CV22+CV23</f>
        <v>2.0154242099999999</v>
      </c>
      <c r="CW21" s="45"/>
      <c r="CX21" s="50">
        <f>CX22+CX23</f>
        <v>2.0154242099999999</v>
      </c>
      <c r="CY21" s="44">
        <v>2.0046467099999998</v>
      </c>
      <c r="CZ21" s="45"/>
      <c r="DA21" s="50">
        <v>2.0046467099999998</v>
      </c>
      <c r="DB21" s="44">
        <v>1.9740565200000002</v>
      </c>
      <c r="DC21" s="45"/>
      <c r="DD21" s="50">
        <v>1.9740565200000002</v>
      </c>
      <c r="DE21" s="44">
        <v>1.98831153</v>
      </c>
      <c r="DF21" s="45"/>
      <c r="DG21" s="50">
        <v>1.98831153</v>
      </c>
      <c r="DH21" s="44">
        <v>2.00442155</v>
      </c>
      <c r="DI21" s="45"/>
      <c r="DJ21" s="50">
        <v>2.00442155</v>
      </c>
      <c r="DK21" s="44">
        <v>2.0555592699999998</v>
      </c>
      <c r="DL21" s="45"/>
      <c r="DM21" s="50">
        <v>2.0555592699999998</v>
      </c>
      <c r="DN21" s="44">
        <v>1.99528269</v>
      </c>
      <c r="DO21" s="45"/>
      <c r="DP21" s="50">
        <v>1.99528269</v>
      </c>
      <c r="DQ21" s="44">
        <v>2.0107218900000001</v>
      </c>
      <c r="DR21" s="45"/>
      <c r="DS21" s="50">
        <v>2.0107218900000001</v>
      </c>
      <c r="DT21" s="44">
        <v>2.0321979199999998</v>
      </c>
      <c r="DU21" s="45"/>
      <c r="DV21" s="50">
        <v>2.0321979199999998</v>
      </c>
      <c r="DW21" s="44">
        <v>2.0817319599999999</v>
      </c>
      <c r="DX21" s="45"/>
      <c r="DY21" s="50">
        <v>2.0817319599999999</v>
      </c>
      <c r="DZ21" s="44">
        <v>2.0875225300000002</v>
      </c>
      <c r="EA21" s="45"/>
      <c r="EB21" s="50">
        <v>2.0875225300000002</v>
      </c>
      <c r="EC21" s="44">
        <v>2.1541289999999997</v>
      </c>
      <c r="ED21" s="45"/>
      <c r="EE21" s="50">
        <v>2.1541289999999997</v>
      </c>
      <c r="EF21" s="50">
        <f t="shared" si="27"/>
        <v>24.404005780000002</v>
      </c>
      <c r="EG21" s="50">
        <f t="shared" si="28"/>
        <v>0</v>
      </c>
      <c r="EH21" s="50">
        <f t="shared" si="29"/>
        <v>24.404005780000002</v>
      </c>
      <c r="EI21" s="50">
        <f t="shared" si="70"/>
        <v>24.404005779999999</v>
      </c>
      <c r="EJ21" s="50"/>
      <c r="EK21" s="50">
        <f>EK22+EK23</f>
        <v>24.404005779999999</v>
      </c>
      <c r="EL21" s="50">
        <v>2.1615460099999999</v>
      </c>
      <c r="EM21" s="50"/>
      <c r="EN21" s="50">
        <v>2.1615460099999999</v>
      </c>
      <c r="EO21" s="50">
        <v>2.1887050599999998</v>
      </c>
      <c r="EP21" s="50"/>
      <c r="EQ21" s="50">
        <v>2.1887050599999998</v>
      </c>
      <c r="ER21" s="50">
        <v>2.1660352500000002</v>
      </c>
      <c r="ES21" s="50"/>
      <c r="ET21" s="50">
        <v>2.1660352500000002</v>
      </c>
      <c r="EU21" s="50">
        <v>2.2219547500000001</v>
      </c>
      <c r="EV21" s="50"/>
      <c r="EW21" s="50">
        <v>2.2219547500000001</v>
      </c>
      <c r="EX21" s="50">
        <v>2.19888219</v>
      </c>
      <c r="EY21" s="50"/>
      <c r="EZ21" s="50">
        <v>2.19888219</v>
      </c>
      <c r="FA21" s="50">
        <v>2.1796292799999999</v>
      </c>
      <c r="FB21" s="50"/>
      <c r="FC21" s="50">
        <v>2.1796292799999999</v>
      </c>
      <c r="FD21" s="50">
        <v>2.2178935600000003</v>
      </c>
      <c r="FE21" s="50"/>
      <c r="FF21" s="50">
        <v>2.2178935600000003</v>
      </c>
      <c r="FG21" s="50">
        <v>2.2230927899999999</v>
      </c>
      <c r="FH21" s="50"/>
      <c r="FI21" s="50">
        <v>2.2230927899999999</v>
      </c>
      <c r="FJ21" s="50">
        <v>2.2226479599999998</v>
      </c>
      <c r="FK21" s="50"/>
      <c r="FL21" s="50">
        <v>2.2226479599999998</v>
      </c>
      <c r="FM21" s="50">
        <v>2.2443880300000001</v>
      </c>
      <c r="FN21" s="50"/>
      <c r="FO21" s="50">
        <v>2.2443880300000001</v>
      </c>
      <c r="FP21" s="50">
        <v>2.33862397</v>
      </c>
      <c r="FQ21" s="50"/>
      <c r="FR21" s="50">
        <v>2.33862397</v>
      </c>
      <c r="FS21" s="50">
        <v>2.1565012800000001</v>
      </c>
      <c r="FT21" s="50"/>
      <c r="FU21" s="50">
        <v>2.1565012800000001</v>
      </c>
      <c r="FV21" s="50">
        <f t="shared" si="30"/>
        <v>26.51990013</v>
      </c>
      <c r="FW21" s="50">
        <f t="shared" si="31"/>
        <v>0</v>
      </c>
      <c r="FX21" s="50">
        <f t="shared" si="32"/>
        <v>26.51990013</v>
      </c>
      <c r="FY21" s="50">
        <f t="shared" si="71"/>
        <v>26.5199</v>
      </c>
      <c r="FZ21" s="50"/>
      <c r="GA21" s="50">
        <f>GA22+GA23</f>
        <v>26.5199</v>
      </c>
      <c r="GB21" s="50">
        <v>2.3725216100000002</v>
      </c>
      <c r="GC21" s="50"/>
      <c r="GD21" s="50">
        <v>2.3725216100000002</v>
      </c>
      <c r="GE21" s="50">
        <v>2.3343247699999998</v>
      </c>
      <c r="GF21" s="50"/>
      <c r="GG21" s="50">
        <v>2.3343247699999998</v>
      </c>
      <c r="GH21" s="50">
        <v>2.2995924700000003</v>
      </c>
      <c r="GI21" s="50"/>
      <c r="GJ21" s="50">
        <v>2.2995924700000003</v>
      </c>
      <c r="GK21" s="50">
        <v>2.3736972999999999</v>
      </c>
      <c r="GL21" s="50"/>
      <c r="GM21" s="50">
        <v>2.3736972999999999</v>
      </c>
      <c r="GN21" s="50">
        <v>2.3244687400000004</v>
      </c>
      <c r="GO21" s="50"/>
      <c r="GP21" s="50">
        <v>2.3244687400000004</v>
      </c>
      <c r="GQ21" s="50">
        <v>2.3335228099999998</v>
      </c>
      <c r="GR21" s="50"/>
      <c r="GS21" s="50">
        <v>2.3335228099999998</v>
      </c>
      <c r="GT21" s="50">
        <v>2.2966624900000001</v>
      </c>
      <c r="GU21" s="50"/>
      <c r="GV21" s="50">
        <v>2.2966624900000001</v>
      </c>
      <c r="GW21" s="50">
        <v>2.3101290099999998</v>
      </c>
      <c r="GX21" s="50"/>
      <c r="GY21" s="50">
        <v>2.3101290099999998</v>
      </c>
      <c r="GZ21" s="50">
        <v>2.3325806600000001</v>
      </c>
      <c r="HA21" s="50"/>
      <c r="HB21" s="50">
        <v>2.3325806600000001</v>
      </c>
      <c r="HC21" s="50">
        <v>2.3444512499999997</v>
      </c>
      <c r="HD21" s="50"/>
      <c r="HE21" s="50">
        <v>2.3444512499999997</v>
      </c>
      <c r="HF21" s="50">
        <v>2.3750836799999999</v>
      </c>
      <c r="HG21" s="50"/>
      <c r="HH21" s="50">
        <v>2.3750836799999999</v>
      </c>
      <c r="HI21" s="50">
        <v>2.3714077200000001</v>
      </c>
      <c r="HJ21" s="50"/>
      <c r="HK21" s="50">
        <v>2.3714077200000001</v>
      </c>
      <c r="HL21" s="50">
        <f t="shared" si="33"/>
        <v>28.068442510000001</v>
      </c>
      <c r="HM21" s="50">
        <f t="shared" si="34"/>
        <v>0</v>
      </c>
      <c r="HN21" s="50">
        <f t="shared" si="35"/>
        <v>28.068442510000001</v>
      </c>
      <c r="HO21" s="50">
        <f t="shared" si="3"/>
        <v>28.068442000000001</v>
      </c>
      <c r="HP21" s="50"/>
      <c r="HQ21" s="50">
        <f>HQ22+HQ23</f>
        <v>28.068442000000001</v>
      </c>
      <c r="HR21" s="50">
        <v>2.45800733</v>
      </c>
      <c r="HS21" s="50">
        <v>0</v>
      </c>
      <c r="HT21" s="50">
        <v>2.45800733</v>
      </c>
      <c r="HU21" s="50">
        <v>2.9463069899999996</v>
      </c>
      <c r="HV21" s="50">
        <v>0</v>
      </c>
      <c r="HW21" s="50">
        <v>2.9463069899999996</v>
      </c>
      <c r="HX21" s="50">
        <v>2.83869529</v>
      </c>
      <c r="HY21" s="50">
        <v>0</v>
      </c>
      <c r="HZ21" s="50">
        <v>2.83869529</v>
      </c>
      <c r="IA21" s="50">
        <v>2.9996442600000002</v>
      </c>
      <c r="IB21" s="50">
        <v>0</v>
      </c>
      <c r="IC21" s="50">
        <v>2.9996442600000002</v>
      </c>
      <c r="ID21" s="50">
        <v>2.8981698300000001</v>
      </c>
      <c r="IE21" s="50">
        <v>0</v>
      </c>
      <c r="IF21" s="50">
        <v>2.8981698300000001</v>
      </c>
      <c r="IG21" s="50">
        <v>2.9180104999999998</v>
      </c>
      <c r="IH21" s="50">
        <v>0</v>
      </c>
      <c r="II21" s="50">
        <v>2.9180104999999998</v>
      </c>
      <c r="IJ21" s="50">
        <v>2.9501149899999999</v>
      </c>
      <c r="IK21" s="50">
        <v>0</v>
      </c>
      <c r="IL21" s="50">
        <v>2.9501149899999999</v>
      </c>
      <c r="IM21" s="50">
        <v>2.9527538</v>
      </c>
      <c r="IN21" s="50">
        <v>0</v>
      </c>
      <c r="IO21" s="50">
        <v>2.9527538</v>
      </c>
      <c r="IP21" s="50">
        <v>2.9487968100000002</v>
      </c>
      <c r="IQ21" s="50">
        <v>0</v>
      </c>
      <c r="IR21" s="50">
        <v>2.9487968100000002</v>
      </c>
      <c r="IS21" s="50">
        <v>2.9352257100000001</v>
      </c>
      <c r="IT21" s="50">
        <v>0</v>
      </c>
      <c r="IU21" s="50">
        <v>2.9352257100000001</v>
      </c>
      <c r="IV21" s="50">
        <v>3.0697557200000003</v>
      </c>
      <c r="IW21" s="50">
        <v>0</v>
      </c>
      <c r="IX21" s="50">
        <v>3.0697557200000003</v>
      </c>
      <c r="IY21" s="50">
        <v>3.04348967</v>
      </c>
      <c r="IZ21" s="50">
        <v>0</v>
      </c>
      <c r="JA21" s="50">
        <v>3.04348967</v>
      </c>
      <c r="JB21" s="50">
        <f t="shared" si="36"/>
        <v>34.958970900000004</v>
      </c>
      <c r="JC21" s="50">
        <f t="shared" si="37"/>
        <v>0</v>
      </c>
      <c r="JD21" s="50">
        <f t="shared" si="38"/>
        <v>34.958970900000004</v>
      </c>
      <c r="JE21" s="50">
        <f t="shared" si="4"/>
        <v>34.958970999999998</v>
      </c>
      <c r="JF21" s="50"/>
      <c r="JG21" s="50">
        <f>JG22+JG23</f>
        <v>34.958970999999998</v>
      </c>
      <c r="JH21" s="50">
        <v>3.0837958400000001</v>
      </c>
      <c r="JI21" s="50">
        <v>0</v>
      </c>
      <c r="JJ21" s="50">
        <v>3.0837958400000001</v>
      </c>
      <c r="JK21" s="50">
        <v>3.2525818599999998</v>
      </c>
      <c r="JL21" s="50">
        <v>0</v>
      </c>
      <c r="JM21" s="50">
        <v>3.2525818599999998</v>
      </c>
      <c r="JN21" s="50">
        <v>3.0282611199999998</v>
      </c>
      <c r="JO21" s="50">
        <v>0</v>
      </c>
      <c r="JP21" s="50">
        <v>3.0282611199999998</v>
      </c>
      <c r="JQ21" s="50">
        <v>3.0840931600000001</v>
      </c>
      <c r="JR21" s="50">
        <v>0</v>
      </c>
      <c r="JS21" s="50">
        <v>3.0840931600000001</v>
      </c>
      <c r="JT21" s="50">
        <v>5.3145508600000007</v>
      </c>
      <c r="JU21" s="50">
        <v>0</v>
      </c>
      <c r="JV21" s="50">
        <v>5.3145508600000007</v>
      </c>
      <c r="JW21" s="50">
        <v>2.2846968499999996</v>
      </c>
      <c r="JX21" s="50">
        <v>0</v>
      </c>
      <c r="JY21" s="50">
        <v>2.2846968499999996</v>
      </c>
      <c r="JZ21" s="50">
        <v>1.9034113500000001</v>
      </c>
      <c r="KA21" s="50">
        <v>0</v>
      </c>
      <c r="KB21" s="50">
        <v>1.9034113500000001</v>
      </c>
      <c r="KC21" s="50">
        <v>2.83071027</v>
      </c>
      <c r="KD21" s="50">
        <v>0</v>
      </c>
      <c r="KE21" s="50">
        <v>2.83071027</v>
      </c>
      <c r="KF21" s="50">
        <v>2.9689414000000003</v>
      </c>
      <c r="KG21" s="50">
        <v>0</v>
      </c>
      <c r="KH21" s="50">
        <v>2.9689414000000003</v>
      </c>
      <c r="KI21" s="50">
        <v>3.1014153700000002</v>
      </c>
      <c r="KJ21" s="50">
        <v>0</v>
      </c>
      <c r="KK21" s="50">
        <v>3.1014153700000002</v>
      </c>
      <c r="KL21" s="50">
        <v>3.2099051700000003</v>
      </c>
      <c r="KM21" s="50">
        <v>0</v>
      </c>
      <c r="KN21" s="50">
        <v>3.2099051700000003</v>
      </c>
      <c r="KO21" s="50">
        <v>3.2281670299999998</v>
      </c>
      <c r="KP21" s="50">
        <v>0</v>
      </c>
      <c r="KQ21" s="50">
        <v>3.2281670299999998</v>
      </c>
      <c r="KR21" s="50">
        <f t="shared" si="48"/>
        <v>37.290530280000006</v>
      </c>
      <c r="KS21" s="50">
        <f t="shared" si="39"/>
        <v>0</v>
      </c>
      <c r="KT21" s="50">
        <f t="shared" si="49"/>
        <v>37.290530280000006</v>
      </c>
      <c r="KU21" s="50">
        <f t="shared" si="5"/>
        <v>37.290530000000004</v>
      </c>
      <c r="KV21" s="50"/>
      <c r="KW21" s="50">
        <f>KW22+KW23</f>
        <v>37.290530000000004</v>
      </c>
      <c r="KX21" s="50">
        <v>3.2373437000000003</v>
      </c>
      <c r="KY21" s="50">
        <v>0</v>
      </c>
      <c r="KZ21" s="50">
        <v>3.2373437000000003</v>
      </c>
      <c r="LA21" s="50">
        <v>4.5042030199999994</v>
      </c>
      <c r="LB21" s="50">
        <v>0</v>
      </c>
      <c r="LC21" s="50">
        <v>4.5042030199999994</v>
      </c>
      <c r="LD21" s="50">
        <v>4.2969932100000001</v>
      </c>
      <c r="LE21" s="50">
        <v>0</v>
      </c>
      <c r="LF21" s="50">
        <v>4.2969932100000001</v>
      </c>
      <c r="LG21" s="50">
        <v>2.3521282400000003</v>
      </c>
      <c r="LH21" s="50">
        <v>0</v>
      </c>
      <c r="LI21" s="174">
        <v>2.3521282400000003</v>
      </c>
      <c r="LJ21" s="174">
        <v>0.40899111999999999</v>
      </c>
      <c r="LK21" s="50">
        <v>0</v>
      </c>
      <c r="LL21" s="174">
        <v>0.40899111999999999</v>
      </c>
      <c r="LM21" s="50">
        <v>0.30137730000000001</v>
      </c>
      <c r="LN21" s="50">
        <v>0</v>
      </c>
      <c r="LO21" s="50">
        <v>0.30137730000000001</v>
      </c>
      <c r="LP21" s="50">
        <v>1.48863356</v>
      </c>
      <c r="LQ21" s="50">
        <v>0</v>
      </c>
      <c r="LR21" s="44">
        <v>1.48863356</v>
      </c>
      <c r="LS21" s="50">
        <v>3.8499309100000003</v>
      </c>
      <c r="LT21" s="50">
        <v>0</v>
      </c>
      <c r="LU21" s="52">
        <v>3.8499309100000003</v>
      </c>
      <c r="LV21" s="44">
        <v>3.7693826800000001</v>
      </c>
      <c r="LW21" s="50">
        <v>0</v>
      </c>
      <c r="LX21" s="50">
        <v>3.7693826800000001</v>
      </c>
      <c r="LY21" s="50">
        <v>3.6620659900000003</v>
      </c>
      <c r="LZ21" s="50">
        <v>0</v>
      </c>
      <c r="MA21" s="50">
        <v>3.6620659900000003</v>
      </c>
      <c r="MB21" s="50">
        <v>2.4950607000000002</v>
      </c>
      <c r="MC21" s="50">
        <v>0</v>
      </c>
      <c r="MD21" s="50">
        <v>2.4950607000000002</v>
      </c>
      <c r="ME21" s="44">
        <v>1.2704168200000001</v>
      </c>
      <c r="MF21" s="44">
        <v>0</v>
      </c>
      <c r="MG21" s="44">
        <v>1.2704168200000001</v>
      </c>
      <c r="MH21" s="50">
        <f t="shared" si="66"/>
        <v>31.636527250000004</v>
      </c>
      <c r="MI21" s="50">
        <f t="shared" si="50"/>
        <v>0</v>
      </c>
      <c r="MJ21" s="50">
        <f t="shared" si="51"/>
        <v>31.636527250000004</v>
      </c>
      <c r="MK21" s="50">
        <f t="shared" si="7"/>
        <v>31.636527000000001</v>
      </c>
      <c r="ML21" s="50"/>
      <c r="MM21" s="50">
        <f>MM22+MM23</f>
        <v>31.636527000000001</v>
      </c>
      <c r="MN21" s="44">
        <v>1.16969992</v>
      </c>
      <c r="MO21" s="44">
        <v>0</v>
      </c>
      <c r="MP21" s="44">
        <v>1.16969992</v>
      </c>
      <c r="MQ21" s="44">
        <v>0.93958945999999999</v>
      </c>
      <c r="MR21" s="44">
        <v>0</v>
      </c>
      <c r="MS21" s="44">
        <v>0.93958945999999999</v>
      </c>
      <c r="MT21" s="44">
        <v>1.04082963</v>
      </c>
      <c r="MU21" s="50">
        <v>0</v>
      </c>
      <c r="MV21" s="44">
        <v>1.04082963</v>
      </c>
      <c r="MW21" s="50">
        <v>1.2711788500000001</v>
      </c>
      <c r="MX21" s="50">
        <v>0</v>
      </c>
      <c r="MY21" s="50">
        <v>1.2711788500000001</v>
      </c>
      <c r="MZ21" s="50">
        <v>1.1316505299999999</v>
      </c>
      <c r="NA21" s="50">
        <v>0</v>
      </c>
      <c r="NB21" s="50">
        <v>1.1316505299999999</v>
      </c>
      <c r="NC21" s="50">
        <v>1.4734425999999998</v>
      </c>
      <c r="ND21" s="50">
        <v>0</v>
      </c>
      <c r="NE21" s="50">
        <v>1.4734425999999998</v>
      </c>
      <c r="NF21" s="50">
        <v>1.2467674900000001</v>
      </c>
      <c r="NG21" s="50">
        <v>0</v>
      </c>
      <c r="NH21" s="50">
        <v>1.2467674900000001</v>
      </c>
      <c r="NI21" s="50">
        <v>2.4986949900000002</v>
      </c>
      <c r="NJ21" s="50">
        <v>0</v>
      </c>
      <c r="NK21" s="50">
        <v>2.4986949900000002</v>
      </c>
      <c r="NL21" s="50">
        <v>3.0609552</v>
      </c>
      <c r="NM21" s="50">
        <v>0</v>
      </c>
      <c r="NN21" s="50">
        <v>3.0609552</v>
      </c>
      <c r="NO21" s="50">
        <v>2.7464054199999999</v>
      </c>
      <c r="NP21" s="50">
        <v>0</v>
      </c>
      <c r="NQ21" s="50">
        <v>2.7464054199999999</v>
      </c>
      <c r="NR21" s="50">
        <v>1.89970963</v>
      </c>
      <c r="NS21" s="50">
        <v>0</v>
      </c>
      <c r="NT21" s="50">
        <v>1.89970963</v>
      </c>
      <c r="NU21" s="50">
        <v>1.45210777</v>
      </c>
      <c r="NV21" s="50">
        <v>0</v>
      </c>
      <c r="NW21" s="50">
        <v>1.45210777</v>
      </c>
      <c r="NX21" s="50">
        <f t="shared" si="67"/>
        <v>19.931031490000002</v>
      </c>
      <c r="NY21" s="50">
        <f t="shared" si="40"/>
        <v>0</v>
      </c>
      <c r="NZ21" s="50">
        <f t="shared" si="41"/>
        <v>19.931031490000002</v>
      </c>
      <c r="OA21" s="50">
        <f t="shared" si="8"/>
        <v>19.931043999999513</v>
      </c>
      <c r="OB21" s="50"/>
      <c r="OC21" s="50">
        <f>OC22+OC23</f>
        <v>19.931043999999513</v>
      </c>
      <c r="OD21" s="50">
        <v>1.38740058</v>
      </c>
      <c r="OE21" s="50"/>
      <c r="OF21" s="50">
        <v>1.38740058</v>
      </c>
      <c r="OG21" s="50">
        <v>1.4302328600000001</v>
      </c>
      <c r="OH21" s="50"/>
      <c r="OI21" s="50">
        <v>1.4302328600000001</v>
      </c>
      <c r="OJ21" s="50">
        <v>1.60543718</v>
      </c>
      <c r="OK21" s="50"/>
      <c r="OL21" s="50">
        <v>1.60543718</v>
      </c>
      <c r="OM21" s="50">
        <v>3.4170199500000003</v>
      </c>
      <c r="ON21" s="50"/>
      <c r="OO21" s="50">
        <v>3.4170199500000003</v>
      </c>
      <c r="OP21" s="50">
        <v>3.6941522600000001</v>
      </c>
      <c r="OQ21" s="50"/>
      <c r="OR21" s="50">
        <v>3.6941522600000001</v>
      </c>
      <c r="OS21" s="50">
        <v>3.8704764599999999</v>
      </c>
      <c r="OT21" s="50"/>
      <c r="OU21" s="50">
        <v>3.8704764599999999</v>
      </c>
      <c r="OV21" s="50">
        <v>3.6912420399999997</v>
      </c>
      <c r="OW21" s="50"/>
      <c r="OX21" s="50">
        <v>3.6912420399999997</v>
      </c>
      <c r="OY21" s="94">
        <v>3.8218254799999998</v>
      </c>
      <c r="OZ21" s="50"/>
      <c r="PA21" s="94">
        <v>3.8218254799999998</v>
      </c>
      <c r="PB21" s="50">
        <v>3.7806965299999997</v>
      </c>
      <c r="PC21" s="50"/>
      <c r="PD21" s="50">
        <v>3.7806965299999997</v>
      </c>
      <c r="PE21" s="50">
        <v>3.7782542100000001</v>
      </c>
      <c r="PF21" s="50"/>
      <c r="PG21" s="50">
        <v>3.7782542100000001</v>
      </c>
      <c r="PH21" s="50">
        <v>4.0195576099999997</v>
      </c>
      <c r="PI21" s="50"/>
      <c r="PJ21" s="50">
        <v>4.0195576099999997</v>
      </c>
      <c r="PK21" s="50">
        <v>4.0191933799999999</v>
      </c>
      <c r="PL21" s="50"/>
      <c r="PM21" s="50">
        <v>4.0191933799999999</v>
      </c>
      <c r="PN21" s="50">
        <f t="shared" si="68"/>
        <v>38.51548854</v>
      </c>
      <c r="PO21" s="50">
        <f t="shared" si="42"/>
        <v>0</v>
      </c>
      <c r="PP21" s="50">
        <f t="shared" si="43"/>
        <v>38.51548854</v>
      </c>
      <c r="PQ21" s="50">
        <f t="shared" si="9"/>
        <v>38.515488999999995</v>
      </c>
      <c r="PR21" s="50"/>
      <c r="PS21" s="50">
        <f>PS22+PS23</f>
        <v>38.515488999999995</v>
      </c>
      <c r="PT21" s="50">
        <v>4.01550399</v>
      </c>
      <c r="PU21" s="50"/>
      <c r="PV21" s="50">
        <v>4.01550399</v>
      </c>
      <c r="PW21" s="50">
        <v>3.9873497599999994</v>
      </c>
      <c r="PX21" s="50"/>
      <c r="PY21" s="50">
        <v>3.9873497599999994</v>
      </c>
      <c r="PZ21" s="50">
        <v>4.27239945</v>
      </c>
      <c r="QA21" s="50"/>
      <c r="QB21" s="50">
        <v>4.27239945</v>
      </c>
      <c r="QC21" s="50">
        <v>3.9839400000000005</v>
      </c>
      <c r="QD21" s="50"/>
      <c r="QE21" s="50">
        <v>3.9839400000000005</v>
      </c>
      <c r="QF21" s="50">
        <v>3.8542229400000001</v>
      </c>
      <c r="QG21" s="50"/>
      <c r="QH21" s="50">
        <v>3.8542229400000001</v>
      </c>
      <c r="QI21" s="50">
        <v>3.6382235600000001</v>
      </c>
      <c r="QJ21" s="50"/>
      <c r="QK21" s="50">
        <v>3.6382235600000001</v>
      </c>
      <c r="QL21" s="50">
        <v>3.7175256399999999</v>
      </c>
      <c r="QM21" s="50"/>
      <c r="QN21" s="50">
        <v>3.7175256399999999</v>
      </c>
      <c r="QO21" s="50">
        <v>3.91134395</v>
      </c>
      <c r="QP21" s="50"/>
      <c r="QQ21" s="50">
        <v>3.91134395</v>
      </c>
      <c r="QR21" s="50">
        <v>3.8403563099999998</v>
      </c>
      <c r="QS21" s="50"/>
      <c r="QT21" s="50">
        <v>3.8403563099999998</v>
      </c>
      <c r="QU21" s="50">
        <v>3.8946503499999996</v>
      </c>
      <c r="QV21" s="50"/>
      <c r="QW21" s="50">
        <v>3.8946503499999996</v>
      </c>
      <c r="QX21" s="50">
        <v>3.67068371</v>
      </c>
      <c r="QY21" s="50"/>
      <c r="QZ21" s="50">
        <v>3.67068371</v>
      </c>
      <c r="RA21" s="50">
        <v>3.64251251</v>
      </c>
      <c r="RB21" s="50"/>
      <c r="RC21" s="50">
        <v>3.64251251</v>
      </c>
      <c r="RD21" s="50">
        <f t="shared" si="52"/>
        <v>46.428712169999997</v>
      </c>
      <c r="RE21" s="50">
        <f t="shared" si="53"/>
        <v>0</v>
      </c>
      <c r="RF21" s="50">
        <f t="shared" si="54"/>
        <v>46.428712169999997</v>
      </c>
      <c r="RG21" s="50">
        <f t="shared" si="11"/>
        <v>46.428713000000002</v>
      </c>
      <c r="RH21" s="50"/>
      <c r="RI21" s="50">
        <f>RI22+RI23</f>
        <v>46.428713000000002</v>
      </c>
      <c r="RJ21" s="50">
        <v>4.2385041899999996</v>
      </c>
      <c r="RK21" s="50"/>
      <c r="RL21" s="50">
        <v>4.2385041899999996</v>
      </c>
      <c r="RM21" s="50">
        <v>4.4987883500000008</v>
      </c>
      <c r="RN21" s="50"/>
      <c r="RO21" s="50">
        <v>4.4987883500000008</v>
      </c>
      <c r="RP21" s="50">
        <v>4.3208153099999995</v>
      </c>
      <c r="RQ21" s="50"/>
      <c r="RR21" s="50">
        <v>4.3208153099999995</v>
      </c>
      <c r="RS21" s="50">
        <v>4.4976907099999996</v>
      </c>
      <c r="RT21" s="50"/>
      <c r="RU21" s="50">
        <v>4.4976907099999996</v>
      </c>
      <c r="RV21" s="50">
        <v>4.5176877599999994</v>
      </c>
      <c r="RW21" s="50"/>
      <c r="RX21" s="50">
        <v>4.5176877599999994</v>
      </c>
      <c r="RY21" s="50">
        <v>4.5320917200000004</v>
      </c>
      <c r="RZ21" s="50"/>
      <c r="SA21" s="50">
        <v>4.5320917200000004</v>
      </c>
      <c r="SB21" s="50">
        <v>4.5340605700000003</v>
      </c>
      <c r="SC21" s="50"/>
      <c r="SD21" s="50">
        <v>4.5340605700000003</v>
      </c>
      <c r="SE21" s="50">
        <v>4.2088040600000003</v>
      </c>
      <c r="SF21" s="50"/>
      <c r="SG21" s="50">
        <v>4.2088040600000003</v>
      </c>
      <c r="SH21" s="50">
        <v>4.2461534200000006</v>
      </c>
      <c r="SI21" s="50"/>
      <c r="SJ21" s="50">
        <v>4.2461534200000006</v>
      </c>
      <c r="SK21" s="50">
        <v>4.4870528800000002</v>
      </c>
      <c r="SL21" s="50"/>
      <c r="SM21" s="50">
        <v>4.4870528800000002</v>
      </c>
      <c r="SN21" s="50">
        <v>4.2986727499999997</v>
      </c>
      <c r="SO21" s="50"/>
      <c r="SP21" s="50">
        <v>4.2986727499999997</v>
      </c>
      <c r="SQ21" s="50">
        <v>4.5411490099999998</v>
      </c>
      <c r="SR21" s="50"/>
      <c r="SS21" s="50">
        <v>4.5411490099999998</v>
      </c>
      <c r="ST21" s="50">
        <f t="shared" si="55"/>
        <v>52.921470730000003</v>
      </c>
      <c r="SU21" s="50">
        <f t="shared" si="65"/>
        <v>0</v>
      </c>
      <c r="SV21" s="50">
        <f t="shared" si="56"/>
        <v>52.921470730000003</v>
      </c>
      <c r="SW21" s="50">
        <f t="shared" si="44"/>
        <v>52.921470999999997</v>
      </c>
      <c r="SX21" s="50"/>
      <c r="SY21" s="50">
        <f>SY22+SY23</f>
        <v>52.921470999999997</v>
      </c>
      <c r="SZ21" s="50">
        <v>4.51163911</v>
      </c>
      <c r="TA21" s="50"/>
      <c r="TB21" s="50">
        <v>4.51163911</v>
      </c>
      <c r="TC21" s="50">
        <v>4.2499566499999997</v>
      </c>
      <c r="TD21" s="50"/>
      <c r="TE21" s="50">
        <v>4.2499566499999997</v>
      </c>
      <c r="TF21" s="50">
        <v>4.34599504</v>
      </c>
      <c r="TG21" s="50"/>
      <c r="TH21" s="50">
        <v>4.34599504</v>
      </c>
      <c r="TI21" s="50">
        <v>4.7350130200000002</v>
      </c>
      <c r="TJ21" s="50"/>
      <c r="TK21" s="50">
        <v>4.7350130200000002</v>
      </c>
      <c r="TL21" s="50">
        <v>4.64949426</v>
      </c>
      <c r="TM21" s="50"/>
      <c r="TN21" s="50">
        <v>4.64949426</v>
      </c>
      <c r="TO21" s="50">
        <v>4.4915832599999996</v>
      </c>
      <c r="TP21" s="50"/>
      <c r="TQ21" s="50">
        <v>4.4915832599999996</v>
      </c>
      <c r="TR21" s="50">
        <v>4.4055563600000003</v>
      </c>
      <c r="TS21" s="50"/>
      <c r="TT21" s="50">
        <v>4.4055563600000003</v>
      </c>
      <c r="TU21" s="50">
        <v>4.3489226799999994</v>
      </c>
      <c r="TV21" s="50"/>
      <c r="TW21" s="50">
        <v>4.3489226799999994</v>
      </c>
      <c r="TX21" s="50">
        <v>4.5264193800000001</v>
      </c>
      <c r="TY21" s="50"/>
      <c r="TZ21" s="50">
        <v>4.5264193800000001</v>
      </c>
      <c r="UA21" s="50">
        <v>4.4234758100000002</v>
      </c>
      <c r="UB21" s="50"/>
      <c r="UC21" s="50">
        <v>4.4234758100000002</v>
      </c>
      <c r="UD21" s="50">
        <v>4.6740611100000002</v>
      </c>
      <c r="UE21" s="50"/>
      <c r="UF21" s="50">
        <v>4.6740611100000002</v>
      </c>
      <c r="UG21" s="12">
        <v>4.4045069699999999</v>
      </c>
      <c r="UH21" s="50"/>
      <c r="UI21" s="12">
        <v>4.4045069699999999</v>
      </c>
      <c r="UJ21" s="50">
        <f t="shared" si="45"/>
        <v>53.76662365</v>
      </c>
      <c r="UK21" s="50">
        <f t="shared" si="15"/>
        <v>0</v>
      </c>
      <c r="UL21" s="50">
        <f t="shared" si="16"/>
        <v>53.76662365</v>
      </c>
      <c r="UM21" s="50">
        <v>4.7728005200000005</v>
      </c>
      <c r="UN21" s="50"/>
      <c r="UO21" s="50">
        <v>4.7728005200000005</v>
      </c>
      <c r="UP21" s="50">
        <v>5.2663269099999992</v>
      </c>
      <c r="UQ21" s="50"/>
      <c r="UR21" s="50">
        <v>5.2663269099999992</v>
      </c>
      <c r="US21" s="50">
        <v>5.1128513599999996</v>
      </c>
      <c r="UT21" s="50"/>
      <c r="UU21" s="50">
        <v>5.1128513599999996</v>
      </c>
      <c r="UV21" s="50">
        <v>5.4285691900000002</v>
      </c>
      <c r="UW21" s="50"/>
      <c r="UX21" s="50">
        <v>5.4285691900000002</v>
      </c>
      <c r="VW21" s="276">
        <f t="shared" si="57"/>
        <v>17.842604000000001</v>
      </c>
      <c r="VX21" s="292">
        <f t="shared" si="58"/>
        <v>0</v>
      </c>
      <c r="VY21" s="292">
        <f t="shared" si="59"/>
        <v>17.842604000000001</v>
      </c>
      <c r="VZ21" s="276">
        <f t="shared" si="60"/>
        <v>20.580548</v>
      </c>
      <c r="WA21" s="292">
        <f t="shared" si="61"/>
        <v>0</v>
      </c>
      <c r="WB21" s="292">
        <f t="shared" si="62"/>
        <v>20.580548</v>
      </c>
      <c r="WC21" s="277">
        <f t="shared" si="63"/>
        <v>2.7379439999999988</v>
      </c>
      <c r="WD21" s="277">
        <f t="shared" si="64"/>
        <v>15.344979914366746</v>
      </c>
    </row>
    <row r="22" spans="1:602" s="12" customFormat="1" ht="20.5">
      <c r="A22" s="92" t="s">
        <v>199</v>
      </c>
      <c r="B22" s="12" t="s">
        <v>200</v>
      </c>
      <c r="C22" s="92" t="s">
        <v>201</v>
      </c>
      <c r="D22" s="50" t="s">
        <v>46</v>
      </c>
      <c r="E22" s="50" t="s">
        <v>46</v>
      </c>
      <c r="F22" s="50" t="s">
        <v>46</v>
      </c>
      <c r="G22" s="50">
        <v>0.83098095629000002</v>
      </c>
      <c r="H22" s="42">
        <v>8.7660827199999999E-2</v>
      </c>
      <c r="I22" s="42">
        <v>7.7824969689999995E-2</v>
      </c>
      <c r="J22" s="42">
        <v>7.5354551200000008E-2</v>
      </c>
      <c r="K22" s="42">
        <v>8.4911355090000001E-2</v>
      </c>
      <c r="L22" s="42">
        <v>8.0865461779999995E-2</v>
      </c>
      <c r="M22" s="42">
        <v>7.2526593470000011E-2</v>
      </c>
      <c r="N22" s="42">
        <v>7.1419044290000011E-2</v>
      </c>
      <c r="O22" s="42">
        <v>9.9976252269999996E-2</v>
      </c>
      <c r="P22" s="42">
        <v>6.6526200760000001E-2</v>
      </c>
      <c r="Q22" s="42">
        <v>9.3037632110000004E-2</v>
      </c>
      <c r="R22" s="42">
        <v>9.6112472330000004E-2</v>
      </c>
      <c r="S22" s="42">
        <v>0.11080335342</v>
      </c>
      <c r="T22" s="50">
        <v>0</v>
      </c>
      <c r="U22" s="50">
        <v>0</v>
      </c>
      <c r="V22" s="50">
        <v>0</v>
      </c>
      <c r="W22" s="50">
        <v>1.0170187136100002</v>
      </c>
      <c r="X22" s="42">
        <v>0.12507593867</v>
      </c>
      <c r="Y22" s="42">
        <v>0.11648963296000001</v>
      </c>
      <c r="Z22" s="42">
        <v>0.11156538665</v>
      </c>
      <c r="AA22" s="42">
        <v>0.12505664453000001</v>
      </c>
      <c r="AB22" s="42">
        <v>0.11043353481</v>
      </c>
      <c r="AC22" s="42">
        <v>0.10900118668</v>
      </c>
      <c r="AD22" s="42">
        <v>0.10898843774</v>
      </c>
      <c r="AE22" s="42">
        <v>0.10560403754</v>
      </c>
      <c r="AF22" s="42">
        <v>0.12388886517</v>
      </c>
      <c r="AG22" s="42">
        <v>0.12203574538999999</v>
      </c>
      <c r="AH22" s="42">
        <v>0.14449781162</v>
      </c>
      <c r="AI22" s="42">
        <v>0.15038303709</v>
      </c>
      <c r="AJ22" s="50">
        <f t="shared" si="46"/>
        <v>0</v>
      </c>
      <c r="AK22" s="50">
        <v>0</v>
      </c>
      <c r="AL22" s="50">
        <v>0</v>
      </c>
      <c r="AM22" s="50">
        <v>1.4530202588499999</v>
      </c>
      <c r="AN22" s="42">
        <v>0.16239054</v>
      </c>
      <c r="AO22" s="42">
        <v>0.15403073</v>
      </c>
      <c r="AP22" s="42">
        <v>0.15894759999999999</v>
      </c>
      <c r="AQ22" s="42">
        <v>0.17688726000000002</v>
      </c>
      <c r="AR22" s="42">
        <v>0.16491686</v>
      </c>
      <c r="AS22" s="42">
        <v>0.15386792999999999</v>
      </c>
      <c r="AT22" s="42">
        <v>0.14476835999999998</v>
      </c>
      <c r="AU22" s="42">
        <v>0.46990528999999998</v>
      </c>
      <c r="AV22" s="42">
        <v>0</v>
      </c>
      <c r="AW22" s="42">
        <v>3.6923699999999999E-3</v>
      </c>
      <c r="AX22" s="42">
        <v>0.16536420999999998</v>
      </c>
      <c r="AY22" s="42">
        <v>0.1745138</v>
      </c>
      <c r="AZ22" s="50">
        <v>1.9292849499999998</v>
      </c>
      <c r="BA22" s="50"/>
      <c r="BB22" s="50">
        <v>1.9292849499999998</v>
      </c>
      <c r="BC22" s="50">
        <f t="shared" si="21"/>
        <v>1.9292846938833588</v>
      </c>
      <c r="BD22" s="50"/>
      <c r="BE22" s="45">
        <v>1.9292846938833588</v>
      </c>
      <c r="BF22" s="44">
        <v>0.16450999999999999</v>
      </c>
      <c r="BG22" s="50"/>
      <c r="BH22" s="50">
        <f t="shared" ref="BH22:BH29" si="74">BF22+BG22</f>
        <v>0.16450999999999999</v>
      </c>
      <c r="BI22" s="45">
        <v>0.18479599999999999</v>
      </c>
      <c r="BJ22" s="121"/>
      <c r="BK22" s="50">
        <f t="shared" ref="BK22:BK29" si="75">BI22+BJ22</f>
        <v>0.18479599999999999</v>
      </c>
      <c r="BL22" s="50">
        <v>0.16156200000000001</v>
      </c>
      <c r="BM22" s="50"/>
      <c r="BN22" s="50">
        <f t="shared" ref="BN22:BN29" si="76">BL22+BM22</f>
        <v>0.16156200000000001</v>
      </c>
      <c r="BO22" s="50">
        <v>0.19575100000000001</v>
      </c>
      <c r="BP22" s="50"/>
      <c r="BQ22" s="50">
        <f t="shared" ref="BQ22:BQ29" si="77">BO22+BP22</f>
        <v>0.19575100000000001</v>
      </c>
      <c r="BR22" s="50">
        <v>0.18328700000000001</v>
      </c>
      <c r="BS22" s="50"/>
      <c r="BT22" s="50">
        <f t="shared" ref="BT22:BT29" si="78">BR22+BS22</f>
        <v>0.18328700000000001</v>
      </c>
      <c r="BU22" s="50">
        <v>0.16645799999999999</v>
      </c>
      <c r="BV22" s="50"/>
      <c r="BW22" s="50">
        <f t="shared" ref="BW22:BW29" si="79">BU22+BV22</f>
        <v>0.16645799999999999</v>
      </c>
      <c r="BX22" s="50">
        <v>0.15420800000000001</v>
      </c>
      <c r="BY22" s="50"/>
      <c r="BZ22" s="50">
        <f t="shared" ref="BZ22:BZ29" si="80">BX22+BY22</f>
        <v>0.15420800000000001</v>
      </c>
      <c r="CA22" s="50">
        <v>0.163913</v>
      </c>
      <c r="CB22" s="50"/>
      <c r="CC22" s="50">
        <f t="shared" ref="CC22:CC29" si="81">CA22+CB22</f>
        <v>0.163913</v>
      </c>
      <c r="CD22" s="50">
        <v>0.18415102999999999</v>
      </c>
      <c r="CE22" s="50"/>
      <c r="CF22" s="50">
        <f t="shared" ref="CF22:CF29" si="82">CD22+CE22</f>
        <v>0.18415102999999999</v>
      </c>
      <c r="CG22" s="50">
        <v>0.18620882</v>
      </c>
      <c r="CH22" s="50"/>
      <c r="CI22" s="50">
        <f t="shared" ref="CI22:CI29" si="83">CG22+CH22</f>
        <v>0.18620882</v>
      </c>
      <c r="CJ22" s="45">
        <v>0.19218689000000003</v>
      </c>
      <c r="CK22" s="45"/>
      <c r="CL22" s="50">
        <f t="shared" ref="CL22:CL29" si="84">CJ22+CK22</f>
        <v>0.19218689000000003</v>
      </c>
      <c r="CM22" s="42">
        <v>0.19290185000000001</v>
      </c>
      <c r="CN22" s="45"/>
      <c r="CO22" s="50">
        <f t="shared" ref="CO22:CO29" si="85">CM22+CN22</f>
        <v>0.19290185000000001</v>
      </c>
      <c r="CP22" s="50">
        <f t="shared" si="24"/>
        <v>2.1299335900000003</v>
      </c>
      <c r="CQ22" s="50">
        <f t="shared" si="25"/>
        <v>0</v>
      </c>
      <c r="CR22" s="50">
        <f t="shared" si="26"/>
        <v>2.1299335900000003</v>
      </c>
      <c r="CS22" s="50">
        <f t="shared" si="2"/>
        <v>2.129934</v>
      </c>
      <c r="CT22" s="50"/>
      <c r="CU22" s="45">
        <v>2.129934</v>
      </c>
      <c r="CV22" s="42">
        <v>0.22326815</v>
      </c>
      <c r="CW22" s="45"/>
      <c r="CX22" s="50">
        <f t="shared" ref="CX22:CX29" si="86">CV22+CW22</f>
        <v>0.22326815</v>
      </c>
      <c r="CY22" s="42">
        <v>0.20081932</v>
      </c>
      <c r="CZ22" s="45"/>
      <c r="DA22" s="50">
        <v>0.20081932</v>
      </c>
      <c r="DB22" s="42">
        <v>0.18839395</v>
      </c>
      <c r="DC22" s="45"/>
      <c r="DD22" s="50">
        <v>0.18839395</v>
      </c>
      <c r="DE22" s="42">
        <v>0.19342983999999999</v>
      </c>
      <c r="DF22" s="45"/>
      <c r="DG22" s="50">
        <v>0.19342983999999999</v>
      </c>
      <c r="DH22" s="42">
        <v>0.19977477999999999</v>
      </c>
      <c r="DI22" s="45"/>
      <c r="DJ22" s="50">
        <v>0.19977477999999999</v>
      </c>
      <c r="DK22" s="42">
        <v>0.21566839999999998</v>
      </c>
      <c r="DL22" s="45"/>
      <c r="DM22" s="50">
        <v>0.21566839999999998</v>
      </c>
      <c r="DN22" s="42">
        <v>0.17291253000000001</v>
      </c>
      <c r="DO22" s="45"/>
      <c r="DP22" s="50">
        <v>0.17291253000000001</v>
      </c>
      <c r="DQ22" s="42">
        <v>0.19478848000000001</v>
      </c>
      <c r="DR22" s="45"/>
      <c r="DS22" s="50">
        <v>0.19478848000000001</v>
      </c>
      <c r="DT22" s="42">
        <v>0.18721054000000001</v>
      </c>
      <c r="DU22" s="45"/>
      <c r="DV22" s="50">
        <v>0.18721054000000001</v>
      </c>
      <c r="DW22" s="42">
        <v>0.19432401000000002</v>
      </c>
      <c r="DX22" s="45"/>
      <c r="DY22" s="50">
        <v>0.19432401000000002</v>
      </c>
      <c r="DZ22" s="42">
        <v>0.21619231999999999</v>
      </c>
      <c r="EA22" s="45"/>
      <c r="EB22" s="50">
        <v>0.21619231999999999</v>
      </c>
      <c r="EC22" s="42">
        <v>0.22372060000000002</v>
      </c>
      <c r="ED22" s="45"/>
      <c r="EE22" s="50">
        <v>0.22372060000000002</v>
      </c>
      <c r="EF22" s="50">
        <f t="shared" si="27"/>
        <v>2.4105029199999999</v>
      </c>
      <c r="EG22" s="50">
        <f t="shared" si="28"/>
        <v>0</v>
      </c>
      <c r="EH22" s="50">
        <f t="shared" si="29"/>
        <v>2.4105029199999999</v>
      </c>
      <c r="EI22" s="50">
        <f t="shared" si="70"/>
        <v>2.4105029199999999</v>
      </c>
      <c r="EJ22" s="50"/>
      <c r="EK22" s="50">
        <v>2.4105029199999999</v>
      </c>
      <c r="EL22" s="50">
        <v>0.28132932999999999</v>
      </c>
      <c r="EM22" s="50"/>
      <c r="EN22" s="50">
        <v>0.28132932999999999</v>
      </c>
      <c r="EO22" s="50">
        <v>0.25683968000000001</v>
      </c>
      <c r="EP22" s="50"/>
      <c r="EQ22" s="50">
        <v>0.25683968000000001</v>
      </c>
      <c r="ER22" s="50">
        <v>0.23899642000000001</v>
      </c>
      <c r="ES22" s="50"/>
      <c r="ET22" s="50">
        <v>0.23899642000000001</v>
      </c>
      <c r="EU22" s="50">
        <v>0.27410640999999997</v>
      </c>
      <c r="EV22" s="50"/>
      <c r="EW22" s="50">
        <v>0.27410640999999997</v>
      </c>
      <c r="EX22" s="50">
        <v>0.24863016000000002</v>
      </c>
      <c r="EY22" s="50"/>
      <c r="EZ22" s="50">
        <v>0.24863015999999999</v>
      </c>
      <c r="FA22" s="50">
        <v>0.21309718999999999</v>
      </c>
      <c r="FB22" s="50"/>
      <c r="FC22" s="50">
        <v>0.21309718999999999</v>
      </c>
      <c r="FD22" s="50">
        <v>0.21699831</v>
      </c>
      <c r="FE22" s="50"/>
      <c r="FF22" s="50">
        <v>0.21699831</v>
      </c>
      <c r="FG22" s="50">
        <v>0.23417204999999999</v>
      </c>
      <c r="FH22" s="50"/>
      <c r="FI22" s="50">
        <v>0.23417204999999999</v>
      </c>
      <c r="FJ22" s="50">
        <v>0.22296917000000002</v>
      </c>
      <c r="FK22" s="50"/>
      <c r="FL22" s="50">
        <v>0.22296917000000002</v>
      </c>
      <c r="FM22" s="50">
        <v>0.22438035000000001</v>
      </c>
      <c r="FN22" s="50"/>
      <c r="FO22" s="50">
        <v>0.22438035000000001</v>
      </c>
      <c r="FP22" s="50">
        <v>0.24462288000000001</v>
      </c>
      <c r="FQ22" s="50"/>
      <c r="FR22" s="50">
        <v>0.24462288000000001</v>
      </c>
      <c r="FS22" s="50">
        <v>0.22182321999999999</v>
      </c>
      <c r="FT22" s="50"/>
      <c r="FU22" s="50">
        <v>0.22182321999999999</v>
      </c>
      <c r="FV22" s="50">
        <f t="shared" si="30"/>
        <v>2.8779651700000004</v>
      </c>
      <c r="FW22" s="50">
        <f t="shared" si="31"/>
        <v>0</v>
      </c>
      <c r="FX22" s="50">
        <f t="shared" si="32"/>
        <v>2.8779651700000004</v>
      </c>
      <c r="FY22" s="50">
        <f t="shared" si="71"/>
        <v>2.8779650000000001</v>
      </c>
      <c r="FZ22" s="50"/>
      <c r="GA22" s="50">
        <v>2.8779650000000001</v>
      </c>
      <c r="GB22" s="50">
        <v>0.33519759000000005</v>
      </c>
      <c r="GC22" s="50"/>
      <c r="GD22" s="50">
        <v>0.33519759000000005</v>
      </c>
      <c r="GE22" s="50">
        <v>0.28400372999999995</v>
      </c>
      <c r="GF22" s="50"/>
      <c r="GG22" s="50">
        <v>0.28400372999999995</v>
      </c>
      <c r="GH22" s="50">
        <v>0.24086219</v>
      </c>
      <c r="GI22" s="50"/>
      <c r="GJ22" s="50">
        <v>0.24086219</v>
      </c>
      <c r="GK22" s="50">
        <v>0.28853741999999999</v>
      </c>
      <c r="GL22" s="50"/>
      <c r="GM22" s="50">
        <v>0.28853741999999999</v>
      </c>
      <c r="GN22" s="50">
        <v>0.26780514</v>
      </c>
      <c r="GO22" s="50"/>
      <c r="GP22" s="50">
        <v>0.26780514</v>
      </c>
      <c r="GQ22" s="50">
        <v>0.25983104000000001</v>
      </c>
      <c r="GR22" s="50"/>
      <c r="GS22" s="50">
        <v>0.25983104000000001</v>
      </c>
      <c r="GT22" s="50">
        <v>0.25639413999999999</v>
      </c>
      <c r="GU22" s="50"/>
      <c r="GV22" s="50">
        <v>0.25639413999999999</v>
      </c>
      <c r="GW22" s="50">
        <v>0.24093151000000002</v>
      </c>
      <c r="GX22" s="50"/>
      <c r="GY22" s="50">
        <v>0.24093151000000002</v>
      </c>
      <c r="GZ22" s="50">
        <v>0.25588470000000002</v>
      </c>
      <c r="HA22" s="50"/>
      <c r="HB22" s="50">
        <v>0.25588470000000002</v>
      </c>
      <c r="HC22" s="50">
        <v>0.25401494000000002</v>
      </c>
      <c r="HD22" s="50"/>
      <c r="HE22" s="50">
        <v>0.25401494000000002</v>
      </c>
      <c r="HF22" s="50">
        <v>0.26136502</v>
      </c>
      <c r="HG22" s="50"/>
      <c r="HH22" s="50">
        <v>0.26136502</v>
      </c>
      <c r="HI22" s="50">
        <v>0.28604027000000004</v>
      </c>
      <c r="HJ22" s="50"/>
      <c r="HK22" s="50">
        <v>0.28604027000000004</v>
      </c>
      <c r="HL22" s="50">
        <f t="shared" si="33"/>
        <v>3.2308676899999997</v>
      </c>
      <c r="HM22" s="50">
        <f t="shared" si="34"/>
        <v>0</v>
      </c>
      <c r="HN22" s="50">
        <f t="shared" si="35"/>
        <v>3.2308676899999997</v>
      </c>
      <c r="HO22" s="50">
        <f t="shared" si="3"/>
        <v>3.2308669999999999</v>
      </c>
      <c r="HP22" s="50"/>
      <c r="HQ22" s="50">
        <v>3.2308669999999999</v>
      </c>
      <c r="HR22" s="50">
        <v>0.32958068000000001</v>
      </c>
      <c r="HS22" s="50">
        <v>0</v>
      </c>
      <c r="HT22" s="50">
        <v>0.32958068000000001</v>
      </c>
      <c r="HU22" s="50">
        <v>0.27707822999999998</v>
      </c>
      <c r="HV22" s="50">
        <v>0</v>
      </c>
      <c r="HW22" s="50">
        <v>0.27707822999999998</v>
      </c>
      <c r="HX22" s="50">
        <v>0.24070079999999999</v>
      </c>
      <c r="HY22" s="50">
        <v>0</v>
      </c>
      <c r="HZ22" s="50">
        <v>0.24070079999999999</v>
      </c>
      <c r="IA22" s="50">
        <v>0.25616120000000003</v>
      </c>
      <c r="IB22" s="50">
        <v>0</v>
      </c>
      <c r="IC22" s="50">
        <v>0.25616120000000003</v>
      </c>
      <c r="ID22" s="50">
        <v>0.21698667000000002</v>
      </c>
      <c r="IE22" s="50">
        <v>0</v>
      </c>
      <c r="IF22" s="50">
        <v>0.21698667000000002</v>
      </c>
      <c r="IG22" s="50">
        <v>0.22364210999999998</v>
      </c>
      <c r="IH22" s="50">
        <v>0</v>
      </c>
      <c r="II22" s="50">
        <v>0.22364210999999998</v>
      </c>
      <c r="IJ22" s="50">
        <v>0.25128819000000002</v>
      </c>
      <c r="IK22" s="50">
        <v>0</v>
      </c>
      <c r="IL22" s="50">
        <v>0.25128819000000002</v>
      </c>
      <c r="IM22" s="50">
        <v>0.21349624</v>
      </c>
      <c r="IN22" s="50">
        <v>0</v>
      </c>
      <c r="IO22" s="50">
        <v>0.21349624</v>
      </c>
      <c r="IP22" s="50">
        <v>0.22739122000000001</v>
      </c>
      <c r="IQ22" s="50">
        <v>0</v>
      </c>
      <c r="IR22" s="50">
        <v>0.22739122000000001</v>
      </c>
      <c r="IS22" s="50">
        <v>0.21773695999999998</v>
      </c>
      <c r="IT22" s="50">
        <v>0</v>
      </c>
      <c r="IU22" s="50">
        <v>0.21773695999999998</v>
      </c>
      <c r="IV22" s="50">
        <v>0.25498733000000001</v>
      </c>
      <c r="IW22" s="50">
        <v>0</v>
      </c>
      <c r="IX22" s="50">
        <v>0.25498733000000001</v>
      </c>
      <c r="IY22" s="50">
        <v>0.28772336999999998</v>
      </c>
      <c r="IZ22" s="50">
        <v>0</v>
      </c>
      <c r="JA22" s="50">
        <v>0.28772336999999998</v>
      </c>
      <c r="JB22" s="50">
        <f t="shared" si="36"/>
        <v>2.9967729999999997</v>
      </c>
      <c r="JC22" s="50">
        <f t="shared" si="37"/>
        <v>0</v>
      </c>
      <c r="JD22" s="50">
        <f t="shared" si="38"/>
        <v>2.9967729999999997</v>
      </c>
      <c r="JE22" s="50">
        <f t="shared" si="4"/>
        <v>2.9967730000000001</v>
      </c>
      <c r="JF22" s="50"/>
      <c r="JG22" s="50">
        <v>2.9967730000000001</v>
      </c>
      <c r="JH22" s="50">
        <v>0.25571969</v>
      </c>
      <c r="JI22" s="50">
        <v>0</v>
      </c>
      <c r="JJ22" s="50">
        <v>0.25571969</v>
      </c>
      <c r="JK22" s="50">
        <v>0.26143752999999997</v>
      </c>
      <c r="JL22" s="50">
        <v>0</v>
      </c>
      <c r="JM22" s="50">
        <v>0.26143752999999997</v>
      </c>
      <c r="JN22" s="50">
        <v>0.24430354999999998</v>
      </c>
      <c r="JO22" s="50">
        <v>0</v>
      </c>
      <c r="JP22" s="50">
        <v>0.24430354999999998</v>
      </c>
      <c r="JQ22" s="50">
        <v>0.26288803999999999</v>
      </c>
      <c r="JR22" s="50">
        <v>0</v>
      </c>
      <c r="JS22" s="50">
        <v>0.26288803999999999</v>
      </c>
      <c r="JT22" s="50">
        <v>0</v>
      </c>
      <c r="JU22" s="50">
        <v>0</v>
      </c>
      <c r="JV22" s="50">
        <v>0.25753058000000001</v>
      </c>
      <c r="JW22" s="50">
        <v>0.40013121999999995</v>
      </c>
      <c r="JX22" s="50">
        <v>0</v>
      </c>
      <c r="JY22" s="50">
        <v>0.40013121999999995</v>
      </c>
      <c r="JZ22" s="50">
        <v>8.0299990000000002E-2</v>
      </c>
      <c r="KA22" s="50">
        <v>0</v>
      </c>
      <c r="KB22" s="50">
        <v>8.0299990000000002E-2</v>
      </c>
      <c r="KC22" s="50">
        <v>0.24293987</v>
      </c>
      <c r="KD22" s="50">
        <v>0</v>
      </c>
      <c r="KE22" s="50">
        <v>0.24293987</v>
      </c>
      <c r="KF22" s="50">
        <v>0.26148799</v>
      </c>
      <c r="KG22" s="50">
        <v>0</v>
      </c>
      <c r="KH22" s="50">
        <v>0.26148799</v>
      </c>
      <c r="KI22" s="50">
        <v>0.25070042999999997</v>
      </c>
      <c r="KJ22" s="50">
        <v>0</v>
      </c>
      <c r="KK22" s="50">
        <v>0.25070042999999997</v>
      </c>
      <c r="KL22" s="50">
        <v>0.28055170000000001</v>
      </c>
      <c r="KM22" s="50">
        <v>0</v>
      </c>
      <c r="KN22" s="50">
        <v>0.28055170000000001</v>
      </c>
      <c r="KO22" s="50">
        <v>0.29997135999999996</v>
      </c>
      <c r="KP22" s="50">
        <v>0</v>
      </c>
      <c r="KQ22" s="50">
        <v>0.29997135999999996</v>
      </c>
      <c r="KR22" s="50">
        <f t="shared" si="48"/>
        <v>2.8404313700000001</v>
      </c>
      <c r="KS22" s="50">
        <f t="shared" si="39"/>
        <v>0</v>
      </c>
      <c r="KT22" s="50">
        <f t="shared" si="49"/>
        <v>3.0979619500000002</v>
      </c>
      <c r="KU22" s="50">
        <f t="shared" si="5"/>
        <v>3.0979619999999999</v>
      </c>
      <c r="KV22" s="50"/>
      <c r="KW22" s="50">
        <v>3.0979619999999999</v>
      </c>
      <c r="KX22" s="50">
        <v>0.30332775000000001</v>
      </c>
      <c r="KY22" s="50">
        <v>0</v>
      </c>
      <c r="KZ22" s="50">
        <v>0.30332775000000001</v>
      </c>
      <c r="LA22" s="50">
        <v>0.31189285</v>
      </c>
      <c r="LB22" s="50">
        <v>0</v>
      </c>
      <c r="LC22" s="50">
        <v>0.31189285</v>
      </c>
      <c r="LD22" s="50">
        <v>0.29921134999999999</v>
      </c>
      <c r="LE22" s="50">
        <v>0</v>
      </c>
      <c r="LF22" s="50">
        <v>0.29921134999999999</v>
      </c>
      <c r="LG22" s="50">
        <v>0.26212865000000002</v>
      </c>
      <c r="LH22" s="50">
        <v>0</v>
      </c>
      <c r="LI22" s="174">
        <v>0.26212865000000002</v>
      </c>
      <c r="LJ22" s="50">
        <v>0.31758817</v>
      </c>
      <c r="LK22" s="50">
        <v>0</v>
      </c>
      <c r="LL22" s="50">
        <v>0.31758817</v>
      </c>
      <c r="LM22" s="50">
        <v>0.30137383000000001</v>
      </c>
      <c r="LN22" s="50">
        <v>0</v>
      </c>
      <c r="LO22" s="50">
        <v>0.30137383000000001</v>
      </c>
      <c r="LP22" s="50">
        <v>0.27081049000000001</v>
      </c>
      <c r="LQ22" s="50">
        <v>0</v>
      </c>
      <c r="LR22" s="44">
        <v>0.27081049000000001</v>
      </c>
      <c r="LS22" s="50">
        <v>0.28728052000000004</v>
      </c>
      <c r="LT22" s="50">
        <v>0</v>
      </c>
      <c r="LU22" s="52">
        <v>0.28728052000000004</v>
      </c>
      <c r="LV22" s="44">
        <v>0.29093165999999998</v>
      </c>
      <c r="LW22" s="50">
        <v>0</v>
      </c>
      <c r="LX22" s="50">
        <v>0.29093165999999998</v>
      </c>
      <c r="LY22" s="50">
        <v>0.30551428999999997</v>
      </c>
      <c r="LZ22" s="50">
        <v>0</v>
      </c>
      <c r="MA22" s="50">
        <v>0.30551428999999997</v>
      </c>
      <c r="MB22" s="50">
        <v>0.31792056000000002</v>
      </c>
      <c r="MC22" s="50">
        <v>0</v>
      </c>
      <c r="MD22" s="50">
        <v>0.31792056000000002</v>
      </c>
      <c r="ME22" s="44">
        <v>0.29387279999999999</v>
      </c>
      <c r="MF22" s="44">
        <v>0</v>
      </c>
      <c r="MG22" s="44">
        <v>0.29387279999999999</v>
      </c>
      <c r="MH22" s="50">
        <f t="shared" si="66"/>
        <v>3.5618529200000002</v>
      </c>
      <c r="MI22" s="50">
        <f t="shared" si="50"/>
        <v>0</v>
      </c>
      <c r="MJ22" s="50">
        <f t="shared" si="51"/>
        <v>3.5618529200000002</v>
      </c>
      <c r="MK22" s="50">
        <f t="shared" si="7"/>
        <v>3.5618530000000002</v>
      </c>
      <c r="ML22" s="50"/>
      <c r="MM22" s="50">
        <v>3.5618530000000002</v>
      </c>
      <c r="MN22" s="44">
        <v>0.44887376000000001</v>
      </c>
      <c r="MO22" s="44"/>
      <c r="MP22" s="44">
        <v>0.44887376000000001</v>
      </c>
      <c r="MQ22" s="44">
        <v>0.17874324999999999</v>
      </c>
      <c r="MR22" s="44">
        <v>0</v>
      </c>
      <c r="MS22" s="44">
        <v>0.17874324999999999</v>
      </c>
      <c r="MT22" s="44">
        <v>0.28049696999999996</v>
      </c>
      <c r="MU22" s="50">
        <v>0</v>
      </c>
      <c r="MV22" s="44">
        <v>0.28049696999999996</v>
      </c>
      <c r="MW22" s="50">
        <v>0.34621096999999995</v>
      </c>
      <c r="MX22" s="50">
        <v>0</v>
      </c>
      <c r="MY22" s="50">
        <v>0.34621096999999995</v>
      </c>
      <c r="MZ22" s="50">
        <v>0.32132471000000001</v>
      </c>
      <c r="NA22" s="50">
        <v>0</v>
      </c>
      <c r="NB22" s="50">
        <v>0.32132471000000001</v>
      </c>
      <c r="NC22" s="50">
        <v>0.31569491999999999</v>
      </c>
      <c r="ND22" s="50">
        <v>0</v>
      </c>
      <c r="NE22" s="50">
        <v>0.31569491999999999</v>
      </c>
      <c r="NF22" s="50">
        <v>0.30932990999999999</v>
      </c>
      <c r="NG22" s="50">
        <v>0</v>
      </c>
      <c r="NH22" s="50">
        <v>0.30932990999999999</v>
      </c>
      <c r="NI22" s="50">
        <v>0.29079924000000001</v>
      </c>
      <c r="NJ22" s="50">
        <v>0</v>
      </c>
      <c r="NK22" s="50">
        <v>0.29079924000000001</v>
      </c>
      <c r="NL22" s="50">
        <v>0.28815796000000005</v>
      </c>
      <c r="NM22" s="50">
        <v>0</v>
      </c>
      <c r="NN22" s="50">
        <v>0.28815796000000005</v>
      </c>
      <c r="NO22" s="50">
        <v>0.29453100999999998</v>
      </c>
      <c r="NP22" s="50">
        <v>0</v>
      </c>
      <c r="NQ22" s="50">
        <v>0.29453100999999998</v>
      </c>
      <c r="NR22" s="50">
        <v>0.29366132</v>
      </c>
      <c r="NS22" s="50">
        <v>0</v>
      </c>
      <c r="NT22" s="50">
        <v>0.29366132</v>
      </c>
      <c r="NU22" s="50">
        <v>0.28630306999999999</v>
      </c>
      <c r="NV22" s="50">
        <v>0</v>
      </c>
      <c r="NW22" s="50">
        <v>0.28630306999999999</v>
      </c>
      <c r="NX22" s="50">
        <f t="shared" si="67"/>
        <v>3.6541270900000002</v>
      </c>
      <c r="NY22" s="50">
        <f t="shared" si="40"/>
        <v>0</v>
      </c>
      <c r="NZ22" s="50">
        <f t="shared" si="41"/>
        <v>3.6541270900000002</v>
      </c>
      <c r="OA22" s="50">
        <f t="shared" si="8"/>
        <v>3.6541389999995149</v>
      </c>
      <c r="OB22" s="50"/>
      <c r="OC22" s="50">
        <v>3.6541389999995149</v>
      </c>
      <c r="OD22" s="50">
        <v>0.41657455999999998</v>
      </c>
      <c r="OE22" s="50"/>
      <c r="OF22" s="50">
        <v>0.41657455999999998</v>
      </c>
      <c r="OG22" s="50">
        <v>0.37870105999999998</v>
      </c>
      <c r="OH22" s="50">
        <v>0</v>
      </c>
      <c r="OI22" s="50">
        <v>0.37870105999999998</v>
      </c>
      <c r="OJ22" s="50">
        <v>0.37076821000000004</v>
      </c>
      <c r="OK22" s="50"/>
      <c r="OL22" s="50">
        <v>0.37076821000000004</v>
      </c>
      <c r="OM22" s="50">
        <v>0.36911400999999999</v>
      </c>
      <c r="ON22" s="50"/>
      <c r="OO22" s="50">
        <v>0.36911400999999999</v>
      </c>
      <c r="OP22" s="50">
        <v>0.36377596999999995</v>
      </c>
      <c r="OQ22" s="50"/>
      <c r="OR22" s="50">
        <v>0.36377596999999995</v>
      </c>
      <c r="OS22" s="50">
        <v>3.50357444</v>
      </c>
      <c r="OT22" s="50"/>
      <c r="OU22" s="50">
        <v>3.50357444</v>
      </c>
      <c r="OV22" s="50">
        <v>3.3940082999999999</v>
      </c>
      <c r="OW22" s="50"/>
      <c r="OX22" s="50">
        <v>3.3940082999999999</v>
      </c>
      <c r="OY22" s="94">
        <v>3.4698943799999999</v>
      </c>
      <c r="OZ22" s="50"/>
      <c r="PA22" s="94">
        <v>3.4698943799999999</v>
      </c>
      <c r="PB22" s="50">
        <v>3.4673375499999999</v>
      </c>
      <c r="PC22" s="50"/>
      <c r="PD22" s="50">
        <v>3.4673375499999999</v>
      </c>
      <c r="PE22" s="50">
        <v>3.4762990899999999</v>
      </c>
      <c r="PF22" s="50"/>
      <c r="PG22" s="50">
        <v>3.4762990899999999</v>
      </c>
      <c r="PH22" s="50">
        <v>3.6797582799999997</v>
      </c>
      <c r="PI22" s="50"/>
      <c r="PJ22" s="50">
        <v>3.6797582799999997</v>
      </c>
      <c r="PK22" s="50">
        <v>3.6203749599999999</v>
      </c>
      <c r="PL22" s="50"/>
      <c r="PM22" s="50">
        <v>3.6203749599999999</v>
      </c>
      <c r="PN22" s="50">
        <f t="shared" si="68"/>
        <v>26.510180810000001</v>
      </c>
      <c r="PO22" s="50">
        <f t="shared" si="42"/>
        <v>0</v>
      </c>
      <c r="PP22" s="50">
        <f t="shared" si="43"/>
        <v>26.510180810000001</v>
      </c>
      <c r="PQ22" s="50">
        <f t="shared" si="9"/>
        <v>4.2689329999999996</v>
      </c>
      <c r="PR22" s="50"/>
      <c r="PS22" s="50">
        <v>4.2689329999999996</v>
      </c>
      <c r="PT22" s="50">
        <v>0.41554424000000001</v>
      </c>
      <c r="PU22" s="50"/>
      <c r="PV22" s="50">
        <v>0.41554424000000001</v>
      </c>
      <c r="PW22" s="50">
        <v>0.40220099999999998</v>
      </c>
      <c r="PX22" s="50"/>
      <c r="PY22" s="50">
        <v>0.40220099999999998</v>
      </c>
      <c r="PZ22" s="50">
        <v>0.33826909999999999</v>
      </c>
      <c r="QA22" s="50"/>
      <c r="QB22" s="50">
        <v>0.33826909999999999</v>
      </c>
      <c r="QC22" s="50">
        <v>0.41429746000000001</v>
      </c>
      <c r="QD22" s="50"/>
      <c r="QE22" s="50">
        <v>0.41429746000000001</v>
      </c>
      <c r="QF22" s="50">
        <v>0.38571502000000002</v>
      </c>
      <c r="QG22" s="50"/>
      <c r="QH22" s="50">
        <v>0.38571502000000002</v>
      </c>
      <c r="QI22" s="50">
        <v>0.36157786999999997</v>
      </c>
      <c r="QJ22" s="50"/>
      <c r="QK22" s="50">
        <v>0.36157786999999997</v>
      </c>
      <c r="QL22" s="50">
        <v>0.39930007000000001</v>
      </c>
      <c r="QM22" s="50"/>
      <c r="QN22" s="50">
        <v>0.39930007000000001</v>
      </c>
      <c r="QO22" s="50">
        <v>0.37774795999999999</v>
      </c>
      <c r="QP22" s="50"/>
      <c r="QQ22" s="50">
        <v>0.37774795999999999</v>
      </c>
      <c r="QR22" s="50">
        <v>0.37749086999999998</v>
      </c>
      <c r="QS22" s="50"/>
      <c r="QT22" s="50">
        <v>0.37749086999999998</v>
      </c>
      <c r="QU22" s="50">
        <v>0.35699201000000003</v>
      </c>
      <c r="QV22" s="50"/>
      <c r="QW22" s="50">
        <v>0.35699201000000003</v>
      </c>
      <c r="QX22" s="50">
        <v>0.40517202000000002</v>
      </c>
      <c r="QY22" s="50"/>
      <c r="QZ22" s="50">
        <v>0.40517202000000002</v>
      </c>
      <c r="RA22" s="50">
        <v>0.37543497999999997</v>
      </c>
      <c r="RB22" s="50"/>
      <c r="RC22" s="50">
        <v>0.37543497999999997</v>
      </c>
      <c r="RD22" s="50">
        <f t="shared" si="52"/>
        <v>4.6097425999999997</v>
      </c>
      <c r="RE22" s="50">
        <f t="shared" si="53"/>
        <v>0</v>
      </c>
      <c r="RF22" s="50">
        <f t="shared" si="54"/>
        <v>4.6097425999999997</v>
      </c>
      <c r="RG22" s="50">
        <f t="shared" si="11"/>
        <v>4.6097429999999999</v>
      </c>
      <c r="RH22" s="50"/>
      <c r="RI22" s="50">
        <v>4.6097429999999999</v>
      </c>
      <c r="RJ22" s="50">
        <v>0.45943365999999997</v>
      </c>
      <c r="RK22" s="50"/>
      <c r="RL22" s="50">
        <v>0.45943365999999997</v>
      </c>
      <c r="RM22" s="50">
        <v>0.45049510999999998</v>
      </c>
      <c r="RN22" s="50"/>
      <c r="RO22" s="50">
        <v>0.45049510999999998</v>
      </c>
      <c r="RP22" s="50">
        <v>0.41067921999999996</v>
      </c>
      <c r="RQ22" s="50"/>
      <c r="RR22" s="50">
        <v>0.41067921999999996</v>
      </c>
      <c r="RS22" s="50">
        <v>0.41494669000000001</v>
      </c>
      <c r="RT22" s="50"/>
      <c r="RU22" s="50">
        <v>0.41494669000000001</v>
      </c>
      <c r="RV22" s="50">
        <v>0.42194434999999997</v>
      </c>
      <c r="RW22" s="50"/>
      <c r="RX22" s="50">
        <v>0.42194434999999997</v>
      </c>
      <c r="RY22" s="50">
        <v>0.40033759000000002</v>
      </c>
      <c r="RZ22" s="50"/>
      <c r="SA22" s="50">
        <v>0.40033759000000002</v>
      </c>
      <c r="SB22" s="50">
        <v>0.36772937999999999</v>
      </c>
      <c r="SC22" s="50"/>
      <c r="SD22" s="50">
        <v>0.36772937999999999</v>
      </c>
      <c r="SE22" s="50">
        <v>0.39191425000000002</v>
      </c>
      <c r="SF22" s="50"/>
      <c r="SG22" s="50">
        <v>0.39191425000000002</v>
      </c>
      <c r="SH22" s="50">
        <v>0.37798419999999999</v>
      </c>
      <c r="SI22" s="50"/>
      <c r="SJ22" s="50">
        <v>0.37798419999999999</v>
      </c>
      <c r="SK22" s="50">
        <v>0.37231531000000001</v>
      </c>
      <c r="SL22" s="50"/>
      <c r="SM22" s="50">
        <v>0.37231531000000001</v>
      </c>
      <c r="SN22" s="50">
        <v>0.4145549</v>
      </c>
      <c r="SO22" s="50"/>
      <c r="SP22" s="50">
        <v>0.4145549</v>
      </c>
      <c r="SQ22" s="50">
        <v>0.44265591999999998</v>
      </c>
      <c r="SR22" s="50"/>
      <c r="SS22" s="50">
        <v>0.44265591999999998</v>
      </c>
      <c r="ST22" s="50">
        <f t="shared" si="55"/>
        <v>4.9249905800000002</v>
      </c>
      <c r="SU22" s="50">
        <f t="shared" si="65"/>
        <v>0</v>
      </c>
      <c r="SV22" s="50">
        <f t="shared" si="56"/>
        <v>4.9249905800000002</v>
      </c>
      <c r="SW22" s="50">
        <f t="shared" si="44"/>
        <v>4.9249910000000003</v>
      </c>
      <c r="SX22" s="50"/>
      <c r="SY22" s="50">
        <v>4.9249910000000003</v>
      </c>
      <c r="SZ22" s="50">
        <v>0.48085870000000003</v>
      </c>
      <c r="TA22" s="50"/>
      <c r="TB22" s="50">
        <v>0.48085870000000003</v>
      </c>
      <c r="TC22" s="50">
        <v>0.66808097</v>
      </c>
      <c r="TD22" s="50"/>
      <c r="TE22" s="50">
        <v>0.66808097</v>
      </c>
      <c r="TF22" s="50">
        <v>0.59741326000000006</v>
      </c>
      <c r="TG22" s="50"/>
      <c r="TH22" s="50">
        <v>0.59741326000000006</v>
      </c>
      <c r="TI22" s="50">
        <v>0.63313269999999999</v>
      </c>
      <c r="TJ22" s="50"/>
      <c r="TK22" s="50">
        <v>0.63313269999999999</v>
      </c>
      <c r="TL22" s="50">
        <v>0.63089383999999993</v>
      </c>
      <c r="TM22" s="50"/>
      <c r="TN22" s="50">
        <v>0.63089383999999993</v>
      </c>
      <c r="TO22" s="50">
        <v>0.63266078000000003</v>
      </c>
      <c r="TP22" s="50"/>
      <c r="TQ22" s="50">
        <v>0.63266078000000003</v>
      </c>
      <c r="TR22" s="50">
        <v>0.54755653000000004</v>
      </c>
      <c r="TS22" s="50"/>
      <c r="TT22" s="50">
        <v>0.54755653000000004</v>
      </c>
      <c r="TU22" s="50">
        <v>0.62085427999999998</v>
      </c>
      <c r="TV22" s="50"/>
      <c r="TW22" s="50">
        <v>0.62085427999999998</v>
      </c>
      <c r="TX22" s="50">
        <v>0.56201224999999999</v>
      </c>
      <c r="TY22" s="50"/>
      <c r="TZ22" s="50">
        <v>0.56201224999999999</v>
      </c>
      <c r="UA22" s="50">
        <v>0.56541622999999996</v>
      </c>
      <c r="UB22" s="50"/>
      <c r="UC22" s="50">
        <v>0.56541622999999996</v>
      </c>
      <c r="UD22" s="50">
        <v>0.64350616000000005</v>
      </c>
      <c r="UE22" s="50"/>
      <c r="UF22" s="50">
        <v>0.64350616000000005</v>
      </c>
      <c r="UG22" s="50">
        <v>0.59969554000000003</v>
      </c>
      <c r="UH22" s="50"/>
      <c r="UI22" s="50">
        <v>0.59969554000000003</v>
      </c>
      <c r="UJ22" s="50">
        <f t="shared" si="45"/>
        <v>7.1820812400000005</v>
      </c>
      <c r="UK22" s="50">
        <f t="shared" si="15"/>
        <v>0</v>
      </c>
      <c r="UL22" s="50">
        <f t="shared" si="16"/>
        <v>7.1820812400000005</v>
      </c>
      <c r="UM22" s="50">
        <v>0.69313854000000008</v>
      </c>
      <c r="UN22" s="50"/>
      <c r="UO22" s="50">
        <v>0.69313854000000008</v>
      </c>
      <c r="UP22" s="50">
        <v>0.6133054</v>
      </c>
      <c r="UQ22" s="50"/>
      <c r="UR22" s="50">
        <v>0.6133054</v>
      </c>
      <c r="US22" s="50">
        <v>0.56233731000000009</v>
      </c>
      <c r="UT22" s="50"/>
      <c r="UU22" s="50">
        <v>0.56233731000000009</v>
      </c>
      <c r="UV22" s="50">
        <v>0.64081246999999997</v>
      </c>
      <c r="UW22" s="50"/>
      <c r="UX22" s="50">
        <v>0.64081246999999997</v>
      </c>
      <c r="UY22" s="50"/>
      <c r="UZ22" s="50"/>
      <c r="VA22" s="50"/>
      <c r="VB22" s="50"/>
      <c r="VC22" s="50"/>
      <c r="VD22" s="50"/>
      <c r="VE22" s="50"/>
      <c r="VF22" s="50"/>
      <c r="VG22" s="50"/>
      <c r="VH22" s="50"/>
      <c r="VI22" s="50"/>
      <c r="VJ22" s="50"/>
      <c r="VK22" s="50"/>
      <c r="VL22" s="50"/>
      <c r="VM22" s="50"/>
      <c r="VN22" s="50"/>
      <c r="VO22" s="50"/>
      <c r="VP22" s="50"/>
      <c r="VQ22" s="50"/>
      <c r="VR22" s="50"/>
      <c r="VS22" s="50"/>
      <c r="VT22" s="50"/>
      <c r="VU22" s="50"/>
      <c r="VV22" s="50"/>
      <c r="VW22" s="276">
        <f t="shared" si="57"/>
        <v>2.379486</v>
      </c>
      <c r="VX22" s="292">
        <f t="shared" si="58"/>
        <v>0</v>
      </c>
      <c r="VY22" s="292">
        <f t="shared" si="59"/>
        <v>2.379486</v>
      </c>
      <c r="VZ22" s="276">
        <f t="shared" si="60"/>
        <v>2.5095939999999999</v>
      </c>
      <c r="WA22" s="292">
        <f t="shared" si="61"/>
        <v>0</v>
      </c>
      <c r="WB22" s="292">
        <f t="shared" si="62"/>
        <v>2.5095939999999999</v>
      </c>
      <c r="WC22" s="277">
        <f t="shared" si="63"/>
        <v>0.13010799999999989</v>
      </c>
      <c r="WD22" s="277">
        <f t="shared" si="64"/>
        <v>5.4679035724521867</v>
      </c>
    </row>
    <row r="23" spans="1:602" s="12" customFormat="1" ht="20.5">
      <c r="A23" s="92" t="s">
        <v>202</v>
      </c>
      <c r="B23" s="12" t="s">
        <v>203</v>
      </c>
      <c r="C23" s="92" t="s">
        <v>204</v>
      </c>
      <c r="D23" s="50" t="s">
        <v>46</v>
      </c>
      <c r="E23" s="50" t="s">
        <v>46</v>
      </c>
      <c r="F23" s="50" t="s">
        <v>46</v>
      </c>
      <c r="G23" s="50">
        <v>15.705556968935239</v>
      </c>
      <c r="H23" s="50">
        <v>1.2811688891931907</v>
      </c>
      <c r="I23" s="50">
        <v>1.3041791167978403</v>
      </c>
      <c r="J23" s="50">
        <v>1.2639662267124763</v>
      </c>
      <c r="K23" s="50">
        <v>1.2829351568820433</v>
      </c>
      <c r="L23" s="50">
        <v>1.1222964439575882</v>
      </c>
      <c r="M23" s="50">
        <v>1.5059689757071815</v>
      </c>
      <c r="N23" s="50">
        <v>1.4237047740149615</v>
      </c>
      <c r="O23" s="50">
        <v>1.4396436132970711</v>
      </c>
      <c r="P23" s="50">
        <v>1.4403135440337123</v>
      </c>
      <c r="Q23" s="50">
        <v>1.4379041382840219</v>
      </c>
      <c r="R23" s="50">
        <v>1.4445176322226208</v>
      </c>
      <c r="S23" s="50">
        <v>1.4522142162011178</v>
      </c>
      <c r="T23" s="50">
        <v>0</v>
      </c>
      <c r="U23" s="50">
        <v>0</v>
      </c>
      <c r="V23" s="50">
        <v>0</v>
      </c>
      <c r="W23" s="50">
        <v>16.398812727303824</v>
      </c>
      <c r="X23" s="50">
        <v>1.4735361921659087</v>
      </c>
      <c r="Y23" s="50">
        <v>1.6619180027392844</v>
      </c>
      <c r="Z23" s="50">
        <v>1.6493949949073046</v>
      </c>
      <c r="AA23" s="50">
        <v>1.6667757867026052</v>
      </c>
      <c r="AB23" s="50">
        <v>1.6685902043832885</v>
      </c>
      <c r="AC23" s="50">
        <v>1.675253029289175</v>
      </c>
      <c r="AD23" s="50">
        <v>1.6563145485833561</v>
      </c>
      <c r="AE23" s="50">
        <v>1.6688551288847786</v>
      </c>
      <c r="AF23" s="50">
        <v>1.6686493104806792</v>
      </c>
      <c r="AG23" s="50">
        <v>1.6812109635075019</v>
      </c>
      <c r="AH23" s="50">
        <v>1.7061561402641667</v>
      </c>
      <c r="AI23" s="50">
        <v>1.6943930313444429</v>
      </c>
      <c r="AJ23" s="50">
        <f t="shared" si="46"/>
        <v>0</v>
      </c>
      <c r="AK23" s="50">
        <v>0</v>
      </c>
      <c r="AL23" s="50">
        <v>0</v>
      </c>
      <c r="AM23" s="50">
        <v>19.871047333252495</v>
      </c>
      <c r="AN23" s="42">
        <v>1.6879944891119572</v>
      </c>
      <c r="AO23" s="42">
        <v>1.6985512131875744</v>
      </c>
      <c r="AP23" s="42">
        <v>1.7008184229594594</v>
      </c>
      <c r="AQ23" s="42">
        <v>1.7111170769132789</v>
      </c>
      <c r="AR23" s="42">
        <v>1.7059219513898043</v>
      </c>
      <c r="AS23" s="42">
        <v>1.7110688091192992</v>
      </c>
      <c r="AT23" s="42">
        <v>1.6979331613345396</v>
      </c>
      <c r="AU23" s="42">
        <v>1.7018680635950278</v>
      </c>
      <c r="AV23" s="42">
        <v>1.7079712124575273</v>
      </c>
      <c r="AW23" s="42">
        <v>1.7103445449862551</v>
      </c>
      <c r="AX23" s="42">
        <v>1.6975492054045795</v>
      </c>
      <c r="AY23" s="42">
        <v>1.7126382366987098</v>
      </c>
      <c r="AZ23" s="50">
        <v>20.44377638715801</v>
      </c>
      <c r="BA23" s="50"/>
      <c r="BB23" s="50">
        <v>20.44377638715801</v>
      </c>
      <c r="BC23" s="50">
        <f t="shared" si="21"/>
        <v>20.443776643274653</v>
      </c>
      <c r="BD23" s="50"/>
      <c r="BE23" s="45">
        <v>20.443776643274653</v>
      </c>
      <c r="BF23" s="44">
        <v>1.7434909999999999</v>
      </c>
      <c r="BG23" s="50"/>
      <c r="BH23" s="50">
        <f t="shared" si="74"/>
        <v>1.7434909999999999</v>
      </c>
      <c r="BI23" s="45">
        <v>1.7161709999999999</v>
      </c>
      <c r="BJ23" s="121"/>
      <c r="BK23" s="50">
        <f t="shared" si="75"/>
        <v>1.7161709999999999</v>
      </c>
      <c r="BL23" s="50">
        <v>1.711876</v>
      </c>
      <c r="BM23" s="50"/>
      <c r="BN23" s="50">
        <f t="shared" si="76"/>
        <v>1.711876</v>
      </c>
      <c r="BO23" s="50">
        <v>1.724558</v>
      </c>
      <c r="BP23" s="50"/>
      <c r="BQ23" s="50">
        <f t="shared" si="77"/>
        <v>1.724558</v>
      </c>
      <c r="BR23" s="50">
        <v>2.611157</v>
      </c>
      <c r="BS23" s="50"/>
      <c r="BT23" s="50">
        <f t="shared" si="78"/>
        <v>2.611157</v>
      </c>
      <c r="BU23" s="50">
        <v>1.256966</v>
      </c>
      <c r="BV23" s="50"/>
      <c r="BW23" s="50">
        <f t="shared" si="79"/>
        <v>1.256966</v>
      </c>
      <c r="BX23" s="50">
        <v>1.3934759999999999</v>
      </c>
      <c r="BY23" s="50"/>
      <c r="BZ23" s="50">
        <f t="shared" si="80"/>
        <v>1.3934759999999999</v>
      </c>
      <c r="CA23" s="50">
        <v>1.7795430000000001</v>
      </c>
      <c r="CB23" s="50"/>
      <c r="CC23" s="50">
        <f t="shared" si="81"/>
        <v>1.7795430000000001</v>
      </c>
      <c r="CD23" s="50">
        <v>1.7694437199999999</v>
      </c>
      <c r="CE23" s="50"/>
      <c r="CF23" s="50">
        <f t="shared" si="82"/>
        <v>1.7694437199999999</v>
      </c>
      <c r="CG23" s="50">
        <v>1.769104</v>
      </c>
      <c r="CH23" s="50"/>
      <c r="CI23" s="50">
        <f t="shared" si="83"/>
        <v>1.769104</v>
      </c>
      <c r="CJ23" s="45">
        <v>1.7905401200000002</v>
      </c>
      <c r="CK23" s="45"/>
      <c r="CL23" s="50">
        <f t="shared" si="84"/>
        <v>1.7905401200000002</v>
      </c>
      <c r="CM23" s="42">
        <v>1.7955780699999999</v>
      </c>
      <c r="CN23" s="45"/>
      <c r="CO23" s="50">
        <f t="shared" si="85"/>
        <v>1.7955780699999999</v>
      </c>
      <c r="CP23" s="50">
        <f t="shared" si="24"/>
        <v>21.061903910000002</v>
      </c>
      <c r="CQ23" s="50">
        <f t="shared" si="25"/>
        <v>0</v>
      </c>
      <c r="CR23" s="50">
        <f t="shared" si="26"/>
        <v>21.061903910000002</v>
      </c>
      <c r="CS23" s="50">
        <f t="shared" si="2"/>
        <v>21.061903999999998</v>
      </c>
      <c r="CT23" s="50"/>
      <c r="CU23" s="45">
        <v>21.061903999999998</v>
      </c>
      <c r="CV23" s="42">
        <v>1.7921560600000002</v>
      </c>
      <c r="CW23" s="45"/>
      <c r="CX23" s="50">
        <f t="shared" si="86"/>
        <v>1.7921560600000002</v>
      </c>
      <c r="CY23" s="42">
        <v>1.8038273899999999</v>
      </c>
      <c r="CZ23" s="45"/>
      <c r="DA23" s="50">
        <v>1.8038273899999999</v>
      </c>
      <c r="DB23" s="42">
        <v>1.7856625700000002</v>
      </c>
      <c r="DC23" s="45"/>
      <c r="DD23" s="50">
        <v>1.7856625700000002</v>
      </c>
      <c r="DE23" s="42">
        <v>1.79488169</v>
      </c>
      <c r="DF23" s="45"/>
      <c r="DG23" s="50">
        <v>1.79488169</v>
      </c>
      <c r="DH23" s="42">
        <v>1.80464677</v>
      </c>
      <c r="DI23" s="45"/>
      <c r="DJ23" s="50">
        <v>1.80464677</v>
      </c>
      <c r="DK23" s="42">
        <v>1.8398908700000001</v>
      </c>
      <c r="DL23" s="45"/>
      <c r="DM23" s="50">
        <v>1.8398908700000001</v>
      </c>
      <c r="DN23" s="42">
        <v>1.82237016</v>
      </c>
      <c r="DO23" s="45"/>
      <c r="DP23" s="50">
        <v>1.82237016</v>
      </c>
      <c r="DQ23" s="42">
        <v>1.81593341</v>
      </c>
      <c r="DR23" s="45"/>
      <c r="DS23" s="50">
        <v>1.81593341</v>
      </c>
      <c r="DT23" s="42">
        <v>1.8449873799999998</v>
      </c>
      <c r="DU23" s="45"/>
      <c r="DV23" s="50">
        <v>1.8449873799999998</v>
      </c>
      <c r="DW23" s="42">
        <v>1.8874079500000001</v>
      </c>
      <c r="DX23" s="45"/>
      <c r="DY23" s="50">
        <v>1.8874079500000001</v>
      </c>
      <c r="DZ23" s="42">
        <v>1.87133021</v>
      </c>
      <c r="EA23" s="45"/>
      <c r="EB23" s="50">
        <v>1.87133021</v>
      </c>
      <c r="EC23" s="42">
        <v>1.9304083999999999</v>
      </c>
      <c r="ED23" s="45"/>
      <c r="EE23" s="50">
        <v>1.9304083999999999</v>
      </c>
      <c r="EF23" s="50">
        <f t="shared" si="27"/>
        <v>21.99350286</v>
      </c>
      <c r="EG23" s="50">
        <f t="shared" si="28"/>
        <v>0</v>
      </c>
      <c r="EH23" s="50">
        <f t="shared" si="29"/>
        <v>21.99350286</v>
      </c>
      <c r="EI23" s="50">
        <f t="shared" si="70"/>
        <v>21.99350286</v>
      </c>
      <c r="EJ23" s="50"/>
      <c r="EK23" s="50">
        <v>21.99350286</v>
      </c>
      <c r="EL23" s="50">
        <v>1.88021668</v>
      </c>
      <c r="EM23" s="50"/>
      <c r="EN23" s="50">
        <v>1.88021668</v>
      </c>
      <c r="EO23" s="50">
        <v>1.9318653799999999</v>
      </c>
      <c r="EP23" s="50"/>
      <c r="EQ23" s="50">
        <v>1.9318653799999999</v>
      </c>
      <c r="ER23" s="50">
        <v>1.9270388300000001</v>
      </c>
      <c r="ES23" s="50"/>
      <c r="ET23" s="50">
        <v>1.9270388300000001</v>
      </c>
      <c r="EU23" s="50">
        <v>1.9478483400000002</v>
      </c>
      <c r="EV23" s="50"/>
      <c r="EW23" s="50">
        <v>1.9478483400000002</v>
      </c>
      <c r="EX23" s="50">
        <v>1.9502520300000001</v>
      </c>
      <c r="EY23" s="50"/>
      <c r="EZ23" s="50">
        <v>1.9502520300000001</v>
      </c>
      <c r="FA23" s="50">
        <v>1.9665320900000001</v>
      </c>
      <c r="FB23" s="50"/>
      <c r="FC23" s="50">
        <v>1.9665320900000001</v>
      </c>
      <c r="FD23" s="50">
        <v>2.0008952500000001</v>
      </c>
      <c r="FE23" s="50"/>
      <c r="FF23" s="50">
        <v>2.0008952500000001</v>
      </c>
      <c r="FG23" s="50">
        <v>1.98892074</v>
      </c>
      <c r="FH23" s="50"/>
      <c r="FI23" s="50">
        <v>1.98892074</v>
      </c>
      <c r="FJ23" s="50">
        <v>1.9996787899999999</v>
      </c>
      <c r="FK23" s="50"/>
      <c r="FL23" s="50">
        <v>1.9996787899999999</v>
      </c>
      <c r="FM23" s="50">
        <v>2.02000768</v>
      </c>
      <c r="FN23" s="50"/>
      <c r="FO23" s="50">
        <v>2.02000768</v>
      </c>
      <c r="FP23" s="50">
        <v>2.0940010899999999</v>
      </c>
      <c r="FQ23" s="50"/>
      <c r="FR23" s="50">
        <v>2.0940010899999999</v>
      </c>
      <c r="FS23" s="50">
        <v>1.93467806</v>
      </c>
      <c r="FT23" s="50"/>
      <c r="FU23" s="50">
        <v>1.93467806</v>
      </c>
      <c r="FV23" s="50">
        <f t="shared" si="30"/>
        <v>23.641934959999997</v>
      </c>
      <c r="FW23" s="50">
        <f t="shared" si="31"/>
        <v>0</v>
      </c>
      <c r="FX23" s="50">
        <f t="shared" si="32"/>
        <v>23.641934959999997</v>
      </c>
      <c r="FY23" s="50">
        <f t="shared" si="71"/>
        <v>23.641935</v>
      </c>
      <c r="FZ23" s="50"/>
      <c r="GA23" s="50">
        <v>23.641935</v>
      </c>
      <c r="GB23" s="50">
        <v>2.0373240200000002</v>
      </c>
      <c r="GC23" s="50"/>
      <c r="GD23" s="50">
        <v>2.0373240200000002</v>
      </c>
      <c r="GE23" s="50">
        <v>2.05032104</v>
      </c>
      <c r="GF23" s="50"/>
      <c r="GG23" s="50">
        <v>2.05032104</v>
      </c>
      <c r="GH23" s="50">
        <v>2.0587302800000002</v>
      </c>
      <c r="GI23" s="50"/>
      <c r="GJ23" s="50">
        <v>2.0587302800000002</v>
      </c>
      <c r="GK23" s="50">
        <v>2.08515988</v>
      </c>
      <c r="GL23" s="50"/>
      <c r="GM23" s="50">
        <v>2.08515988</v>
      </c>
      <c r="GN23" s="50">
        <v>2.0566636000000003</v>
      </c>
      <c r="GO23" s="50"/>
      <c r="GP23" s="50">
        <v>2.0566636000000003</v>
      </c>
      <c r="GQ23" s="50">
        <v>2.0736917699999999</v>
      </c>
      <c r="GR23" s="50"/>
      <c r="GS23" s="50">
        <v>2.0736917699999999</v>
      </c>
      <c r="GT23" s="50">
        <v>2.0402683500000003</v>
      </c>
      <c r="GU23" s="50"/>
      <c r="GV23" s="50">
        <v>2.0402683500000003</v>
      </c>
      <c r="GW23" s="50">
        <v>2.0691975</v>
      </c>
      <c r="GX23" s="50"/>
      <c r="GY23" s="50">
        <v>2.0691975</v>
      </c>
      <c r="GZ23" s="50">
        <v>2.0766959599999999</v>
      </c>
      <c r="HA23" s="50"/>
      <c r="HB23" s="50">
        <v>2.0766959599999999</v>
      </c>
      <c r="HC23" s="50">
        <v>2.0904363099999999</v>
      </c>
      <c r="HD23" s="50"/>
      <c r="HE23" s="50">
        <v>2.0904363099999999</v>
      </c>
      <c r="HF23" s="50">
        <v>2.11371866</v>
      </c>
      <c r="HG23" s="50"/>
      <c r="HH23" s="50">
        <v>2.11371866</v>
      </c>
      <c r="HI23" s="50">
        <v>2.0853674500000001</v>
      </c>
      <c r="HJ23" s="50"/>
      <c r="HK23" s="50">
        <v>2.0853674500000001</v>
      </c>
      <c r="HL23" s="50">
        <f t="shared" si="33"/>
        <v>24.83757482</v>
      </c>
      <c r="HM23" s="50">
        <f t="shared" si="34"/>
        <v>0</v>
      </c>
      <c r="HN23" s="50">
        <f t="shared" si="35"/>
        <v>24.83757482</v>
      </c>
      <c r="HO23" s="50">
        <f t="shared" si="3"/>
        <v>24.837575000000001</v>
      </c>
      <c r="HP23" s="50"/>
      <c r="HQ23" s="50">
        <v>24.837575000000001</v>
      </c>
      <c r="HR23" s="50">
        <v>2.1284266499999998</v>
      </c>
      <c r="HS23" s="50">
        <v>0</v>
      </c>
      <c r="HT23" s="50">
        <v>2.1284266499999998</v>
      </c>
      <c r="HU23" s="50">
        <v>2.6692287599999998</v>
      </c>
      <c r="HV23" s="50">
        <v>0</v>
      </c>
      <c r="HW23" s="50">
        <v>2.6692287599999998</v>
      </c>
      <c r="HX23" s="50">
        <v>2.59799449</v>
      </c>
      <c r="HY23" s="50">
        <v>0</v>
      </c>
      <c r="HZ23" s="50">
        <v>2.59799449</v>
      </c>
      <c r="IA23" s="50">
        <v>2.74348306</v>
      </c>
      <c r="IB23" s="50">
        <v>0</v>
      </c>
      <c r="IC23" s="50">
        <v>2.74348306</v>
      </c>
      <c r="ID23" s="50">
        <v>2.6811831600000002</v>
      </c>
      <c r="IE23" s="50">
        <v>0</v>
      </c>
      <c r="IF23" s="50">
        <v>2.6811831600000002</v>
      </c>
      <c r="IG23" s="50">
        <v>2.6943683900000002</v>
      </c>
      <c r="IH23" s="50">
        <v>0</v>
      </c>
      <c r="II23" s="50">
        <v>2.6943683900000002</v>
      </c>
      <c r="IJ23" s="50">
        <v>2.6988268</v>
      </c>
      <c r="IK23" s="50">
        <v>0</v>
      </c>
      <c r="IL23" s="50">
        <v>2.6988268</v>
      </c>
      <c r="IM23" s="50">
        <v>2.73925756</v>
      </c>
      <c r="IN23" s="50">
        <v>0</v>
      </c>
      <c r="IO23" s="50">
        <v>2.73925756</v>
      </c>
      <c r="IP23" s="50">
        <v>2.7214055899999998</v>
      </c>
      <c r="IQ23" s="50">
        <v>0</v>
      </c>
      <c r="IR23" s="50">
        <v>2.7214055899999998</v>
      </c>
      <c r="IS23" s="50">
        <v>2.7174887499999998</v>
      </c>
      <c r="IT23" s="50">
        <v>0</v>
      </c>
      <c r="IU23" s="50">
        <v>2.7174887499999998</v>
      </c>
      <c r="IV23" s="50">
        <v>2.8147683900000002</v>
      </c>
      <c r="IW23" s="50">
        <v>0</v>
      </c>
      <c r="IX23" s="50">
        <v>2.8147683900000002</v>
      </c>
      <c r="IY23" s="50">
        <v>2.7557662999999999</v>
      </c>
      <c r="IZ23" s="50">
        <v>0</v>
      </c>
      <c r="JA23" s="50">
        <v>2.7557662999999999</v>
      </c>
      <c r="JB23" s="50">
        <f t="shared" si="36"/>
        <v>31.9621979</v>
      </c>
      <c r="JC23" s="50">
        <f t="shared" si="37"/>
        <v>0</v>
      </c>
      <c r="JD23" s="50">
        <f t="shared" si="38"/>
        <v>31.9621979</v>
      </c>
      <c r="JE23" s="50">
        <f t="shared" si="4"/>
        <v>31.962198000000001</v>
      </c>
      <c r="JF23" s="50"/>
      <c r="JG23" s="50">
        <v>31.962198000000001</v>
      </c>
      <c r="JH23" s="50">
        <v>2.8280761499999998</v>
      </c>
      <c r="JI23" s="50">
        <v>0</v>
      </c>
      <c r="JJ23" s="50">
        <v>2.8280761499999998</v>
      </c>
      <c r="JK23" s="50">
        <v>2.99114433</v>
      </c>
      <c r="JL23" s="50">
        <v>0</v>
      </c>
      <c r="JM23" s="50">
        <v>2.99114433</v>
      </c>
      <c r="JN23" s="50">
        <v>2.7839575699999997</v>
      </c>
      <c r="JO23" s="50">
        <v>0</v>
      </c>
      <c r="JP23" s="50">
        <v>2.7839575699999997</v>
      </c>
      <c r="JQ23" s="50">
        <v>2.8212051200000001</v>
      </c>
      <c r="JR23" s="50">
        <v>0</v>
      </c>
      <c r="JS23" s="50">
        <v>2.8212051200000001</v>
      </c>
      <c r="JT23" s="50">
        <v>5.0570202800000006</v>
      </c>
      <c r="JU23" s="50">
        <v>0</v>
      </c>
      <c r="JV23" s="50">
        <v>5.0570202800000006</v>
      </c>
      <c r="JW23" s="50">
        <v>1.88456563</v>
      </c>
      <c r="JX23" s="50">
        <v>0</v>
      </c>
      <c r="JY23" s="50">
        <v>1.88456563</v>
      </c>
      <c r="JZ23" s="50">
        <v>1.8231113600000002</v>
      </c>
      <c r="KA23" s="50">
        <v>0</v>
      </c>
      <c r="KB23" s="50">
        <v>1.8231113600000002</v>
      </c>
      <c r="KC23" s="50">
        <v>2.5877703999999997</v>
      </c>
      <c r="KD23" s="50">
        <v>0</v>
      </c>
      <c r="KE23" s="50">
        <v>2.5877703999999997</v>
      </c>
      <c r="KF23" s="50">
        <v>2.7074534100000003</v>
      </c>
      <c r="KG23" s="50">
        <v>0</v>
      </c>
      <c r="KH23" s="50">
        <v>2.7074534100000003</v>
      </c>
      <c r="KI23" s="50">
        <v>2.85071494</v>
      </c>
      <c r="KJ23" s="50">
        <v>0</v>
      </c>
      <c r="KK23" s="50">
        <v>2.85071494</v>
      </c>
      <c r="KL23" s="50">
        <v>2.9293534700000001</v>
      </c>
      <c r="KM23" s="50">
        <v>0</v>
      </c>
      <c r="KN23" s="50">
        <v>2.9293534700000001</v>
      </c>
      <c r="KO23" s="50">
        <v>2.92819567</v>
      </c>
      <c r="KP23" s="50">
        <v>0</v>
      </c>
      <c r="KQ23" s="50">
        <v>2.92819567</v>
      </c>
      <c r="KR23" s="50">
        <f t="shared" si="48"/>
        <v>34.19256833</v>
      </c>
      <c r="KS23" s="50">
        <f t="shared" si="39"/>
        <v>0</v>
      </c>
      <c r="KT23" s="50">
        <f t="shared" si="49"/>
        <v>34.19256833</v>
      </c>
      <c r="KU23" s="50">
        <f t="shared" si="5"/>
        <v>34.192568000000001</v>
      </c>
      <c r="KV23" s="50"/>
      <c r="KW23" s="50">
        <v>34.192568000000001</v>
      </c>
      <c r="KX23" s="50">
        <v>2.93401595</v>
      </c>
      <c r="KY23" s="50">
        <v>0</v>
      </c>
      <c r="KZ23" s="50">
        <v>2.93401595</v>
      </c>
      <c r="LA23" s="50">
        <v>4.1923101699999998</v>
      </c>
      <c r="LB23" s="50">
        <v>0</v>
      </c>
      <c r="LC23" s="50">
        <v>4.1923101699999998</v>
      </c>
      <c r="LD23" s="50">
        <v>3.9977818599999999</v>
      </c>
      <c r="LE23" s="50">
        <v>0</v>
      </c>
      <c r="LF23" s="50">
        <v>3.9977818599999999</v>
      </c>
      <c r="LG23" s="50">
        <v>2.0899995900000001</v>
      </c>
      <c r="LH23" s="50">
        <v>0</v>
      </c>
      <c r="LI23" s="174">
        <v>2.0899995900000001</v>
      </c>
      <c r="LJ23" s="50">
        <v>9.1402949999999997E-2</v>
      </c>
      <c r="LK23" s="50">
        <v>0</v>
      </c>
      <c r="LL23" s="50">
        <v>9.1402949999999997E-2</v>
      </c>
      <c r="LM23" s="50">
        <v>3.4700000000000002E-6</v>
      </c>
      <c r="LN23" s="50">
        <v>0</v>
      </c>
      <c r="LO23" s="50">
        <v>3.4700000000000002E-6</v>
      </c>
      <c r="LP23" s="50">
        <v>1.2178230700000001</v>
      </c>
      <c r="LQ23" s="50">
        <v>0</v>
      </c>
      <c r="LR23" s="44">
        <v>1.2178230700000001</v>
      </c>
      <c r="LS23" s="50">
        <v>3.5626503899999999</v>
      </c>
      <c r="LT23" s="50">
        <v>0</v>
      </c>
      <c r="LU23" s="52">
        <v>3.5626503899999999</v>
      </c>
      <c r="LV23" s="44">
        <v>3.4784510200000001</v>
      </c>
      <c r="LW23" s="50">
        <v>0</v>
      </c>
      <c r="LX23" s="50">
        <v>3.4784510200000001</v>
      </c>
      <c r="LY23" s="50">
        <v>3.3565517000000002</v>
      </c>
      <c r="LZ23" s="50">
        <v>0</v>
      </c>
      <c r="MA23" s="50">
        <v>3.3565517000000002</v>
      </c>
      <c r="MB23" s="50">
        <v>2.1771401400000001</v>
      </c>
      <c r="MC23" s="179"/>
      <c r="MD23" s="50">
        <v>2.1771401400000001</v>
      </c>
      <c r="ME23" s="44">
        <v>0.97654402000000007</v>
      </c>
      <c r="MF23" s="44">
        <v>0</v>
      </c>
      <c r="MG23" s="44">
        <v>0.97654402000000007</v>
      </c>
      <c r="MH23" s="50">
        <f t="shared" si="66"/>
        <v>28.074674329999997</v>
      </c>
      <c r="MI23" s="50">
        <f t="shared" si="50"/>
        <v>0</v>
      </c>
      <c r="MJ23" s="50">
        <f t="shared" si="51"/>
        <v>28.074674329999997</v>
      </c>
      <c r="MK23" s="50">
        <f t="shared" si="7"/>
        <v>28.074674000000002</v>
      </c>
      <c r="ML23" s="50"/>
      <c r="MM23" s="50">
        <v>28.074674000000002</v>
      </c>
      <c r="MN23" s="44">
        <v>0.72082615999999999</v>
      </c>
      <c r="MO23" s="44"/>
      <c r="MP23" s="44">
        <v>0.72082615999999999</v>
      </c>
      <c r="MQ23" s="44">
        <v>0.76084620999999997</v>
      </c>
      <c r="MR23" s="44">
        <v>0</v>
      </c>
      <c r="MS23" s="44">
        <v>0.76084620999999997</v>
      </c>
      <c r="MT23" s="44">
        <v>0.76033265999999999</v>
      </c>
      <c r="MU23" s="50">
        <v>0</v>
      </c>
      <c r="MV23" s="44">
        <v>0.76033265999999999</v>
      </c>
      <c r="MW23" s="50">
        <v>0.92496787999999996</v>
      </c>
      <c r="MX23" s="50">
        <v>0</v>
      </c>
      <c r="MY23" s="50">
        <v>0.92496787999999996</v>
      </c>
      <c r="MZ23" s="50">
        <v>0.81032581999999997</v>
      </c>
      <c r="NA23" s="50">
        <v>0</v>
      </c>
      <c r="NB23" s="50">
        <v>0.81032581999999997</v>
      </c>
      <c r="NC23" s="50">
        <v>1.1577476799999999</v>
      </c>
      <c r="ND23" s="50">
        <v>0</v>
      </c>
      <c r="NE23" s="50">
        <v>1.1577476799999999</v>
      </c>
      <c r="NF23" s="50">
        <v>0.93743757999999999</v>
      </c>
      <c r="NG23" s="50">
        <v>0</v>
      </c>
      <c r="NH23" s="50">
        <v>0.93743757999999999</v>
      </c>
      <c r="NI23" s="50">
        <v>2.20789575</v>
      </c>
      <c r="NJ23" s="50">
        <v>0</v>
      </c>
      <c r="NK23" s="50">
        <v>2.20789575</v>
      </c>
      <c r="NL23" s="50">
        <v>2.7727972400000001</v>
      </c>
      <c r="NM23" s="50">
        <v>0</v>
      </c>
      <c r="NN23" s="50">
        <v>2.7727972400000001</v>
      </c>
      <c r="NO23" s="50">
        <v>2.4518744100000003</v>
      </c>
      <c r="NP23" s="50">
        <v>0</v>
      </c>
      <c r="NQ23" s="50">
        <v>2.4518744100000003</v>
      </c>
      <c r="NR23" s="50">
        <v>1.60604831</v>
      </c>
      <c r="NS23" s="50">
        <v>0</v>
      </c>
      <c r="NT23" s="50">
        <v>1.60604831</v>
      </c>
      <c r="NU23" s="50">
        <v>1.1658047</v>
      </c>
      <c r="NV23" s="50">
        <v>0</v>
      </c>
      <c r="NW23" s="50">
        <v>1.1658047</v>
      </c>
      <c r="NX23" s="50">
        <f t="shared" si="67"/>
        <v>16.276904399999999</v>
      </c>
      <c r="NY23" s="50">
        <f t="shared" si="40"/>
        <v>0</v>
      </c>
      <c r="NZ23" s="50">
        <f t="shared" si="41"/>
        <v>16.276904399999999</v>
      </c>
      <c r="OA23" s="50">
        <f t="shared" si="8"/>
        <v>16.276904999999999</v>
      </c>
      <c r="OB23" s="50"/>
      <c r="OC23" s="50">
        <v>16.276904999999999</v>
      </c>
      <c r="OD23" s="50">
        <v>0.97082602000000007</v>
      </c>
      <c r="OE23" s="50"/>
      <c r="OF23" s="50">
        <v>0.97082602000000007</v>
      </c>
      <c r="OG23" s="50">
        <v>1.0515318</v>
      </c>
      <c r="OH23" s="50">
        <v>0</v>
      </c>
      <c r="OI23" s="50">
        <v>1.0515318</v>
      </c>
      <c r="OJ23" s="50">
        <v>1.23466897</v>
      </c>
      <c r="OK23" s="50"/>
      <c r="OL23" s="50">
        <v>1.23466897</v>
      </c>
      <c r="OM23" s="50">
        <v>3.0479059400000001</v>
      </c>
      <c r="ON23" s="50"/>
      <c r="OO23" s="50">
        <v>3.0479059400000001</v>
      </c>
      <c r="OP23" s="50">
        <v>3.3303762900000002</v>
      </c>
      <c r="OQ23" s="50"/>
      <c r="OR23" s="50">
        <v>3.3303762900000002</v>
      </c>
      <c r="OS23" s="50">
        <v>0.36690202</v>
      </c>
      <c r="OT23" s="50"/>
      <c r="OU23" s="50">
        <v>0.36690202</v>
      </c>
      <c r="OV23" s="50">
        <v>0.29723373999999997</v>
      </c>
      <c r="OW23" s="50"/>
      <c r="OX23" s="50">
        <v>0.29723373999999997</v>
      </c>
      <c r="OY23" s="94">
        <v>0.3519311</v>
      </c>
      <c r="OZ23" s="50"/>
      <c r="PA23" s="94">
        <v>0.3519311</v>
      </c>
      <c r="PB23" s="50">
        <v>0.31335897999999995</v>
      </c>
      <c r="PC23" s="50"/>
      <c r="PD23" s="50">
        <v>0.31335897999999995</v>
      </c>
      <c r="PE23" s="50">
        <v>0.30195512000000002</v>
      </c>
      <c r="PF23" s="50"/>
      <c r="PG23" s="50">
        <v>0.30195512000000002</v>
      </c>
      <c r="PH23" s="50">
        <v>0.33979933000000001</v>
      </c>
      <c r="PI23" s="50"/>
      <c r="PJ23" s="50">
        <v>0.33979933000000001</v>
      </c>
      <c r="PK23" s="50">
        <v>0.39881842000000001</v>
      </c>
      <c r="PL23" s="50"/>
      <c r="PM23" s="50">
        <v>0.39881842000000001</v>
      </c>
      <c r="PN23" s="50">
        <f t="shared" si="68"/>
        <v>12.00530773</v>
      </c>
      <c r="PO23" s="50">
        <f t="shared" si="42"/>
        <v>0</v>
      </c>
      <c r="PP23" s="50">
        <f t="shared" si="43"/>
        <v>12.00530773</v>
      </c>
      <c r="PQ23" s="50">
        <f t="shared" si="9"/>
        <v>34.246555999999998</v>
      </c>
      <c r="PR23" s="50"/>
      <c r="PS23" s="50">
        <v>34.246555999999998</v>
      </c>
      <c r="PT23" s="50">
        <v>3.59995975</v>
      </c>
      <c r="PU23" s="50"/>
      <c r="PV23" s="50">
        <v>3.59995975</v>
      </c>
      <c r="PW23" s="50">
        <v>3.5851487599999996</v>
      </c>
      <c r="PX23" s="50"/>
      <c r="PY23" s="50">
        <v>3.5851487599999996</v>
      </c>
      <c r="PZ23" s="50">
        <v>3.9341303500000002</v>
      </c>
      <c r="QA23" s="50"/>
      <c r="QB23" s="50">
        <v>3.9341303500000002</v>
      </c>
      <c r="QC23" s="50">
        <v>3.5696425400000003</v>
      </c>
      <c r="QD23" s="50"/>
      <c r="QE23" s="50">
        <v>3.5696425400000003</v>
      </c>
      <c r="QF23" s="50">
        <v>3.46850792</v>
      </c>
      <c r="QG23" s="50"/>
      <c r="QH23" s="50">
        <v>3.46850792</v>
      </c>
      <c r="QI23" s="50">
        <v>3.2766456900000001</v>
      </c>
      <c r="QJ23" s="50"/>
      <c r="QK23" s="50">
        <v>3.2766456900000001</v>
      </c>
      <c r="QL23" s="50">
        <v>3.3182255699999996</v>
      </c>
      <c r="QM23" s="50"/>
      <c r="QN23" s="50">
        <v>3.3182255699999996</v>
      </c>
      <c r="QO23" s="50">
        <v>3.5335959900000002</v>
      </c>
      <c r="QP23" s="50"/>
      <c r="QQ23" s="50">
        <v>3.5335959900000002</v>
      </c>
      <c r="QR23" s="50">
        <v>3.4628654399999999</v>
      </c>
      <c r="QS23" s="50"/>
      <c r="QT23" s="50">
        <v>3.4628654399999999</v>
      </c>
      <c r="QU23" s="50">
        <v>3.5376583399999997</v>
      </c>
      <c r="QV23" s="50"/>
      <c r="QW23" s="50">
        <v>3.5376583399999997</v>
      </c>
      <c r="QX23" s="50">
        <v>3.2655116899999999</v>
      </c>
      <c r="QY23" s="50"/>
      <c r="QZ23" s="50">
        <v>3.2655116899999999</v>
      </c>
      <c r="RA23" s="50">
        <v>3.2670775299999999</v>
      </c>
      <c r="RB23" s="50"/>
      <c r="RC23" s="50">
        <v>3.2670775299999999</v>
      </c>
      <c r="RD23" s="50">
        <f t="shared" si="52"/>
        <v>41.81896957</v>
      </c>
      <c r="RE23" s="50">
        <f t="shared" si="53"/>
        <v>0</v>
      </c>
      <c r="RF23" s="50">
        <f t="shared" si="54"/>
        <v>41.81896957</v>
      </c>
      <c r="RG23" s="50">
        <f t="shared" si="11"/>
        <v>41.81897</v>
      </c>
      <c r="RH23" s="50"/>
      <c r="RI23" s="50">
        <v>41.81897</v>
      </c>
      <c r="RJ23" s="50">
        <v>3.7790705299999998</v>
      </c>
      <c r="RK23" s="50"/>
      <c r="RL23" s="50">
        <v>3.7790705299999998</v>
      </c>
      <c r="RM23" s="50">
        <v>4.0482932400000005</v>
      </c>
      <c r="RN23" s="50"/>
      <c r="RO23" s="50">
        <v>4.0482932400000005</v>
      </c>
      <c r="RP23" s="50">
        <v>3.91013609</v>
      </c>
      <c r="RQ23" s="50"/>
      <c r="RR23" s="50">
        <v>3.91013609</v>
      </c>
      <c r="RS23" s="50">
        <v>4.0827440199999998</v>
      </c>
      <c r="RT23" s="50"/>
      <c r="RU23" s="50">
        <v>4.0827440199999998</v>
      </c>
      <c r="RV23" s="50">
        <v>4.0957434099999999</v>
      </c>
      <c r="RW23" s="50"/>
      <c r="RX23" s="50">
        <v>4.0957434099999999</v>
      </c>
      <c r="RY23" s="50">
        <v>4.13175413</v>
      </c>
      <c r="RZ23" s="50"/>
      <c r="SA23" s="50">
        <v>4.13175413</v>
      </c>
      <c r="SB23" s="50">
        <v>4.1663311900000002</v>
      </c>
      <c r="SC23" s="50"/>
      <c r="SD23" s="50">
        <v>4.1663311900000002</v>
      </c>
      <c r="SE23" s="50">
        <v>3.8168898100000002</v>
      </c>
      <c r="SF23" s="50"/>
      <c r="SG23" s="50">
        <v>3.8168898100000002</v>
      </c>
      <c r="SH23" s="50">
        <v>3.8681692200000004</v>
      </c>
      <c r="SI23" s="50"/>
      <c r="SJ23" s="50">
        <v>3.8681692200000004</v>
      </c>
      <c r="SK23" s="50">
        <v>4.11473757</v>
      </c>
      <c r="SL23" s="50"/>
      <c r="SM23" s="50">
        <v>4.11473757</v>
      </c>
      <c r="SN23" s="50">
        <v>3.88411785</v>
      </c>
      <c r="SO23" s="50"/>
      <c r="SP23" s="50">
        <v>3.88411785</v>
      </c>
      <c r="SQ23" s="50">
        <v>4.0984930899999998</v>
      </c>
      <c r="SR23" s="50"/>
      <c r="SS23" s="50">
        <v>4.0984930899999998</v>
      </c>
      <c r="ST23" s="50">
        <f t="shared" si="55"/>
        <v>47.996480150000004</v>
      </c>
      <c r="SU23" s="50">
        <f t="shared" si="65"/>
        <v>0</v>
      </c>
      <c r="SV23" s="50">
        <f t="shared" si="56"/>
        <v>47.996480150000004</v>
      </c>
      <c r="SW23" s="50">
        <f t="shared" si="44"/>
        <v>47.996479999999998</v>
      </c>
      <c r="SX23" s="50"/>
      <c r="SY23" s="50">
        <v>47.996479999999998</v>
      </c>
      <c r="SZ23" s="50">
        <v>4.0307804100000002</v>
      </c>
      <c r="TA23" s="50"/>
      <c r="TB23" s="50">
        <v>4.0307804100000002</v>
      </c>
      <c r="TC23" s="50">
        <v>3.58187568</v>
      </c>
      <c r="TD23" s="50"/>
      <c r="TE23" s="50">
        <v>3.58187568</v>
      </c>
      <c r="TF23" s="50">
        <v>3.7485817799999999</v>
      </c>
      <c r="TG23" s="50"/>
      <c r="TH23" s="50">
        <v>3.7485817799999999</v>
      </c>
      <c r="TI23" s="50">
        <v>4.1018803200000002</v>
      </c>
      <c r="TJ23" s="50"/>
      <c r="TK23" s="50">
        <v>4.1018803200000002</v>
      </c>
      <c r="TL23" s="50">
        <v>4.0186004200000003</v>
      </c>
      <c r="TM23" s="50"/>
      <c r="TN23" s="50">
        <v>4.0186004200000003</v>
      </c>
      <c r="TO23" s="50">
        <v>3.8589224799999999</v>
      </c>
      <c r="TP23" s="50"/>
      <c r="TQ23" s="50">
        <v>3.8589224799999999</v>
      </c>
      <c r="TR23" s="50">
        <v>3.8579998300000002</v>
      </c>
      <c r="TS23" s="50"/>
      <c r="TT23" s="50">
        <v>3.8579998300000002</v>
      </c>
      <c r="TU23" s="50">
        <v>3.7280683999999997</v>
      </c>
      <c r="TV23" s="50"/>
      <c r="TW23" s="50">
        <v>3.7280683999999997</v>
      </c>
      <c r="TX23" s="50">
        <v>3.9644071299999997</v>
      </c>
      <c r="TY23" s="50"/>
      <c r="TZ23" s="50">
        <v>3.9644071299999997</v>
      </c>
      <c r="UA23" s="50">
        <v>3.8580595799999999</v>
      </c>
      <c r="UB23" s="50"/>
      <c r="UC23" s="50">
        <v>3.8580595799999999</v>
      </c>
      <c r="UD23" s="50">
        <v>4.03055495</v>
      </c>
      <c r="UE23" s="50"/>
      <c r="UF23" s="50">
        <v>4.03055495</v>
      </c>
      <c r="UG23" s="50">
        <v>3.80481143</v>
      </c>
      <c r="UH23" s="50"/>
      <c r="UI23" s="50">
        <v>3.80481143</v>
      </c>
      <c r="UJ23" s="50">
        <f t="shared" si="45"/>
        <v>46.584542410000005</v>
      </c>
      <c r="UK23" s="50">
        <f t="shared" si="15"/>
        <v>0</v>
      </c>
      <c r="UL23" s="50">
        <f t="shared" si="16"/>
        <v>46.584542410000005</v>
      </c>
      <c r="UM23" s="50">
        <v>4.07966198</v>
      </c>
      <c r="UN23" s="50"/>
      <c r="UO23" s="50">
        <v>4.07966198</v>
      </c>
      <c r="UP23" s="50">
        <v>4.6530215099999994</v>
      </c>
      <c r="UQ23" s="50"/>
      <c r="UR23" s="50">
        <v>4.6530215099999994</v>
      </c>
      <c r="US23" s="50">
        <v>4.5505140499999994</v>
      </c>
      <c r="UT23" s="50"/>
      <c r="UU23" s="50">
        <v>4.5505140499999994</v>
      </c>
      <c r="UV23" s="50">
        <v>4.78775672</v>
      </c>
      <c r="UW23" s="50"/>
      <c r="UX23" s="50">
        <v>4.78775672</v>
      </c>
      <c r="UY23" s="50"/>
      <c r="UZ23" s="50"/>
      <c r="VA23" s="50"/>
      <c r="VB23" s="50"/>
      <c r="VC23" s="50"/>
      <c r="VD23" s="50"/>
      <c r="VE23" s="50"/>
      <c r="VF23" s="50"/>
      <c r="VG23" s="50"/>
      <c r="VH23" s="50"/>
      <c r="VI23" s="50"/>
      <c r="VJ23" s="50"/>
      <c r="VK23" s="50"/>
      <c r="VL23" s="50"/>
      <c r="VM23" s="50"/>
      <c r="VN23" s="50"/>
      <c r="VO23" s="50"/>
      <c r="VP23" s="50"/>
      <c r="VQ23" s="50"/>
      <c r="VR23" s="50"/>
      <c r="VS23" s="50"/>
      <c r="VT23" s="50"/>
      <c r="VU23" s="50"/>
      <c r="VV23" s="50"/>
      <c r="VW23" s="276">
        <f t="shared" si="57"/>
        <v>15.463118</v>
      </c>
      <c r="VX23" s="292">
        <f t="shared" si="58"/>
        <v>0</v>
      </c>
      <c r="VY23" s="292">
        <f t="shared" si="59"/>
        <v>15.463118</v>
      </c>
      <c r="VZ23" s="276">
        <f>ROUND(SUM(UM23+UP23+US23+UV23),6)</f>
        <v>18.070954</v>
      </c>
      <c r="WA23" s="292">
        <f t="shared" si="61"/>
        <v>0</v>
      </c>
      <c r="WB23" s="292">
        <f t="shared" si="62"/>
        <v>18.070954</v>
      </c>
      <c r="WC23" s="277">
        <f t="shared" si="63"/>
        <v>2.6078360000000007</v>
      </c>
      <c r="WD23" s="277">
        <f t="shared" si="64"/>
        <v>16.864878092503716</v>
      </c>
    </row>
    <row r="24" spans="1:602" s="12" customFormat="1" ht="21" hidden="1" customHeight="1">
      <c r="A24" s="77" t="s">
        <v>68</v>
      </c>
      <c r="B24" s="12" t="s">
        <v>69</v>
      </c>
      <c r="C24" s="77" t="s">
        <v>70</v>
      </c>
      <c r="D24" s="45">
        <v>23.767418796705769</v>
      </c>
      <c r="E24" s="42">
        <v>13.546618972003575</v>
      </c>
      <c r="F24" s="42">
        <v>3.7451209725613404</v>
      </c>
      <c r="G24" s="42">
        <v>5.0536223470555086</v>
      </c>
      <c r="H24" s="42">
        <v>0.4193245912089284</v>
      </c>
      <c r="I24" s="42">
        <v>0.43676330812004482</v>
      </c>
      <c r="J24" s="42">
        <v>0.51501272047398705</v>
      </c>
      <c r="K24" s="42">
        <v>0.56403634583753082</v>
      </c>
      <c r="L24" s="42">
        <v>0.69377237465922226</v>
      </c>
      <c r="M24" s="42">
        <v>0.65811662995657405</v>
      </c>
      <c r="N24" s="42">
        <v>0.70974553360538639</v>
      </c>
      <c r="O24" s="42">
        <v>0.78382735442598495</v>
      </c>
      <c r="P24" s="42">
        <v>0.69745761264876127</v>
      </c>
      <c r="Q24" s="42">
        <v>0.75470401420595223</v>
      </c>
      <c r="R24" s="42">
        <v>0.74603587913557701</v>
      </c>
      <c r="S24" s="42">
        <v>0.77744862009891813</v>
      </c>
      <c r="T24" s="42">
        <v>7.7562449843768668</v>
      </c>
      <c r="U24" s="42">
        <v>0</v>
      </c>
      <c r="V24" s="42">
        <v>7.7562449843768668</v>
      </c>
      <c r="W24" s="42">
        <v>7.7562449843768686</v>
      </c>
      <c r="X24" s="42">
        <v>0.60600679563576765</v>
      </c>
      <c r="Y24" s="42">
        <v>0.52998417766546579</v>
      </c>
      <c r="Z24" s="42">
        <v>0.69618556525005548</v>
      </c>
      <c r="AA24" s="42">
        <v>0.75571425319150154</v>
      </c>
      <c r="AB24" s="42">
        <v>0.81453861958668416</v>
      </c>
      <c r="AC24" s="42">
        <v>0.78507663587572074</v>
      </c>
      <c r="AD24" s="42">
        <v>0.89026385734856384</v>
      </c>
      <c r="AE24" s="42">
        <v>0.8396921474550515</v>
      </c>
      <c r="AF24" s="42">
        <v>0.73947928583218081</v>
      </c>
      <c r="AG24" s="42">
        <v>0.88217909972054798</v>
      </c>
      <c r="AH24" s="42">
        <v>0.78388000068297847</v>
      </c>
      <c r="AI24" s="42">
        <v>0.58425535426662345</v>
      </c>
      <c r="AJ24" s="42">
        <f t="shared" si="46"/>
        <v>8.9072557925111404</v>
      </c>
      <c r="AK24" s="42">
        <v>0</v>
      </c>
      <c r="AL24" s="42">
        <v>8.9072557925111404</v>
      </c>
      <c r="AM24" s="42">
        <v>8.9072557925111404</v>
      </c>
      <c r="AN24" s="42">
        <v>0.69337823916767694</v>
      </c>
      <c r="AO24" s="42">
        <v>0.6160892652859119</v>
      </c>
      <c r="AP24" s="42">
        <v>0.72749585944303119</v>
      </c>
      <c r="AQ24" s="42">
        <v>0.85232867200528173</v>
      </c>
      <c r="AR24" s="42">
        <v>0.93604191211205412</v>
      </c>
      <c r="AS24" s="42">
        <v>0.87528528579803189</v>
      </c>
      <c r="AT24" s="42">
        <v>1.0008992549843199</v>
      </c>
      <c r="AU24" s="42">
        <v>0.8825917325456315</v>
      </c>
      <c r="AV24" s="42">
        <v>0.82318398870808929</v>
      </c>
      <c r="AW24" s="42">
        <v>0.91627253117512131</v>
      </c>
      <c r="AX24" s="42">
        <v>0.82005793934012894</v>
      </c>
      <c r="AY24" s="42">
        <v>0.77897251580810578</v>
      </c>
      <c r="AZ24" s="42">
        <v>9.922597196373383</v>
      </c>
      <c r="BA24" s="42"/>
      <c r="BB24" s="42">
        <v>9.922597196373383</v>
      </c>
      <c r="BC24" s="45">
        <f t="shared" si="21"/>
        <v>9.9225971963733848</v>
      </c>
      <c r="BD24" s="45"/>
      <c r="BE24" s="45">
        <v>9.9225971963733848</v>
      </c>
      <c r="BF24" s="44">
        <v>0.69928999999999997</v>
      </c>
      <c r="BG24" s="50"/>
      <c r="BH24" s="50">
        <f t="shared" si="74"/>
        <v>0.69928999999999997</v>
      </c>
      <c r="BI24" s="45">
        <v>0.72264700000000004</v>
      </c>
      <c r="BJ24" s="121"/>
      <c r="BK24" s="50">
        <f t="shared" si="75"/>
        <v>0.72264700000000004</v>
      </c>
      <c r="BL24" s="50">
        <v>0.92163099999999998</v>
      </c>
      <c r="BM24" s="50"/>
      <c r="BN24" s="50">
        <f t="shared" si="76"/>
        <v>0.92163099999999998</v>
      </c>
      <c r="BO24" s="50">
        <v>0.98409100000000005</v>
      </c>
      <c r="BP24" s="50"/>
      <c r="BQ24" s="50">
        <f t="shared" si="77"/>
        <v>0.98409100000000005</v>
      </c>
      <c r="BR24" s="50">
        <v>0.97295100000000001</v>
      </c>
      <c r="BS24" s="50"/>
      <c r="BT24" s="50">
        <f t="shared" si="78"/>
        <v>0.97295100000000001</v>
      </c>
      <c r="BU24" s="50">
        <v>0.99145700000000003</v>
      </c>
      <c r="BV24" s="50"/>
      <c r="BW24" s="50">
        <f t="shared" si="79"/>
        <v>0.99145700000000003</v>
      </c>
      <c r="BX24" s="50">
        <v>1.1640079999999999</v>
      </c>
      <c r="BY24" s="50"/>
      <c r="BZ24" s="50">
        <f t="shared" si="80"/>
        <v>1.1640079999999999</v>
      </c>
      <c r="CA24" s="50">
        <v>0.98631800000000003</v>
      </c>
      <c r="CB24" s="50"/>
      <c r="CC24" s="50">
        <f t="shared" si="81"/>
        <v>0.98631800000000003</v>
      </c>
      <c r="CD24" s="50">
        <v>0.96786104000000006</v>
      </c>
      <c r="CE24" s="50"/>
      <c r="CF24" s="50">
        <f t="shared" si="82"/>
        <v>0.96786104000000006</v>
      </c>
      <c r="CG24" s="50">
        <v>1.0265438200000001</v>
      </c>
      <c r="CH24" s="50"/>
      <c r="CI24" s="50">
        <f t="shared" si="83"/>
        <v>1.0265438200000001</v>
      </c>
      <c r="CJ24" s="45">
        <v>0.82294382999999993</v>
      </c>
      <c r="CK24" s="45"/>
      <c r="CL24" s="50">
        <f t="shared" si="84"/>
        <v>0.82294382999999993</v>
      </c>
      <c r="CM24" s="42">
        <v>0.93182390000000004</v>
      </c>
      <c r="CN24" s="45"/>
      <c r="CO24" s="50">
        <f t="shared" si="85"/>
        <v>0.93182390000000004</v>
      </c>
      <c r="CP24" s="50">
        <f t="shared" si="24"/>
        <v>11.19156559</v>
      </c>
      <c r="CQ24" s="50">
        <f t="shared" si="25"/>
        <v>0</v>
      </c>
      <c r="CR24" s="50">
        <f t="shared" si="26"/>
        <v>11.19156559</v>
      </c>
      <c r="CS24" s="45">
        <f t="shared" si="2"/>
        <v>11.191565000000001</v>
      </c>
      <c r="CT24" s="45"/>
      <c r="CU24" s="44">
        <v>11.191565000000001</v>
      </c>
      <c r="CV24" s="42">
        <v>0.7239972899999999</v>
      </c>
      <c r="CW24" s="45"/>
      <c r="CX24" s="50">
        <f t="shared" si="86"/>
        <v>0.7239972899999999</v>
      </c>
      <c r="CY24" s="42">
        <v>0.74302170000000012</v>
      </c>
      <c r="CZ24" s="45"/>
      <c r="DA24" s="50">
        <v>0.74302170000000012</v>
      </c>
      <c r="DB24" s="42">
        <v>0.99863394000000005</v>
      </c>
      <c r="DC24" s="45"/>
      <c r="DD24" s="50">
        <v>0.99863394000000005</v>
      </c>
      <c r="DE24" s="42">
        <v>1.0419659300000002</v>
      </c>
      <c r="DF24" s="45"/>
      <c r="DG24" s="50">
        <v>1.0419659300000002</v>
      </c>
      <c r="DH24" s="42">
        <v>0.91815195000000005</v>
      </c>
      <c r="DI24" s="45"/>
      <c r="DJ24" s="50">
        <v>0.91815195000000005</v>
      </c>
      <c r="DK24" s="42">
        <v>1.0235093399999999</v>
      </c>
      <c r="DL24" s="45"/>
      <c r="DM24" s="50">
        <v>1.0235093399999999</v>
      </c>
      <c r="DN24" s="42">
        <v>1.09747639</v>
      </c>
      <c r="DO24" s="45"/>
      <c r="DP24" s="50">
        <v>1.09747639</v>
      </c>
      <c r="DQ24" s="42">
        <v>0.92979621999999995</v>
      </c>
      <c r="DR24" s="45"/>
      <c r="DS24" s="50">
        <v>0.92979621999999995</v>
      </c>
      <c r="DT24" s="42">
        <v>0.96096888999999985</v>
      </c>
      <c r="DU24" s="45"/>
      <c r="DV24" s="50">
        <v>0.96096888999999985</v>
      </c>
      <c r="DW24" s="42">
        <v>0.93171246000000008</v>
      </c>
      <c r="DX24" s="45"/>
      <c r="DY24" s="50">
        <v>0.93171246000000008</v>
      </c>
      <c r="DZ24" s="42">
        <v>0.8316029800000001</v>
      </c>
      <c r="EA24" s="45"/>
      <c r="EB24" s="50">
        <v>0.8316029800000001</v>
      </c>
      <c r="EC24" s="42">
        <v>0.92978822999999999</v>
      </c>
      <c r="ED24" s="45"/>
      <c r="EE24" s="50">
        <v>0.92978822999999999</v>
      </c>
      <c r="EF24" s="50">
        <f t="shared" si="27"/>
        <v>11.130625319999998</v>
      </c>
      <c r="EG24" s="50">
        <f t="shared" si="28"/>
        <v>0</v>
      </c>
      <c r="EH24" s="50">
        <f t="shared" si="29"/>
        <v>11.130625319999998</v>
      </c>
      <c r="EI24" s="50">
        <f t="shared" si="70"/>
        <v>11.130625319999998</v>
      </c>
      <c r="EJ24" s="50"/>
      <c r="EK24" s="50">
        <v>11.130625319999998</v>
      </c>
      <c r="EL24" s="50">
        <v>0.59223873000000005</v>
      </c>
      <c r="EM24" s="50"/>
      <c r="EN24" s="50">
        <v>0.59223873000000005</v>
      </c>
      <c r="EO24" s="50">
        <v>0.74804486999999997</v>
      </c>
      <c r="EP24" s="50"/>
      <c r="EQ24" s="50">
        <v>0.74804486999999997</v>
      </c>
      <c r="ER24" s="50">
        <v>0.94893927</v>
      </c>
      <c r="ES24" s="50"/>
      <c r="ET24" s="50">
        <v>0.94893927</v>
      </c>
      <c r="EU24" s="50">
        <v>0.98671889000000002</v>
      </c>
      <c r="EV24" s="50"/>
      <c r="EW24" s="50">
        <v>0.98671889000000002</v>
      </c>
      <c r="EX24" s="50">
        <v>0.97716755</v>
      </c>
      <c r="EY24" s="50"/>
      <c r="EZ24" s="50">
        <v>0.97716755</v>
      </c>
      <c r="FA24" s="50">
        <v>0.90408171000000004</v>
      </c>
      <c r="FB24" s="50"/>
      <c r="FC24" s="50">
        <v>0.90408171000000004</v>
      </c>
      <c r="FD24" s="50">
        <v>0.9302156800000001</v>
      </c>
      <c r="FE24" s="50"/>
      <c r="FF24" s="50">
        <v>0.9302156800000001</v>
      </c>
      <c r="FG24" s="50">
        <v>0.99075803000000007</v>
      </c>
      <c r="FH24" s="50"/>
      <c r="FI24" s="50">
        <v>0.99075803000000007</v>
      </c>
      <c r="FJ24" s="50">
        <v>0.8952010600000001</v>
      </c>
      <c r="FK24" s="50"/>
      <c r="FL24" s="50">
        <v>0.8952010600000001</v>
      </c>
      <c r="FM24" s="50">
        <v>0.84837675000000001</v>
      </c>
      <c r="FN24" s="50"/>
      <c r="FO24" s="50">
        <v>0.84837675000000001</v>
      </c>
      <c r="FP24" s="50">
        <v>0.79488958999999992</v>
      </c>
      <c r="FQ24" s="50"/>
      <c r="FR24" s="50">
        <v>0.79488958999999992</v>
      </c>
      <c r="FS24" s="50">
        <v>0.69270268000000002</v>
      </c>
      <c r="FT24" s="50"/>
      <c r="FU24" s="50">
        <v>0.69270268000000002</v>
      </c>
      <c r="FV24" s="50">
        <f t="shared" si="30"/>
        <v>10.309334810000001</v>
      </c>
      <c r="FW24" s="50">
        <f t="shared" si="31"/>
        <v>0</v>
      </c>
      <c r="FX24" s="50">
        <f t="shared" si="32"/>
        <v>10.309334810000001</v>
      </c>
      <c r="FY24" s="50">
        <f t="shared" si="71"/>
        <v>10.309335000000001</v>
      </c>
      <c r="FZ24" s="50"/>
      <c r="GA24" s="50">
        <v>10.309335000000001</v>
      </c>
      <c r="GB24" s="50">
        <v>2.3781819999999999E-2</v>
      </c>
      <c r="GC24" s="50"/>
      <c r="GD24" s="50">
        <v>2.3781819999999999E-2</v>
      </c>
      <c r="GE24" s="50">
        <v>3.9500000000000001E-4</v>
      </c>
      <c r="GF24" s="50"/>
      <c r="GG24" s="50">
        <v>3.9500000000000001E-4</v>
      </c>
      <c r="GH24" s="50">
        <v>-4.2574399999999995E-3</v>
      </c>
      <c r="GI24" s="50"/>
      <c r="GJ24" s="50">
        <v>-4.2574399999999995E-3</v>
      </c>
      <c r="GK24" s="50">
        <v>-3.1353400000000003E-3</v>
      </c>
      <c r="GL24" s="50"/>
      <c r="GM24" s="50">
        <v>-3.1353400000000003E-3</v>
      </c>
      <c r="GN24" s="50">
        <v>-3.2129400000000001E-3</v>
      </c>
      <c r="GO24" s="50"/>
      <c r="GP24" s="50">
        <v>-3.2129400000000001E-3</v>
      </c>
      <c r="GQ24" s="50">
        <v>-1.47211E-3</v>
      </c>
      <c r="GR24" s="50"/>
      <c r="GS24" s="50">
        <v>-1.47211E-3</v>
      </c>
      <c r="GT24" s="50">
        <v>3.0692000000000002E-4</v>
      </c>
      <c r="GU24" s="50"/>
      <c r="GV24" s="50">
        <v>3.0692000000000002E-4</v>
      </c>
      <c r="GW24" s="50">
        <v>-1.0279000000000001E-4</v>
      </c>
      <c r="GX24" s="50"/>
      <c r="GY24" s="50">
        <v>-1.0279000000000001E-4</v>
      </c>
      <c r="GZ24" s="50">
        <v>-1.35542E-3</v>
      </c>
      <c r="HA24" s="50"/>
      <c r="HB24" s="50">
        <v>-1.35542E-3</v>
      </c>
      <c r="HC24" s="50">
        <v>-3.0782999999999999E-4</v>
      </c>
      <c r="HD24" s="50"/>
      <c r="HE24" s="50">
        <v>-3.0782999999999999E-4</v>
      </c>
      <c r="HF24" s="50">
        <v>-1.16E-4</v>
      </c>
      <c r="HG24" s="50"/>
      <c r="HH24" s="50">
        <v>-1.16E-4</v>
      </c>
      <c r="HI24" s="50">
        <v>-4.0989999999999999E-5</v>
      </c>
      <c r="HJ24" s="50"/>
      <c r="HK24" s="50">
        <v>-4.0989999999999999E-5</v>
      </c>
      <c r="HL24" s="50">
        <f t="shared" si="33"/>
        <v>1.048288E-2</v>
      </c>
      <c r="HM24" s="50">
        <f t="shared" si="34"/>
        <v>0</v>
      </c>
      <c r="HN24" s="50">
        <f t="shared" si="35"/>
        <v>1.048288E-2</v>
      </c>
      <c r="HO24" s="50">
        <f t="shared" si="3"/>
        <v>1.0482999999999999E-2</v>
      </c>
      <c r="HP24" s="50"/>
      <c r="HQ24" s="50">
        <v>1.0482999999999999E-2</v>
      </c>
      <c r="HR24" s="50">
        <v>1.0399999999999999E-4</v>
      </c>
      <c r="HS24" s="50">
        <v>0</v>
      </c>
      <c r="HT24" s="50">
        <v>1.0399999999999999E-4</v>
      </c>
      <c r="HU24" s="50">
        <v>1.0399999999999999E-4</v>
      </c>
      <c r="HV24" s="50">
        <v>0</v>
      </c>
      <c r="HW24" s="50">
        <v>1.0399999999999999E-4</v>
      </c>
      <c r="HX24" s="50">
        <v>1.0399999999999999E-4</v>
      </c>
      <c r="HY24" s="50">
        <v>0</v>
      </c>
      <c r="HZ24" s="50">
        <v>1.0399999999999999E-4</v>
      </c>
      <c r="IA24" s="50">
        <v>1.0399999999999999E-4</v>
      </c>
      <c r="IB24" s="50">
        <v>0</v>
      </c>
      <c r="IC24" s="50">
        <v>1.0399999999999999E-4</v>
      </c>
      <c r="ID24" s="50">
        <v>1.0399999999999999E-4</v>
      </c>
      <c r="IE24" s="50">
        <v>0</v>
      </c>
      <c r="IF24" s="50">
        <v>1.0399999999999999E-4</v>
      </c>
      <c r="IG24" s="50">
        <v>1.0399999999999999E-4</v>
      </c>
      <c r="IH24" s="50">
        <v>0</v>
      </c>
      <c r="II24" s="50">
        <v>1.0399999999999999E-4</v>
      </c>
      <c r="IJ24" s="50">
        <v>4.2299999999999998E-4</v>
      </c>
      <c r="IK24" s="50">
        <v>0</v>
      </c>
      <c r="IL24" s="50">
        <v>4.2299999999999998E-4</v>
      </c>
      <c r="IM24" s="50">
        <v>1.0399999999999999E-4</v>
      </c>
      <c r="IN24" s="50">
        <v>0</v>
      </c>
      <c r="IO24" s="50">
        <v>1.0399999999999999E-4</v>
      </c>
      <c r="IP24" s="50">
        <v>1.0399999999999999E-4</v>
      </c>
      <c r="IQ24" s="50">
        <v>0</v>
      </c>
      <c r="IR24" s="50">
        <v>1.0399999999999999E-4</v>
      </c>
      <c r="IS24" s="50">
        <v>4.2299999999999998E-4</v>
      </c>
      <c r="IT24" s="50">
        <v>0</v>
      </c>
      <c r="IU24" s="50">
        <v>4.2299999999999998E-4</v>
      </c>
      <c r="IV24" s="50">
        <v>3.0699999999999998E-4</v>
      </c>
      <c r="IW24" s="50">
        <v>0</v>
      </c>
      <c r="IX24" s="50">
        <v>3.0699999999999998E-4</v>
      </c>
      <c r="IY24" s="50">
        <v>7.9998999999999999E-4</v>
      </c>
      <c r="IZ24" s="50">
        <v>0</v>
      </c>
      <c r="JA24" s="50">
        <v>7.9998999999999999E-4</v>
      </c>
      <c r="JB24" s="50">
        <f t="shared" si="36"/>
        <v>2.7849899999999998E-3</v>
      </c>
      <c r="JC24" s="50">
        <f t="shared" si="37"/>
        <v>0</v>
      </c>
      <c r="JD24" s="50">
        <f t="shared" si="38"/>
        <v>2.7849899999999998E-3</v>
      </c>
      <c r="JE24" s="50">
        <f t="shared" si="4"/>
        <v>2.7850000000000001E-3</v>
      </c>
      <c r="JF24" s="50"/>
      <c r="JG24" s="50">
        <v>2.7850000000000001E-3</v>
      </c>
      <c r="JH24" s="50">
        <v>0</v>
      </c>
      <c r="JI24" s="50">
        <v>0</v>
      </c>
      <c r="JJ24" s="50">
        <v>0</v>
      </c>
      <c r="JK24" s="50">
        <v>0</v>
      </c>
      <c r="JL24" s="50">
        <v>0</v>
      </c>
      <c r="JM24" s="50">
        <v>0</v>
      </c>
      <c r="JN24" s="50">
        <v>0</v>
      </c>
      <c r="JO24" s="50">
        <v>0</v>
      </c>
      <c r="JP24" s="50">
        <v>0</v>
      </c>
      <c r="JQ24" s="50">
        <v>0</v>
      </c>
      <c r="JR24" s="50">
        <v>0</v>
      </c>
      <c r="JS24" s="50">
        <v>0</v>
      </c>
      <c r="JT24" s="50">
        <v>0</v>
      </c>
      <c r="JU24" s="50">
        <v>0</v>
      </c>
      <c r="JV24" s="50">
        <v>0</v>
      </c>
      <c r="JW24" s="50">
        <v>0</v>
      </c>
      <c r="JX24" s="50">
        <v>0</v>
      </c>
      <c r="JY24" s="50">
        <v>0</v>
      </c>
      <c r="JZ24" s="50">
        <v>0</v>
      </c>
      <c r="KA24" s="50">
        <v>0</v>
      </c>
      <c r="KB24" s="50">
        <v>0</v>
      </c>
      <c r="KC24" s="50">
        <v>0</v>
      </c>
      <c r="KD24" s="50">
        <v>0</v>
      </c>
      <c r="KE24" s="50">
        <v>0</v>
      </c>
      <c r="KF24" s="50">
        <v>0</v>
      </c>
      <c r="KG24" s="50">
        <v>0</v>
      </c>
      <c r="KH24" s="50">
        <v>0</v>
      </c>
      <c r="KI24" s="50">
        <v>0</v>
      </c>
      <c r="KJ24" s="50">
        <v>0</v>
      </c>
      <c r="KK24" s="50">
        <v>0</v>
      </c>
      <c r="KL24" s="50">
        <v>0</v>
      </c>
      <c r="KM24" s="50">
        <v>0</v>
      </c>
      <c r="KN24" s="50">
        <v>0</v>
      </c>
      <c r="KO24" s="50">
        <v>0</v>
      </c>
      <c r="KP24" s="50">
        <v>0</v>
      </c>
      <c r="KQ24" s="50">
        <v>0</v>
      </c>
      <c r="KR24" s="50">
        <f t="shared" si="48"/>
        <v>0</v>
      </c>
      <c r="KS24" s="50">
        <f t="shared" si="39"/>
        <v>0</v>
      </c>
      <c r="KT24" s="50">
        <f t="shared" si="49"/>
        <v>0</v>
      </c>
      <c r="KU24" s="50">
        <f t="shared" si="5"/>
        <v>0</v>
      </c>
      <c r="KV24" s="50"/>
      <c r="KW24" s="50"/>
      <c r="KX24" s="50">
        <v>0</v>
      </c>
      <c r="KY24" s="50">
        <v>0</v>
      </c>
      <c r="KZ24" s="50">
        <v>0</v>
      </c>
      <c r="LA24" s="50">
        <v>0</v>
      </c>
      <c r="LB24" s="50">
        <v>0</v>
      </c>
      <c r="LC24" s="50"/>
      <c r="LE24" s="50">
        <v>0</v>
      </c>
      <c r="LF24" s="50"/>
      <c r="LG24" s="50"/>
      <c r="LH24" s="50">
        <v>0</v>
      </c>
      <c r="LI24" s="50"/>
      <c r="LJ24" s="50">
        <v>0</v>
      </c>
      <c r="LK24" s="50">
        <v>0</v>
      </c>
      <c r="LL24" s="50"/>
      <c r="LM24" s="50"/>
      <c r="LN24" s="50">
        <v>0</v>
      </c>
      <c r="LO24" s="50"/>
      <c r="LP24" s="50">
        <v>0</v>
      </c>
      <c r="LQ24" s="50">
        <v>0</v>
      </c>
      <c r="LR24" s="183"/>
      <c r="LS24" s="50">
        <v>0</v>
      </c>
      <c r="LT24" s="50">
        <v>0</v>
      </c>
      <c r="LV24" s="44">
        <v>0</v>
      </c>
      <c r="LW24" s="50">
        <v>0</v>
      </c>
      <c r="LX24" s="50">
        <v>0</v>
      </c>
      <c r="LY24" s="179"/>
      <c r="LZ24" s="179"/>
      <c r="MA24" s="179"/>
      <c r="MB24" s="179"/>
      <c r="MC24" s="50">
        <v>0</v>
      </c>
      <c r="MD24" s="184"/>
      <c r="ME24" s="44"/>
      <c r="MF24" s="44">
        <v>0</v>
      </c>
      <c r="MG24" s="44"/>
      <c r="MH24" s="50">
        <f t="shared" si="66"/>
        <v>0</v>
      </c>
      <c r="MI24" s="50">
        <f t="shared" si="50"/>
        <v>0</v>
      </c>
      <c r="MJ24" s="50">
        <f t="shared" si="51"/>
        <v>0</v>
      </c>
      <c r="MK24" s="50">
        <f t="shared" si="7"/>
        <v>0</v>
      </c>
      <c r="ML24" s="50"/>
      <c r="MM24" s="50"/>
      <c r="MN24" s="44"/>
      <c r="MO24" s="44">
        <v>0</v>
      </c>
      <c r="MP24" s="44"/>
      <c r="MQ24" s="44">
        <v>0</v>
      </c>
      <c r="MR24" s="44">
        <v>0</v>
      </c>
      <c r="MS24" s="44">
        <v>0</v>
      </c>
      <c r="MT24" s="44">
        <v>0</v>
      </c>
      <c r="MU24" s="50">
        <v>0</v>
      </c>
      <c r="MV24" s="44">
        <v>0</v>
      </c>
      <c r="MW24" s="50"/>
      <c r="MX24" s="50">
        <v>0</v>
      </c>
      <c r="MY24" s="50"/>
      <c r="MZ24" s="50"/>
      <c r="NA24" s="50">
        <v>0</v>
      </c>
      <c r="NB24" s="50"/>
      <c r="NC24" s="50"/>
      <c r="ND24" s="50">
        <v>0</v>
      </c>
      <c r="NE24" s="50"/>
      <c r="NF24" s="50"/>
      <c r="NG24" s="50"/>
      <c r="NH24" s="50"/>
      <c r="NI24" s="50"/>
      <c r="NJ24" s="50"/>
      <c r="NK24" s="50"/>
      <c r="NL24" s="50"/>
      <c r="NM24" s="50"/>
      <c r="NN24" s="50"/>
      <c r="NO24" s="50"/>
      <c r="NP24" s="50"/>
      <c r="NQ24" s="50"/>
      <c r="NR24" s="50"/>
      <c r="NS24" s="50"/>
      <c r="NT24" s="50"/>
      <c r="NU24" s="50">
        <v>0</v>
      </c>
      <c r="NV24" s="50">
        <v>0</v>
      </c>
      <c r="NW24" s="50">
        <v>0</v>
      </c>
      <c r="NX24" s="50">
        <f t="shared" si="67"/>
        <v>0</v>
      </c>
      <c r="NY24" s="50">
        <f t="shared" si="40"/>
        <v>0</v>
      </c>
      <c r="NZ24" s="50">
        <f t="shared" si="41"/>
        <v>0</v>
      </c>
      <c r="OA24" s="50">
        <f t="shared" si="8"/>
        <v>0</v>
      </c>
      <c r="OB24" s="50"/>
      <c r="OC24" s="50"/>
      <c r="OD24" s="50"/>
      <c r="OE24" s="50"/>
      <c r="OF24" s="50"/>
      <c r="OG24" s="50">
        <v>0</v>
      </c>
      <c r="OH24" s="50"/>
      <c r="OI24" s="50"/>
      <c r="OJ24" s="50"/>
      <c r="OK24" s="50"/>
      <c r="OL24" s="50"/>
      <c r="OM24" s="50"/>
      <c r="ON24" s="50"/>
      <c r="OO24" s="50"/>
      <c r="OP24" s="50"/>
      <c r="OQ24" s="50"/>
      <c r="OR24" s="50"/>
      <c r="OS24" s="50"/>
      <c r="OT24" s="50"/>
      <c r="OV24" s="50"/>
      <c r="OW24" s="50"/>
      <c r="OX24" s="50"/>
      <c r="OY24" s="50"/>
      <c r="OZ24" s="50"/>
      <c r="PA24" s="50"/>
      <c r="PB24" s="50"/>
      <c r="PC24" s="50"/>
      <c r="PD24" s="50"/>
      <c r="PE24" s="50"/>
      <c r="PF24" s="50"/>
      <c r="PG24" s="50"/>
      <c r="PH24" s="50"/>
      <c r="PI24" s="50"/>
      <c r="PJ24" s="50"/>
      <c r="PK24" s="50"/>
      <c r="PL24" s="50"/>
      <c r="PM24" s="50"/>
      <c r="PN24" s="50">
        <f t="shared" si="68"/>
        <v>0</v>
      </c>
      <c r="PO24" s="50">
        <f t="shared" si="42"/>
        <v>0</v>
      </c>
      <c r="PP24" s="50">
        <f t="shared" si="43"/>
        <v>0</v>
      </c>
      <c r="PQ24" s="50">
        <f t="shared" si="9"/>
        <v>0</v>
      </c>
      <c r="PR24" s="50"/>
      <c r="PS24" s="50"/>
      <c r="PT24" s="50"/>
      <c r="PU24" s="50"/>
      <c r="PV24" s="50"/>
      <c r="PW24" s="50"/>
      <c r="PX24" s="50"/>
      <c r="PY24" s="50"/>
      <c r="PZ24" s="50"/>
      <c r="QA24" s="50"/>
      <c r="QB24" s="50"/>
      <c r="QC24" s="50"/>
      <c r="QD24" s="50"/>
      <c r="QE24" s="50"/>
      <c r="QF24" s="50"/>
      <c r="QG24" s="50"/>
      <c r="QH24" s="50"/>
      <c r="QI24" s="50">
        <v>0</v>
      </c>
      <c r="QJ24" s="50"/>
      <c r="QK24" s="50"/>
      <c r="QL24" s="50"/>
      <c r="QM24" s="50"/>
      <c r="QN24" s="50"/>
      <c r="QO24" s="50">
        <v>0</v>
      </c>
      <c r="QP24" s="50"/>
      <c r="QQ24" s="50"/>
      <c r="QR24" s="50"/>
      <c r="QS24" s="50"/>
      <c r="QT24" s="50"/>
      <c r="QU24" s="50">
        <v>0</v>
      </c>
      <c r="QV24" s="50"/>
      <c r="QW24" s="50"/>
      <c r="QX24" s="50">
        <v>0</v>
      </c>
      <c r="QY24" s="50"/>
      <c r="QZ24" s="50"/>
      <c r="RA24" s="50">
        <v>0</v>
      </c>
      <c r="RB24" s="50"/>
      <c r="RC24" s="50"/>
      <c r="RD24" s="50">
        <f t="shared" si="52"/>
        <v>0</v>
      </c>
      <c r="RE24" s="50">
        <f t="shared" si="53"/>
        <v>0</v>
      </c>
      <c r="RF24" s="50">
        <f t="shared" si="54"/>
        <v>0</v>
      </c>
      <c r="RG24" s="50">
        <f t="shared" si="11"/>
        <v>0</v>
      </c>
      <c r="RH24" s="50"/>
      <c r="RI24" s="50"/>
      <c r="RJ24" s="50"/>
      <c r="RK24" s="50"/>
      <c r="RL24" s="50"/>
      <c r="RM24" s="50"/>
      <c r="RN24" s="50"/>
      <c r="RO24" s="50"/>
      <c r="RP24" s="50"/>
      <c r="RQ24" s="50"/>
      <c r="RR24" s="50"/>
      <c r="RS24" s="50">
        <v>0</v>
      </c>
      <c r="RT24" s="50"/>
      <c r="RU24" s="50"/>
      <c r="RV24" s="50">
        <v>0</v>
      </c>
      <c r="RW24" s="50"/>
      <c r="RX24" s="50"/>
      <c r="RY24" s="50">
        <v>0</v>
      </c>
      <c r="RZ24" s="50"/>
      <c r="SA24" s="50"/>
      <c r="SB24" s="50">
        <v>0</v>
      </c>
      <c r="SC24" s="50"/>
      <c r="SD24" s="50"/>
      <c r="SE24" s="50">
        <v>0</v>
      </c>
      <c r="SF24" s="50"/>
      <c r="SG24" s="50"/>
      <c r="SH24" s="50">
        <v>0</v>
      </c>
      <c r="SI24" s="50"/>
      <c r="SJ24" s="50"/>
      <c r="SK24" s="50"/>
      <c r="SL24" s="50"/>
      <c r="SM24" s="50"/>
      <c r="SN24" s="50">
        <v>0</v>
      </c>
      <c r="SO24" s="50"/>
      <c r="SP24" s="50"/>
      <c r="SQ24" s="50">
        <v>0</v>
      </c>
      <c r="SR24" s="50"/>
      <c r="SS24" s="50"/>
      <c r="ST24" s="50">
        <f t="shared" si="55"/>
        <v>0</v>
      </c>
      <c r="SU24" s="50">
        <f t="shared" si="65"/>
        <v>0</v>
      </c>
      <c r="SV24" s="50">
        <f t="shared" si="56"/>
        <v>0</v>
      </c>
      <c r="SW24" s="50">
        <f t="shared" si="44"/>
        <v>0</v>
      </c>
      <c r="SX24" s="50"/>
      <c r="SY24" s="50"/>
      <c r="SZ24" s="50"/>
      <c r="TA24" s="50"/>
      <c r="TB24" s="50"/>
      <c r="TC24" s="50">
        <v>0</v>
      </c>
      <c r="TD24" s="50"/>
      <c r="TE24" s="50"/>
      <c r="TF24" s="50"/>
      <c r="TG24" s="50"/>
      <c r="TH24" s="50">
        <v>0</v>
      </c>
      <c r="TI24" s="50">
        <v>0</v>
      </c>
      <c r="TJ24" s="50"/>
      <c r="TK24" s="50"/>
      <c r="TL24" s="50">
        <v>0</v>
      </c>
      <c r="TM24" s="50"/>
      <c r="TN24" s="50"/>
      <c r="TO24" s="50">
        <v>0</v>
      </c>
      <c r="TP24" s="50"/>
      <c r="TQ24" s="50"/>
      <c r="TR24" s="50">
        <v>0</v>
      </c>
      <c r="TS24" s="50"/>
      <c r="TT24" s="50"/>
      <c r="TU24" s="50">
        <v>0</v>
      </c>
      <c r="TV24" s="50"/>
      <c r="TW24" s="50"/>
      <c r="TX24" s="50">
        <v>0</v>
      </c>
      <c r="TY24" s="50"/>
      <c r="TZ24" s="50"/>
      <c r="UA24" s="50">
        <v>0</v>
      </c>
      <c r="UB24" s="50"/>
      <c r="UC24" s="50"/>
      <c r="UD24" s="50">
        <v>0</v>
      </c>
      <c r="UE24" s="50"/>
      <c r="UF24" s="50"/>
      <c r="UG24" s="50">
        <v>0</v>
      </c>
      <c r="UH24" s="50"/>
      <c r="UI24" s="50"/>
      <c r="UJ24" s="50">
        <f t="shared" si="45"/>
        <v>0</v>
      </c>
      <c r="UK24" s="50">
        <f t="shared" si="15"/>
        <v>0</v>
      </c>
      <c r="UL24" s="50">
        <f t="shared" si="16"/>
        <v>0</v>
      </c>
      <c r="UM24" s="50">
        <v>0</v>
      </c>
      <c r="UN24" s="50"/>
      <c r="UO24" s="50"/>
      <c r="UP24" s="50">
        <v>0</v>
      </c>
      <c r="UQ24" s="50"/>
      <c r="UR24" s="50"/>
      <c r="US24" s="50">
        <v>0</v>
      </c>
      <c r="UT24" s="50"/>
      <c r="UU24" s="50"/>
      <c r="UV24" s="50">
        <v>0</v>
      </c>
      <c r="UW24" s="50"/>
      <c r="UX24" s="50"/>
      <c r="UY24" s="50"/>
      <c r="UZ24" s="50"/>
      <c r="VA24" s="50"/>
      <c r="VB24" s="50"/>
      <c r="VC24" s="50"/>
      <c r="VD24" s="50"/>
      <c r="VE24" s="50"/>
      <c r="VF24" s="50"/>
      <c r="VG24" s="50"/>
      <c r="VH24" s="50"/>
      <c r="VI24" s="50"/>
      <c r="VJ24" s="50"/>
      <c r="VK24" s="50"/>
      <c r="VL24" s="50"/>
      <c r="VM24" s="50"/>
      <c r="VN24" s="50"/>
      <c r="VO24" s="50"/>
      <c r="VP24" s="50"/>
      <c r="VQ24" s="50"/>
      <c r="VR24" s="50"/>
      <c r="VS24" s="50"/>
      <c r="VT24" s="50"/>
      <c r="VU24" s="50"/>
      <c r="VV24" s="50"/>
      <c r="VW24" s="276">
        <f t="shared" si="57"/>
        <v>0</v>
      </c>
      <c r="VX24" s="292">
        <f t="shared" si="58"/>
        <v>0</v>
      </c>
      <c r="VY24" s="292">
        <f t="shared" si="59"/>
        <v>0</v>
      </c>
      <c r="VZ24" s="276">
        <f t="shared" si="60"/>
        <v>0</v>
      </c>
      <c r="WA24" s="292">
        <f t="shared" si="61"/>
        <v>0</v>
      </c>
      <c r="WB24" s="292">
        <f t="shared" si="62"/>
        <v>0</v>
      </c>
      <c r="WC24" s="277">
        <f t="shared" si="63"/>
        <v>0</v>
      </c>
      <c r="WD24" s="277"/>
    </row>
    <row r="25" spans="1:602" s="12" customFormat="1" ht="20.5">
      <c r="A25" s="77" t="s">
        <v>71</v>
      </c>
      <c r="B25" s="12" t="s">
        <v>72</v>
      </c>
      <c r="C25" s="77" t="s">
        <v>205</v>
      </c>
      <c r="D25" s="45">
        <v>0</v>
      </c>
      <c r="E25" s="42">
        <v>0</v>
      </c>
      <c r="F25" s="42">
        <v>0</v>
      </c>
      <c r="G25" s="42">
        <v>0</v>
      </c>
      <c r="H25" s="42">
        <v>4.6666396321022647</v>
      </c>
      <c r="I25" s="42">
        <v>4.1380384858367343</v>
      </c>
      <c r="J25" s="42">
        <v>5.3270385484430935</v>
      </c>
      <c r="K25" s="42">
        <v>4.8681481607958981</v>
      </c>
      <c r="L25" s="42">
        <v>5.9822880917012426</v>
      </c>
      <c r="M25" s="42">
        <v>5.9198211734708392</v>
      </c>
      <c r="N25" s="42">
        <v>6.0863199412638522</v>
      </c>
      <c r="O25" s="42">
        <v>6.0888370014968611</v>
      </c>
      <c r="P25" s="42">
        <v>5.3321551954741295</v>
      </c>
      <c r="Q25" s="42">
        <v>5.0726973665488533</v>
      </c>
      <c r="R25" s="42">
        <v>4.7262750354295084</v>
      </c>
      <c r="S25" s="42">
        <v>4.6464220465449833</v>
      </c>
      <c r="T25" s="42">
        <v>62.854680679108263</v>
      </c>
      <c r="U25" s="42">
        <v>0</v>
      </c>
      <c r="V25" s="42">
        <v>62.854680679108263</v>
      </c>
      <c r="W25" s="42">
        <v>62.854680679108256</v>
      </c>
      <c r="X25" s="42">
        <v>6.3148274625642431</v>
      </c>
      <c r="Y25" s="42">
        <v>4.5021271933568965</v>
      </c>
      <c r="Z25" s="42">
        <v>5.3930313430202448</v>
      </c>
      <c r="AA25" s="42">
        <v>5.1352254682671132</v>
      </c>
      <c r="AB25" s="42">
        <v>6.3133846705482606</v>
      </c>
      <c r="AC25" s="42">
        <v>6.4397413788196998</v>
      </c>
      <c r="AD25" s="42">
        <v>6.754760929078377</v>
      </c>
      <c r="AE25" s="42">
        <v>6.5779249975811185</v>
      </c>
      <c r="AF25" s="42">
        <v>5.2100528739164833</v>
      </c>
      <c r="AG25" s="42">
        <v>5.7834403332934938</v>
      </c>
      <c r="AH25" s="42">
        <v>5.1309255496553803</v>
      </c>
      <c r="AI25" s="42">
        <v>4.1251899533867196</v>
      </c>
      <c r="AJ25" s="42">
        <f t="shared" si="46"/>
        <v>67.680632153488034</v>
      </c>
      <c r="AK25" s="42">
        <v>0</v>
      </c>
      <c r="AL25" s="42">
        <v>67.680632153488034</v>
      </c>
      <c r="AM25" s="42">
        <v>67.68063215348802</v>
      </c>
      <c r="AN25" s="42">
        <v>7.705038673655813</v>
      </c>
      <c r="AO25" s="42">
        <v>5.2990976146976969</v>
      </c>
      <c r="AP25" s="42">
        <v>5.5824255411181491</v>
      </c>
      <c r="AQ25" s="42">
        <v>6.1132420987928358</v>
      </c>
      <c r="AR25" s="42">
        <v>6.3685650622364127</v>
      </c>
      <c r="AS25" s="42">
        <v>6.0275809471773076</v>
      </c>
      <c r="AT25" s="42">
        <v>7.1299153106698308</v>
      </c>
      <c r="AU25" s="42">
        <v>6.1805425125639575</v>
      </c>
      <c r="AV25" s="42">
        <v>5.7015441004888991</v>
      </c>
      <c r="AW25" s="42">
        <v>5.8372718425051655</v>
      </c>
      <c r="AX25" s="42">
        <v>4.9000973244318473</v>
      </c>
      <c r="AY25" s="42">
        <v>5.1091271535164857</v>
      </c>
      <c r="AZ25" s="42">
        <v>71.954448181854417</v>
      </c>
      <c r="BA25" s="42"/>
      <c r="BB25" s="42">
        <v>71.954448181854417</v>
      </c>
      <c r="BC25" s="45">
        <f t="shared" si="21"/>
        <v>71.954448181854403</v>
      </c>
      <c r="BD25" s="45"/>
      <c r="BE25" s="45">
        <v>71.954448181854403</v>
      </c>
      <c r="BF25" s="44">
        <v>7.7209199999999996</v>
      </c>
      <c r="BG25" s="50"/>
      <c r="BH25" s="50">
        <f t="shared" si="74"/>
        <v>7.7209199999999996</v>
      </c>
      <c r="BI25" s="45">
        <v>5.3837869999999999</v>
      </c>
      <c r="BJ25" s="121"/>
      <c r="BK25" s="50">
        <f t="shared" si="75"/>
        <v>5.3837869999999999</v>
      </c>
      <c r="BL25" s="50">
        <v>5.9707749999999997</v>
      </c>
      <c r="BM25" s="50"/>
      <c r="BN25" s="50">
        <f t="shared" si="76"/>
        <v>5.9707749999999997</v>
      </c>
      <c r="BO25" s="50">
        <v>6.3405370000000003</v>
      </c>
      <c r="BP25" s="50"/>
      <c r="BQ25" s="50">
        <f t="shared" si="77"/>
        <v>6.3405370000000003</v>
      </c>
      <c r="BR25" s="50">
        <v>6.7012299999999998</v>
      </c>
      <c r="BS25" s="50"/>
      <c r="BT25" s="50">
        <f t="shared" si="78"/>
        <v>6.7012299999999998</v>
      </c>
      <c r="BU25" s="50">
        <v>6.3851550000000001</v>
      </c>
      <c r="BV25" s="50"/>
      <c r="BW25" s="50">
        <f t="shared" si="79"/>
        <v>6.3851550000000001</v>
      </c>
      <c r="BX25" s="50">
        <v>7.3181240000000001</v>
      </c>
      <c r="BY25" s="50"/>
      <c r="BZ25" s="50">
        <f t="shared" si="80"/>
        <v>7.3181240000000001</v>
      </c>
      <c r="CA25" s="50">
        <v>6.0627509999999996</v>
      </c>
      <c r="CB25" s="50"/>
      <c r="CC25" s="50">
        <f t="shared" si="81"/>
        <v>6.0627509999999996</v>
      </c>
      <c r="CD25" s="50">
        <v>6.1593288799999995</v>
      </c>
      <c r="CE25" s="50"/>
      <c r="CF25" s="50">
        <f t="shared" si="82"/>
        <v>6.1593288799999995</v>
      </c>
      <c r="CG25" s="50">
        <v>5.9734575799999998</v>
      </c>
      <c r="CH25" s="50"/>
      <c r="CI25" s="50">
        <f t="shared" si="83"/>
        <v>5.9734575799999998</v>
      </c>
      <c r="CJ25" s="45">
        <v>4.47831549</v>
      </c>
      <c r="CK25" s="45"/>
      <c r="CL25" s="50">
        <f t="shared" si="84"/>
        <v>4.47831549</v>
      </c>
      <c r="CM25" s="42">
        <v>5.00969189</v>
      </c>
      <c r="CN25" s="45"/>
      <c r="CO25" s="50">
        <f t="shared" si="85"/>
        <v>5.00969189</v>
      </c>
      <c r="CP25" s="50">
        <f t="shared" si="24"/>
        <v>73.504072839999992</v>
      </c>
      <c r="CQ25" s="50">
        <f t="shared" si="25"/>
        <v>0</v>
      </c>
      <c r="CR25" s="50">
        <f t="shared" si="26"/>
        <v>73.504072839999992</v>
      </c>
      <c r="CS25" s="45">
        <f t="shared" si="2"/>
        <v>73.504071999999994</v>
      </c>
      <c r="CT25" s="45"/>
      <c r="CU25" s="44">
        <v>73.504071999999994</v>
      </c>
      <c r="CV25" s="42">
        <v>8.9998730299999998</v>
      </c>
      <c r="CW25" s="45"/>
      <c r="CX25" s="50">
        <f t="shared" si="86"/>
        <v>8.9998730299999998</v>
      </c>
      <c r="CY25" s="42">
        <v>5.8480398600000001</v>
      </c>
      <c r="CZ25" s="45"/>
      <c r="DA25" s="50">
        <v>5.8480398600000001</v>
      </c>
      <c r="DB25" s="42">
        <v>6.8154553100000008</v>
      </c>
      <c r="DC25" s="45"/>
      <c r="DD25" s="50">
        <v>6.8154553100000008</v>
      </c>
      <c r="DE25" s="42">
        <v>6.6337985700000006</v>
      </c>
      <c r="DF25" s="45"/>
      <c r="DG25" s="50">
        <v>6.6337985700000006</v>
      </c>
      <c r="DH25" s="42">
        <v>6.7456630799999999</v>
      </c>
      <c r="DI25" s="45"/>
      <c r="DJ25" s="50">
        <v>6.7456630799999999</v>
      </c>
      <c r="DK25" s="42">
        <v>6.8664564399999994</v>
      </c>
      <c r="DL25" s="45"/>
      <c r="DM25" s="50">
        <v>6.8664564399999994</v>
      </c>
      <c r="DN25" s="42">
        <v>7.2347767999999997</v>
      </c>
      <c r="DO25" s="45"/>
      <c r="DP25" s="50">
        <v>7.2347767999999997</v>
      </c>
      <c r="DQ25" s="42">
        <v>6.3162678799999998</v>
      </c>
      <c r="DR25" s="45"/>
      <c r="DS25" s="50">
        <v>6.3162678799999998</v>
      </c>
      <c r="DT25" s="42">
        <v>6.20234679</v>
      </c>
      <c r="DU25" s="45"/>
      <c r="DV25" s="50">
        <v>6.20234679</v>
      </c>
      <c r="DW25" s="42">
        <v>6.3470968599999997</v>
      </c>
      <c r="DX25" s="45"/>
      <c r="DY25" s="50">
        <v>6.3470968599999997</v>
      </c>
      <c r="DZ25" s="42">
        <v>5.3886693399999999</v>
      </c>
      <c r="EA25" s="45"/>
      <c r="EB25" s="50">
        <v>5.3886693399999999</v>
      </c>
      <c r="EC25" s="42">
        <v>5.9861039099999998</v>
      </c>
      <c r="ED25" s="45"/>
      <c r="EE25" s="50">
        <v>5.9861039099999998</v>
      </c>
      <c r="EF25" s="50">
        <f t="shared" si="27"/>
        <v>79.384547870000006</v>
      </c>
      <c r="EG25" s="50">
        <f t="shared" si="28"/>
        <v>0</v>
      </c>
      <c r="EH25" s="50">
        <f t="shared" si="29"/>
        <v>79.384547870000006</v>
      </c>
      <c r="EI25" s="50">
        <f t="shared" si="70"/>
        <v>79.384547999999995</v>
      </c>
      <c r="EJ25" s="50"/>
      <c r="EK25" s="50">
        <v>79.384547999999995</v>
      </c>
      <c r="EL25" s="50">
        <v>8.2673971399999999</v>
      </c>
      <c r="EM25" s="50"/>
      <c r="EN25" s="50">
        <v>8.2673971399999999</v>
      </c>
      <c r="EO25" s="50">
        <v>6.4367554800000004</v>
      </c>
      <c r="EP25" s="50"/>
      <c r="EQ25" s="50">
        <v>6.4367554800000004</v>
      </c>
      <c r="ER25" s="50">
        <v>6.8213365600000007</v>
      </c>
      <c r="ES25" s="50"/>
      <c r="ET25" s="50">
        <v>6.8213365600000007</v>
      </c>
      <c r="EU25" s="50">
        <v>7.0754652499999997</v>
      </c>
      <c r="EV25" s="50"/>
      <c r="EW25" s="50">
        <v>7.0754652499999997</v>
      </c>
      <c r="EX25" s="50">
        <v>7.9538630299999991</v>
      </c>
      <c r="EY25" s="50"/>
      <c r="EZ25" s="50">
        <v>7.9538630299999991</v>
      </c>
      <c r="FA25" s="50">
        <v>7.1191935299999995</v>
      </c>
      <c r="FB25" s="50"/>
      <c r="FC25" s="50">
        <v>7.1191935299999995</v>
      </c>
      <c r="FD25" s="50">
        <v>7.3891406500000008</v>
      </c>
      <c r="FE25" s="50"/>
      <c r="FF25" s="50">
        <v>7.3891406500000008</v>
      </c>
      <c r="FG25" s="50">
        <v>7.4822211699999999</v>
      </c>
      <c r="FH25" s="50"/>
      <c r="FI25" s="50">
        <v>7.4822211699999999</v>
      </c>
      <c r="FJ25" s="50">
        <v>6.2067744800000009</v>
      </c>
      <c r="FK25" s="50"/>
      <c r="FL25" s="50">
        <v>6.2067744800000009</v>
      </c>
      <c r="FM25" s="50">
        <v>6.4850332800000006</v>
      </c>
      <c r="FN25" s="50"/>
      <c r="FO25" s="50">
        <v>6.4850332800000006</v>
      </c>
      <c r="FP25" s="50">
        <v>6.0175674299999997</v>
      </c>
      <c r="FQ25" s="50"/>
      <c r="FR25" s="50">
        <v>6.0175674299999997</v>
      </c>
      <c r="FS25" s="50">
        <v>6.4588300399999996</v>
      </c>
      <c r="FT25" s="50"/>
      <c r="FU25" s="50">
        <v>6.4588300399999996</v>
      </c>
      <c r="FV25" s="50">
        <f t="shared" si="30"/>
        <v>83.713578040000002</v>
      </c>
      <c r="FW25" s="50">
        <f t="shared" si="31"/>
        <v>0</v>
      </c>
      <c r="FX25" s="50">
        <f t="shared" si="32"/>
        <v>83.713578040000002</v>
      </c>
      <c r="FY25" s="50">
        <f t="shared" si="71"/>
        <v>83.713577999999998</v>
      </c>
      <c r="FZ25" s="50"/>
      <c r="GA25" s="50">
        <v>83.713577999999998</v>
      </c>
      <c r="GB25" s="50">
        <v>9.6037743399999993</v>
      </c>
      <c r="GC25" s="50"/>
      <c r="GD25" s="50">
        <v>9.6037743399999993</v>
      </c>
      <c r="GE25" s="50">
        <v>6.3459881900000008</v>
      </c>
      <c r="GF25" s="50"/>
      <c r="GG25" s="50">
        <v>6.3459881900000008</v>
      </c>
      <c r="GH25" s="50">
        <v>7.8712047699999994</v>
      </c>
      <c r="GI25" s="50"/>
      <c r="GJ25" s="50">
        <v>7.8712047699999994</v>
      </c>
      <c r="GK25" s="50">
        <v>7.1082731700000004</v>
      </c>
      <c r="GL25" s="50"/>
      <c r="GM25" s="50">
        <v>7.1082731700000004</v>
      </c>
      <c r="GN25" s="50">
        <v>8.4954813199999997</v>
      </c>
      <c r="GO25" s="50"/>
      <c r="GP25" s="50">
        <v>8.4954813199999997</v>
      </c>
      <c r="GQ25" s="50">
        <v>8.1261642500000004</v>
      </c>
      <c r="GR25" s="50"/>
      <c r="GS25" s="50">
        <v>8.1261642500000004</v>
      </c>
      <c r="GT25" s="50">
        <v>8.4876839299999993</v>
      </c>
      <c r="GU25" s="50"/>
      <c r="GV25" s="50">
        <v>8.4876839299999993</v>
      </c>
      <c r="GW25" s="50">
        <v>8.3203297599999999</v>
      </c>
      <c r="GX25" s="50"/>
      <c r="GY25" s="50">
        <v>8.3203297599999999</v>
      </c>
      <c r="GZ25" s="50">
        <v>6.7761977400000006</v>
      </c>
      <c r="HA25" s="50"/>
      <c r="HB25" s="50">
        <v>6.7761977400000006</v>
      </c>
      <c r="HC25" s="50">
        <v>7.0654540199999998</v>
      </c>
      <c r="HD25" s="50"/>
      <c r="HE25" s="50">
        <v>7.0654540199999998</v>
      </c>
      <c r="HF25" s="50">
        <v>6.4246461699999999</v>
      </c>
      <c r="HG25" s="50"/>
      <c r="HH25" s="50">
        <v>6.4246461699999999</v>
      </c>
      <c r="HI25" s="50">
        <v>6.3923863399999998</v>
      </c>
      <c r="HJ25" s="50"/>
      <c r="HK25" s="50">
        <v>6.3923863399999998</v>
      </c>
      <c r="HL25" s="50">
        <f t="shared" si="33"/>
        <v>91.017583999999999</v>
      </c>
      <c r="HM25" s="50">
        <f t="shared" si="34"/>
        <v>0</v>
      </c>
      <c r="HN25" s="50">
        <f t="shared" si="35"/>
        <v>91.017583999999999</v>
      </c>
      <c r="HO25" s="50">
        <f t="shared" si="3"/>
        <v>91.017583999999999</v>
      </c>
      <c r="HP25" s="50"/>
      <c r="HQ25" s="50">
        <v>91.017583999999999</v>
      </c>
      <c r="HR25" s="50">
        <v>10.891072339999999</v>
      </c>
      <c r="HS25" s="50">
        <v>0</v>
      </c>
      <c r="HT25" s="50">
        <v>10.891072339999999</v>
      </c>
      <c r="HU25" s="50">
        <v>7.3980420000000002</v>
      </c>
      <c r="HV25" s="50">
        <v>0</v>
      </c>
      <c r="HW25" s="50">
        <v>7.3980420000000002</v>
      </c>
      <c r="HX25" s="50">
        <v>7.7811672900000008</v>
      </c>
      <c r="HY25" s="50">
        <v>0</v>
      </c>
      <c r="HZ25" s="50">
        <v>7.7811672900000008</v>
      </c>
      <c r="IA25" s="50">
        <v>8.15032508</v>
      </c>
      <c r="IB25" s="50">
        <v>0</v>
      </c>
      <c r="IC25" s="50">
        <v>8.15032508</v>
      </c>
      <c r="ID25" s="50">
        <v>8.8403837899999989</v>
      </c>
      <c r="IE25" s="50">
        <v>0</v>
      </c>
      <c r="IF25" s="50">
        <v>8.8403837899999989</v>
      </c>
      <c r="IG25" s="50">
        <v>8.4143292100000018</v>
      </c>
      <c r="IH25" s="50">
        <v>0</v>
      </c>
      <c r="II25" s="50">
        <v>8.4143292100000018</v>
      </c>
      <c r="IJ25" s="50">
        <v>8.6341466400000009</v>
      </c>
      <c r="IK25" s="50">
        <v>0</v>
      </c>
      <c r="IL25" s="50">
        <v>8.6341466400000009</v>
      </c>
      <c r="IM25" s="50">
        <v>7.941980130000001</v>
      </c>
      <c r="IN25" s="50">
        <v>0</v>
      </c>
      <c r="IO25" s="50">
        <v>7.941980130000001</v>
      </c>
      <c r="IP25" s="50">
        <v>6.7211733499999999</v>
      </c>
      <c r="IQ25" s="50">
        <v>0</v>
      </c>
      <c r="IR25" s="50">
        <v>6.7211733499999999</v>
      </c>
      <c r="IS25" s="50">
        <v>7.6233613</v>
      </c>
      <c r="IT25" s="50">
        <v>0</v>
      </c>
      <c r="IU25" s="50">
        <v>7.6233613</v>
      </c>
      <c r="IV25" s="50">
        <v>6.3384984199999996</v>
      </c>
      <c r="IW25" s="50">
        <v>0</v>
      </c>
      <c r="IX25" s="50">
        <v>6.3384984199999996</v>
      </c>
      <c r="IY25" s="50">
        <v>5.5662266499999999</v>
      </c>
      <c r="IZ25" s="50">
        <v>0</v>
      </c>
      <c r="JA25" s="50">
        <v>5.5662266499999999</v>
      </c>
      <c r="JB25" s="50">
        <f t="shared" si="36"/>
        <v>94.300706199999993</v>
      </c>
      <c r="JC25" s="50">
        <f t="shared" si="37"/>
        <v>0</v>
      </c>
      <c r="JD25" s="50">
        <f t="shared" si="38"/>
        <v>94.300706199999993</v>
      </c>
      <c r="JE25" s="50">
        <f t="shared" si="4"/>
        <v>94.300706000000005</v>
      </c>
      <c r="JF25" s="50"/>
      <c r="JG25" s="50">
        <v>94.300706000000005</v>
      </c>
      <c r="JH25" s="50">
        <v>10.174811419999999</v>
      </c>
      <c r="JI25" s="50">
        <v>0</v>
      </c>
      <c r="JJ25" s="50">
        <v>10.174811419999999</v>
      </c>
      <c r="JK25" s="50">
        <v>7.5096290999999997</v>
      </c>
      <c r="JL25" s="50">
        <v>0</v>
      </c>
      <c r="JM25" s="50">
        <v>7.5096290999999997</v>
      </c>
      <c r="JN25" s="50">
        <v>8.8483956299999988</v>
      </c>
      <c r="JO25" s="50">
        <v>0</v>
      </c>
      <c r="JP25" s="50">
        <v>8.8483956299999988</v>
      </c>
      <c r="JQ25" s="50">
        <v>8.4541108700000009</v>
      </c>
      <c r="JR25" s="50">
        <v>0</v>
      </c>
      <c r="JS25" s="50">
        <v>8.4541108700000009</v>
      </c>
      <c r="JT25" s="50">
        <v>8.4132070099999989</v>
      </c>
      <c r="JU25" s="50">
        <v>0</v>
      </c>
      <c r="JV25" s="50">
        <v>8.4132070099999989</v>
      </c>
      <c r="JW25" s="50">
        <v>7.7257525399999993</v>
      </c>
      <c r="JX25" s="50">
        <v>0</v>
      </c>
      <c r="JY25" s="50">
        <v>7.7257525399999993</v>
      </c>
      <c r="JZ25" s="50">
        <v>9.0754060899999995</v>
      </c>
      <c r="KA25" s="50">
        <v>0</v>
      </c>
      <c r="KB25" s="50">
        <v>9.0754060899999995</v>
      </c>
      <c r="KC25" s="50">
        <v>8.054383210000001</v>
      </c>
      <c r="KD25" s="50">
        <v>0</v>
      </c>
      <c r="KE25" s="50">
        <v>8.054383210000001</v>
      </c>
      <c r="KF25" s="50">
        <v>7.4493456899999995</v>
      </c>
      <c r="KG25" s="50">
        <v>0</v>
      </c>
      <c r="KH25" s="50">
        <v>7.4493456899999995</v>
      </c>
      <c r="KI25" s="50">
        <v>7.9363437699999997</v>
      </c>
      <c r="KJ25" s="50">
        <v>0</v>
      </c>
      <c r="KK25" s="50">
        <v>7.9363437699999997</v>
      </c>
      <c r="KL25" s="50">
        <v>6.0775305700000004</v>
      </c>
      <c r="KM25" s="50">
        <v>0</v>
      </c>
      <c r="KN25" s="50">
        <v>6.0775305700000004</v>
      </c>
      <c r="KO25" s="50">
        <v>5.5800379299999996</v>
      </c>
      <c r="KP25" s="50">
        <v>0</v>
      </c>
      <c r="KQ25" s="50">
        <v>5.5800379299999996</v>
      </c>
      <c r="KR25" s="50">
        <f t="shared" si="48"/>
        <v>95.298953830000016</v>
      </c>
      <c r="KS25" s="50">
        <f t="shared" si="39"/>
        <v>0</v>
      </c>
      <c r="KT25" s="50">
        <f t="shared" si="49"/>
        <v>95.298953830000016</v>
      </c>
      <c r="KU25" s="50">
        <f t="shared" si="5"/>
        <v>95.298953999999995</v>
      </c>
      <c r="KV25" s="50"/>
      <c r="KW25" s="50">
        <v>95.298953999999995</v>
      </c>
      <c r="KX25" s="50">
        <v>10.821935570000001</v>
      </c>
      <c r="KY25" s="50">
        <v>0</v>
      </c>
      <c r="KZ25" s="50">
        <v>10.821935570000001</v>
      </c>
      <c r="LA25" s="50">
        <v>7.8094413200000004</v>
      </c>
      <c r="LB25" s="50">
        <v>0</v>
      </c>
      <c r="LC25" s="50">
        <v>7.8094413200000004</v>
      </c>
      <c r="LD25" s="50">
        <v>8.3805289500000004</v>
      </c>
      <c r="LE25" s="50">
        <v>0</v>
      </c>
      <c r="LF25" s="50">
        <v>8.3805289500000004</v>
      </c>
      <c r="LG25" s="50">
        <v>7.5729200600000004</v>
      </c>
      <c r="LH25" s="50">
        <v>0</v>
      </c>
      <c r="LI25" s="174">
        <v>7.5729200600000004</v>
      </c>
      <c r="LJ25" s="174">
        <v>8.13636056</v>
      </c>
      <c r="LK25" s="50">
        <v>0</v>
      </c>
      <c r="LL25" s="174">
        <v>8.13636056</v>
      </c>
      <c r="LM25" s="50">
        <v>8.1171277000000011</v>
      </c>
      <c r="LN25" s="50">
        <v>0</v>
      </c>
      <c r="LO25" s="50">
        <v>8.1171277000000011</v>
      </c>
      <c r="LP25" s="50">
        <v>9.7340493299999995</v>
      </c>
      <c r="LQ25" s="50">
        <v>0</v>
      </c>
      <c r="LR25" s="44">
        <v>9.7340493299999995</v>
      </c>
      <c r="LS25" s="50">
        <v>7.9889552899999998</v>
      </c>
      <c r="LT25" s="50">
        <v>0</v>
      </c>
      <c r="LU25" s="52">
        <v>7.9889552899999998</v>
      </c>
      <c r="LV25" s="44">
        <v>7.94003733</v>
      </c>
      <c r="LW25" s="50">
        <v>0</v>
      </c>
      <c r="LX25" s="50">
        <v>7.94003733</v>
      </c>
      <c r="LY25" s="50">
        <v>7.5684057400000002</v>
      </c>
      <c r="LZ25" s="50">
        <v>0</v>
      </c>
      <c r="MA25" s="50">
        <v>7.5684057400000002</v>
      </c>
      <c r="MB25" s="50">
        <v>6.6801850200000006</v>
      </c>
      <c r="MC25" s="50">
        <v>0</v>
      </c>
      <c r="MD25" s="50">
        <v>6.6801850200000006</v>
      </c>
      <c r="ME25" s="44">
        <v>6.696460029999999</v>
      </c>
      <c r="MF25" s="44">
        <v>0</v>
      </c>
      <c r="MG25" s="44">
        <v>6.696460029999999</v>
      </c>
      <c r="MH25" s="50">
        <f t="shared" si="66"/>
        <v>97.446406899999999</v>
      </c>
      <c r="MI25" s="50">
        <f t="shared" si="50"/>
        <v>0</v>
      </c>
      <c r="MJ25" s="50">
        <f t="shared" si="51"/>
        <v>97.446406899999999</v>
      </c>
      <c r="MK25" s="50">
        <f t="shared" si="7"/>
        <v>97.446406999999994</v>
      </c>
      <c r="ML25" s="50"/>
      <c r="MM25" s="50">
        <v>97.446406999999994</v>
      </c>
      <c r="MN25" s="44">
        <v>9.7757996899999995</v>
      </c>
      <c r="MO25" s="44">
        <v>0</v>
      </c>
      <c r="MP25" s="44">
        <v>9.7757996899999995</v>
      </c>
      <c r="MQ25" s="44">
        <v>7.6553680299999991</v>
      </c>
      <c r="MR25" s="44">
        <v>0</v>
      </c>
      <c r="MS25" s="44">
        <v>7.6553680299999991</v>
      </c>
      <c r="MT25" s="44">
        <v>9.9519380300000009</v>
      </c>
      <c r="MU25" s="50">
        <v>0</v>
      </c>
      <c r="MV25" s="44">
        <v>9.9519380300000009</v>
      </c>
      <c r="MW25" s="50">
        <v>8.8235363499999995</v>
      </c>
      <c r="MX25" s="50">
        <v>0</v>
      </c>
      <c r="MY25" s="50">
        <v>8.8235363499999995</v>
      </c>
      <c r="MZ25" s="50">
        <v>8.4036477899999991</v>
      </c>
      <c r="NA25" s="50">
        <v>0</v>
      </c>
      <c r="NB25" s="50">
        <v>8.4036477899999991</v>
      </c>
      <c r="NC25" s="50">
        <v>8.4375343399999991</v>
      </c>
      <c r="ND25" s="50">
        <v>0</v>
      </c>
      <c r="NE25" s="50">
        <v>8.4375343399999991</v>
      </c>
      <c r="NF25" s="50">
        <v>9.3987283700000006</v>
      </c>
      <c r="NG25" s="50">
        <v>0</v>
      </c>
      <c r="NH25" s="50">
        <v>9.3987283700000006</v>
      </c>
      <c r="NI25" s="50">
        <v>8.7588501099999991</v>
      </c>
      <c r="NJ25" s="50">
        <v>0</v>
      </c>
      <c r="NK25" s="50">
        <v>8.7588501099999991</v>
      </c>
      <c r="NL25" s="50">
        <v>7.9278119500000015</v>
      </c>
      <c r="NM25" s="50">
        <v>0</v>
      </c>
      <c r="NN25" s="50">
        <v>7.9278119500000015</v>
      </c>
      <c r="NO25" s="50">
        <v>7.4875334399999991</v>
      </c>
      <c r="NP25" s="50">
        <v>0</v>
      </c>
      <c r="NQ25" s="50">
        <v>7.4875334399999991</v>
      </c>
      <c r="NR25" s="50">
        <v>6.7729282300000007</v>
      </c>
      <c r="NS25" s="50">
        <v>0</v>
      </c>
      <c r="NT25" s="50">
        <v>6.7729282300000007</v>
      </c>
      <c r="NU25" s="50">
        <v>6.5992597499999999</v>
      </c>
      <c r="NV25" s="50">
        <v>0</v>
      </c>
      <c r="NW25" s="50">
        <v>6.5992597499999999</v>
      </c>
      <c r="NX25" s="50">
        <f t="shared" si="67"/>
        <v>99.992936080000007</v>
      </c>
      <c r="NY25" s="50">
        <f t="shared" si="40"/>
        <v>0</v>
      </c>
      <c r="NZ25" s="50">
        <f t="shared" si="41"/>
        <v>99.992936080000007</v>
      </c>
      <c r="OA25" s="50">
        <f t="shared" si="8"/>
        <v>99.992936</v>
      </c>
      <c r="OB25" s="50"/>
      <c r="OC25" s="50">
        <v>99.992936</v>
      </c>
      <c r="OD25" s="50">
        <v>11.201256769999999</v>
      </c>
      <c r="OE25" s="50"/>
      <c r="OF25" s="50">
        <v>11.201256769999999</v>
      </c>
      <c r="OG25" s="50">
        <v>8.1970305999999997</v>
      </c>
      <c r="OH25" s="50"/>
      <c r="OI25" s="50">
        <v>8.1970305999999997</v>
      </c>
      <c r="OJ25" s="50">
        <v>9.829315170000001</v>
      </c>
      <c r="OK25" s="50"/>
      <c r="OL25" s="50">
        <v>9.829315170000001</v>
      </c>
      <c r="OM25" s="50">
        <v>8.0720415900000013</v>
      </c>
      <c r="ON25" s="50"/>
      <c r="OO25" s="50">
        <v>8.0720415900000013</v>
      </c>
      <c r="OP25" s="50">
        <v>9.1310759199999989</v>
      </c>
      <c r="OQ25" s="50"/>
      <c r="OR25" s="50">
        <v>9.1310759199999989</v>
      </c>
      <c r="OS25" s="50">
        <v>8.4013734499999995</v>
      </c>
      <c r="OT25" s="50"/>
      <c r="OU25" s="50">
        <v>8.4013734499999995</v>
      </c>
      <c r="OV25" s="50">
        <v>8.9128371499999997</v>
      </c>
      <c r="OW25" s="50"/>
      <c r="OX25" s="50">
        <v>8.9128371499999997</v>
      </c>
      <c r="OY25" s="94">
        <v>9.0753390500000002</v>
      </c>
      <c r="OZ25" s="50"/>
      <c r="PA25" s="94">
        <v>9.0753390500000002</v>
      </c>
      <c r="PB25" s="50">
        <v>7.8482544500000007</v>
      </c>
      <c r="PC25" s="50"/>
      <c r="PD25" s="50">
        <v>7.8482544500000007</v>
      </c>
      <c r="PE25" s="50">
        <v>7.5056207100000005</v>
      </c>
      <c r="PF25" s="50"/>
      <c r="PG25" s="50">
        <v>7.5056207100000005</v>
      </c>
      <c r="PH25" s="50">
        <v>6.98839875</v>
      </c>
      <c r="PI25" s="50"/>
      <c r="PJ25" s="50">
        <v>6.98839875</v>
      </c>
      <c r="PK25" s="50">
        <v>6.298886669999999</v>
      </c>
      <c r="PL25" s="50"/>
      <c r="PM25" s="50">
        <v>6.298886669999999</v>
      </c>
      <c r="PN25" s="50">
        <f t="shared" si="68"/>
        <v>101.46143028000002</v>
      </c>
      <c r="PO25" s="50">
        <f>OE25+OH25+OK25+ON25+OQ25+OT25+OW25+OZ25+PC25+PF25+PI25+PL25</f>
        <v>0</v>
      </c>
      <c r="PP25" s="50">
        <f t="shared" si="43"/>
        <v>101.46143028000002</v>
      </c>
      <c r="PQ25" s="50">
        <f t="shared" si="9"/>
        <v>101.46143000000001</v>
      </c>
      <c r="PR25" s="50"/>
      <c r="PS25" s="50">
        <v>101.46143000000001</v>
      </c>
      <c r="PT25" s="50">
        <v>11.72114891</v>
      </c>
      <c r="PU25" s="50"/>
      <c r="PV25" s="50">
        <v>11.72114891</v>
      </c>
      <c r="PW25" s="50">
        <v>8.1808069000000003</v>
      </c>
      <c r="PX25" s="50"/>
      <c r="PY25" s="50">
        <v>8.1808069000000003</v>
      </c>
      <c r="PZ25" s="50">
        <v>9.9148641300000016</v>
      </c>
      <c r="QA25" s="50"/>
      <c r="QB25" s="50">
        <v>9.9148641300000016</v>
      </c>
      <c r="QC25" s="50">
        <v>8.1541350499999989</v>
      </c>
      <c r="QD25" s="50"/>
      <c r="QE25" s="50">
        <v>8.1541350499999989</v>
      </c>
      <c r="QF25" s="50">
        <v>9.2046899</v>
      </c>
      <c r="QG25" s="50"/>
      <c r="QH25" s="50">
        <v>9.2046899</v>
      </c>
      <c r="QI25" s="50">
        <v>8.9229247899999997</v>
      </c>
      <c r="QJ25" s="50"/>
      <c r="QK25" s="50">
        <v>8.9229247899999997</v>
      </c>
      <c r="QL25" s="50">
        <v>8.9798910999999997</v>
      </c>
      <c r="QM25" s="50"/>
      <c r="QN25" s="50">
        <v>8.9798910999999997</v>
      </c>
      <c r="QO25" s="50">
        <v>9.0953692699999991</v>
      </c>
      <c r="QP25" s="50"/>
      <c r="QQ25" s="50">
        <v>9.0953692699999991</v>
      </c>
      <c r="QR25" s="50">
        <v>7.6266981999999999</v>
      </c>
      <c r="QS25" s="50"/>
      <c r="QT25" s="50">
        <v>7.6266981999999999</v>
      </c>
      <c r="QU25" s="50">
        <v>7.8464128800000008</v>
      </c>
      <c r="QV25" s="50"/>
      <c r="QW25" s="50">
        <v>7.8464128800000008</v>
      </c>
      <c r="QX25" s="50">
        <v>6.8528797799999994</v>
      </c>
      <c r="QY25" s="50"/>
      <c r="QZ25" s="50">
        <v>6.8528797799999994</v>
      </c>
      <c r="RA25" s="50">
        <v>6.0338129700000005</v>
      </c>
      <c r="RB25" s="50"/>
      <c r="RC25" s="50">
        <v>6.0338129700000005</v>
      </c>
      <c r="RD25" s="50">
        <f t="shared" si="52"/>
        <v>102.53363387999998</v>
      </c>
      <c r="RE25" s="50">
        <f t="shared" si="53"/>
        <v>0</v>
      </c>
      <c r="RF25" s="50">
        <f t="shared" si="54"/>
        <v>102.53363387999998</v>
      </c>
      <c r="RG25" s="50">
        <f t="shared" si="11"/>
        <v>102.53363299999999</v>
      </c>
      <c r="RH25" s="50"/>
      <c r="RI25" s="50">
        <v>102.53363299999999</v>
      </c>
      <c r="RJ25" s="50">
        <v>11.531470430000001</v>
      </c>
      <c r="RK25" s="50"/>
      <c r="RL25" s="50">
        <v>11.531470430000001</v>
      </c>
      <c r="RM25" s="50">
        <v>8.576314309999999</v>
      </c>
      <c r="RN25" s="50"/>
      <c r="RO25" s="50">
        <v>8.576314309999999</v>
      </c>
      <c r="RP25" s="50">
        <v>8.9440178800000005</v>
      </c>
      <c r="RQ25" s="50"/>
      <c r="RR25" s="50">
        <v>8.9440178800000005</v>
      </c>
      <c r="RS25" s="50">
        <v>9.16692134</v>
      </c>
      <c r="RT25" s="50"/>
      <c r="RU25" s="50">
        <v>9.16692134</v>
      </c>
      <c r="RV25" s="50">
        <v>8.9714888800000008</v>
      </c>
      <c r="RW25" s="50"/>
      <c r="RX25" s="50">
        <v>8.9714888800000008</v>
      </c>
      <c r="RY25" s="50">
        <v>8.1102570299999996</v>
      </c>
      <c r="RZ25" s="50"/>
      <c r="SA25" s="50">
        <v>8.1102570299999996</v>
      </c>
      <c r="SB25" s="50">
        <v>9.6214650900000009</v>
      </c>
      <c r="SC25" s="50"/>
      <c r="SD25" s="50">
        <v>9.6214650900000009</v>
      </c>
      <c r="SE25" s="50">
        <v>8.4275544700000005</v>
      </c>
      <c r="SF25" s="50"/>
      <c r="SG25" s="50">
        <v>8.4275544700000005</v>
      </c>
      <c r="SH25" s="50">
        <v>7.8474719699999991</v>
      </c>
      <c r="SI25" s="50"/>
      <c r="SJ25" s="50">
        <v>7.8474719699999991</v>
      </c>
      <c r="SK25" s="50">
        <v>8.3407920600000001</v>
      </c>
      <c r="SL25" s="50"/>
      <c r="SM25" s="50">
        <v>8.3407920600000001</v>
      </c>
      <c r="SN25" s="50">
        <v>6.8199880499999992</v>
      </c>
      <c r="SO25" s="50"/>
      <c r="SP25" s="50">
        <v>6.8199880499999992</v>
      </c>
      <c r="SQ25" s="50">
        <v>5.96442155</v>
      </c>
      <c r="SR25" s="50"/>
      <c r="SS25" s="50">
        <v>5.96442155</v>
      </c>
      <c r="ST25" s="50">
        <f t="shared" si="55"/>
        <v>102.32216306000001</v>
      </c>
      <c r="SU25" s="50">
        <f t="shared" si="65"/>
        <v>0</v>
      </c>
      <c r="SV25" s="50">
        <f t="shared" si="56"/>
        <v>102.32216306000001</v>
      </c>
      <c r="SW25" s="50">
        <f t="shared" si="44"/>
        <v>102.322163</v>
      </c>
      <c r="SX25" s="50"/>
      <c r="SY25" s="50">
        <v>102.322163</v>
      </c>
      <c r="SZ25" s="50">
        <v>13.814018779999998</v>
      </c>
      <c r="TA25" s="50"/>
      <c r="TB25" s="50">
        <v>13.814018779999998</v>
      </c>
      <c r="TC25" s="50">
        <v>8.8957136400000003</v>
      </c>
      <c r="TD25" s="50"/>
      <c r="TE25" s="50">
        <v>8.8957136400000003</v>
      </c>
      <c r="TF25" s="50">
        <v>10.286344570000001</v>
      </c>
      <c r="TG25" s="50"/>
      <c r="TH25" s="50">
        <v>10.286344570000001</v>
      </c>
      <c r="TI25" s="50">
        <v>9.5147276200000004</v>
      </c>
      <c r="TJ25" s="50"/>
      <c r="TK25" s="50">
        <v>9.5147276200000004</v>
      </c>
      <c r="TL25" s="50">
        <v>9.421090809999999</v>
      </c>
      <c r="TM25" s="50"/>
      <c r="TN25" s="50">
        <v>9.421090809999999</v>
      </c>
      <c r="TO25" s="50">
        <v>8.966416670000001</v>
      </c>
      <c r="TP25" s="50"/>
      <c r="TQ25" s="50">
        <v>8.966416670000001</v>
      </c>
      <c r="TR25" s="50">
        <v>10.90712529</v>
      </c>
      <c r="TS25" s="50"/>
      <c r="TT25" s="50">
        <v>10.90712529</v>
      </c>
      <c r="TU25" s="50">
        <v>9.4933171400000003</v>
      </c>
      <c r="TV25" s="50"/>
      <c r="TW25" s="50">
        <v>9.4933171400000003</v>
      </c>
      <c r="TX25" s="50">
        <v>9.3090895299999996</v>
      </c>
      <c r="TY25" s="50"/>
      <c r="TZ25" s="50">
        <v>9.3090895299999996</v>
      </c>
      <c r="UA25" s="50">
        <v>9.2210889399999996</v>
      </c>
      <c r="UB25" s="50"/>
      <c r="UC25" s="50">
        <v>9.2210889399999996</v>
      </c>
      <c r="UD25" s="50">
        <v>7.05665794</v>
      </c>
      <c r="UE25" s="50"/>
      <c r="UF25" s="50">
        <v>7.05665794</v>
      </c>
      <c r="UG25" s="50">
        <v>6.5373961699999992</v>
      </c>
      <c r="UH25" s="50"/>
      <c r="UI25" s="50">
        <v>6.5373961699999992</v>
      </c>
      <c r="UJ25" s="50">
        <f t="shared" si="45"/>
        <v>113.42298709999999</v>
      </c>
      <c r="UK25" s="50">
        <f t="shared" si="15"/>
        <v>0</v>
      </c>
      <c r="UL25" s="50">
        <f t="shared" si="16"/>
        <v>113.42298709999999</v>
      </c>
      <c r="UM25" s="50">
        <v>15.937897449999999</v>
      </c>
      <c r="UN25" s="50"/>
      <c r="UO25" s="50">
        <v>15.937897449999999</v>
      </c>
      <c r="UP25" s="50">
        <v>8.4379887299999989</v>
      </c>
      <c r="UQ25" s="50"/>
      <c r="UR25" s="50">
        <v>8.4379887299999989</v>
      </c>
      <c r="US25" s="50">
        <v>10.403929209999999</v>
      </c>
      <c r="UT25" s="50"/>
      <c r="UU25" s="123">
        <v>10.403929209999999</v>
      </c>
      <c r="UV25" s="50">
        <v>9.2540353399999997</v>
      </c>
      <c r="UW25" s="50"/>
      <c r="UX25" s="50">
        <v>9.2540353399999997</v>
      </c>
      <c r="UY25" s="50"/>
      <c r="UZ25" s="50"/>
      <c r="VA25" s="50"/>
      <c r="VB25" s="50"/>
      <c r="VC25" s="50"/>
      <c r="VD25" s="50"/>
      <c r="VE25" s="50"/>
      <c r="VF25" s="50"/>
      <c r="VG25" s="50"/>
      <c r="VH25" s="50"/>
      <c r="VI25" s="50"/>
      <c r="VJ25" s="50"/>
      <c r="VK25" s="50"/>
      <c r="VL25" s="50"/>
      <c r="VM25" s="50"/>
      <c r="VN25" s="50"/>
      <c r="VO25" s="50"/>
      <c r="VP25" s="50"/>
      <c r="VQ25" s="50"/>
      <c r="VR25" s="50"/>
      <c r="VS25" s="50"/>
      <c r="VT25" s="50"/>
      <c r="VU25" s="50"/>
      <c r="VV25" s="50"/>
      <c r="VW25" s="276">
        <f t="shared" si="57"/>
        <v>42.510804999999998</v>
      </c>
      <c r="VX25" s="292">
        <f t="shared" si="58"/>
        <v>0</v>
      </c>
      <c r="VY25" s="292">
        <f t="shared" si="59"/>
        <v>42.510804999999998</v>
      </c>
      <c r="VZ25" s="276">
        <f t="shared" si="60"/>
        <v>44.033850999999999</v>
      </c>
      <c r="WA25" s="292">
        <f t="shared" si="61"/>
        <v>0</v>
      </c>
      <c r="WB25" s="292">
        <f t="shared" si="62"/>
        <v>44.033850999999999</v>
      </c>
      <c r="WC25" s="277">
        <f t="shared" si="63"/>
        <v>1.5230460000000008</v>
      </c>
      <c r="WD25" s="277">
        <f>WB25/VY25*100-100</f>
        <v>3.5827267914592511</v>
      </c>
    </row>
    <row r="26" spans="1:602" s="12" customFormat="1" ht="20.5">
      <c r="A26" s="77" t="s">
        <v>74</v>
      </c>
      <c r="B26" s="12" t="s">
        <v>75</v>
      </c>
      <c r="C26" s="77" t="s">
        <v>76</v>
      </c>
      <c r="D26" s="45">
        <v>0</v>
      </c>
      <c r="E26" s="42">
        <v>0</v>
      </c>
      <c r="F26" s="42">
        <v>0</v>
      </c>
      <c r="G26" s="42">
        <v>0</v>
      </c>
      <c r="H26" s="42">
        <v>0.2963386662568796</v>
      </c>
      <c r="I26" s="42">
        <v>0.49066453805043797</v>
      </c>
      <c r="J26" s="42">
        <v>0.65045873387174813</v>
      </c>
      <c r="K26" s="42">
        <v>0.67901434823933848</v>
      </c>
      <c r="L26" s="42">
        <v>0.90742226851298513</v>
      </c>
      <c r="M26" s="42">
        <v>1.0776745721424466</v>
      </c>
      <c r="N26" s="42">
        <v>1.2351167608607805</v>
      </c>
      <c r="O26" s="42">
        <v>1.3821008417709633</v>
      </c>
      <c r="P26" s="42">
        <v>1.4246091371136191</v>
      </c>
      <c r="Q26" s="42">
        <v>1.5492512848532449</v>
      </c>
      <c r="R26" s="42">
        <v>1.8540816500759814</v>
      </c>
      <c r="S26" s="42">
        <v>5.7218726700474098</v>
      </c>
      <c r="T26" s="42">
        <v>17.268605471795833</v>
      </c>
      <c r="U26" s="42">
        <v>0</v>
      </c>
      <c r="V26" s="42">
        <v>17.268605471795833</v>
      </c>
      <c r="W26" s="42">
        <v>17.268605471795837</v>
      </c>
      <c r="X26" s="42">
        <v>0.9221674890865732</v>
      </c>
      <c r="Y26" s="42">
        <v>0.66793159970631921</v>
      </c>
      <c r="Z26" s="42">
        <v>0.72633621891736533</v>
      </c>
      <c r="AA26" s="42">
        <v>0.69617845089100239</v>
      </c>
      <c r="AB26" s="42">
        <v>1.1143320185997803</v>
      </c>
      <c r="AC26" s="42">
        <v>1.2876947200072852</v>
      </c>
      <c r="AD26" s="42">
        <v>1.451101587355792</v>
      </c>
      <c r="AE26" s="42">
        <v>1.4434693029635572</v>
      </c>
      <c r="AF26" s="42">
        <v>1.4760687190169663</v>
      </c>
      <c r="AG26" s="42">
        <v>1.8054777718965742</v>
      </c>
      <c r="AH26" s="42">
        <v>1.8670582409889529</v>
      </c>
      <c r="AI26" s="42">
        <v>3.2582057017319199</v>
      </c>
      <c r="AJ26" s="42">
        <f t="shared" si="46"/>
        <v>16.716021821162091</v>
      </c>
      <c r="AK26" s="42">
        <v>0</v>
      </c>
      <c r="AL26" s="42">
        <v>16.716021821162091</v>
      </c>
      <c r="AM26" s="42">
        <v>16.716021821162091</v>
      </c>
      <c r="AN26" s="42">
        <v>1.85290920370402</v>
      </c>
      <c r="AO26" s="42">
        <v>1.4440669091240232</v>
      </c>
      <c r="AP26" s="42">
        <v>1.3494743911531524</v>
      </c>
      <c r="AQ26" s="42">
        <v>1.4655622335672536</v>
      </c>
      <c r="AR26" s="42">
        <v>1.4185505489439447</v>
      </c>
      <c r="AS26" s="42">
        <v>1.4977675141291171</v>
      </c>
      <c r="AT26" s="42">
        <v>1.7809844565483408</v>
      </c>
      <c r="AU26" s="42">
        <v>1.6301159355951302</v>
      </c>
      <c r="AV26" s="42">
        <v>1.6447843210909443</v>
      </c>
      <c r="AW26" s="42">
        <v>1.8819642460771424</v>
      </c>
      <c r="AX26" s="42">
        <v>1.7086456536957675</v>
      </c>
      <c r="AY26" s="42">
        <v>3.1214506462683764</v>
      </c>
      <c r="AZ26" s="42">
        <v>20.79627605989721</v>
      </c>
      <c r="BA26" s="42"/>
      <c r="BB26" s="42">
        <v>20.79627605989721</v>
      </c>
      <c r="BC26" s="45">
        <f t="shared" si="21"/>
        <v>20.79627605989721</v>
      </c>
      <c r="BD26" s="45"/>
      <c r="BE26" s="45">
        <v>20.79627605989721</v>
      </c>
      <c r="BF26" s="44">
        <v>1.464642</v>
      </c>
      <c r="BG26" s="50"/>
      <c r="BH26" s="50">
        <f t="shared" si="74"/>
        <v>1.464642</v>
      </c>
      <c r="BI26" s="45">
        <v>1.345288</v>
      </c>
      <c r="BJ26" s="121"/>
      <c r="BK26" s="50">
        <f t="shared" si="75"/>
        <v>1.345288</v>
      </c>
      <c r="BL26" s="50">
        <v>1.3303910000000001</v>
      </c>
      <c r="BM26" s="50"/>
      <c r="BN26" s="50">
        <f t="shared" si="76"/>
        <v>1.3303910000000001</v>
      </c>
      <c r="BO26" s="50">
        <v>1.6748670000000001</v>
      </c>
      <c r="BP26" s="50"/>
      <c r="BQ26" s="50">
        <f t="shared" si="77"/>
        <v>1.6748670000000001</v>
      </c>
      <c r="BR26" s="50">
        <v>1.2231590000000001</v>
      </c>
      <c r="BS26" s="50"/>
      <c r="BT26" s="50">
        <f t="shared" si="78"/>
        <v>1.2231590000000001</v>
      </c>
      <c r="BU26" s="50">
        <v>1.4581200000000001</v>
      </c>
      <c r="BV26" s="50"/>
      <c r="BW26" s="50">
        <f t="shared" si="79"/>
        <v>1.4581200000000001</v>
      </c>
      <c r="BX26" s="50">
        <v>1.6662189999999999</v>
      </c>
      <c r="BY26" s="50"/>
      <c r="BZ26" s="50">
        <f t="shared" si="80"/>
        <v>1.6662189999999999</v>
      </c>
      <c r="CA26" s="50">
        <v>1.4971730000000001</v>
      </c>
      <c r="CB26" s="50"/>
      <c r="CC26" s="50">
        <f t="shared" si="81"/>
        <v>1.4971730000000001</v>
      </c>
      <c r="CD26" s="50">
        <v>1.62653895</v>
      </c>
      <c r="CE26" s="50"/>
      <c r="CF26" s="50">
        <f t="shared" si="82"/>
        <v>1.62653895</v>
      </c>
      <c r="CG26" s="50">
        <v>1.75303637</v>
      </c>
      <c r="CH26" s="50"/>
      <c r="CI26" s="50">
        <f t="shared" si="83"/>
        <v>1.75303637</v>
      </c>
      <c r="CJ26" s="45">
        <v>1.4071057</v>
      </c>
      <c r="CK26" s="45"/>
      <c r="CL26" s="50">
        <f t="shared" si="84"/>
        <v>1.4071057</v>
      </c>
      <c r="CM26" s="42">
        <v>2.7657597000000003</v>
      </c>
      <c r="CN26" s="45"/>
      <c r="CO26" s="50">
        <f t="shared" si="85"/>
        <v>2.7657597000000003</v>
      </c>
      <c r="CP26" s="50">
        <f t="shared" si="24"/>
        <v>19.212299720000001</v>
      </c>
      <c r="CQ26" s="50">
        <f t="shared" si="25"/>
        <v>0</v>
      </c>
      <c r="CR26" s="50">
        <f t="shared" si="26"/>
        <v>19.212299720000001</v>
      </c>
      <c r="CS26" s="45">
        <f t="shared" si="2"/>
        <v>19.212299999999999</v>
      </c>
      <c r="CT26" s="45"/>
      <c r="CU26" s="44">
        <v>19.212299999999999</v>
      </c>
      <c r="CV26" s="42">
        <v>1.8142865100000001</v>
      </c>
      <c r="CW26" s="45"/>
      <c r="CX26" s="50">
        <f t="shared" si="86"/>
        <v>1.8142865100000001</v>
      </c>
      <c r="CY26" s="42">
        <v>1.3916383600000002</v>
      </c>
      <c r="CZ26" s="45"/>
      <c r="DA26" s="50">
        <v>1.3916383600000002</v>
      </c>
      <c r="DB26" s="42">
        <v>1.4980413100000001</v>
      </c>
      <c r="DC26" s="45"/>
      <c r="DD26" s="50">
        <v>1.4980413100000001</v>
      </c>
      <c r="DE26" s="42">
        <v>1.5695227300000001</v>
      </c>
      <c r="DF26" s="45"/>
      <c r="DG26" s="50">
        <v>1.5695227300000001</v>
      </c>
      <c r="DH26" s="42">
        <v>1.53773837</v>
      </c>
      <c r="DI26" s="45"/>
      <c r="DJ26" s="50">
        <v>1.53773837</v>
      </c>
      <c r="DK26" s="42">
        <v>1.5208728300000001</v>
      </c>
      <c r="DL26" s="45"/>
      <c r="DM26" s="50">
        <v>1.5208728300000001</v>
      </c>
      <c r="DN26" s="42">
        <v>1.59108925</v>
      </c>
      <c r="DO26" s="45"/>
      <c r="DP26" s="50">
        <v>1.59108925</v>
      </c>
      <c r="DQ26" s="42">
        <v>1.4485865</v>
      </c>
      <c r="DR26" s="45"/>
      <c r="DS26" s="50">
        <v>1.4485865</v>
      </c>
      <c r="DT26" s="42">
        <v>1.71963691</v>
      </c>
      <c r="DU26" s="45"/>
      <c r="DV26" s="50">
        <v>1.71963691</v>
      </c>
      <c r="DW26" s="42">
        <v>1.78507628</v>
      </c>
      <c r="DX26" s="45"/>
      <c r="DY26" s="50">
        <v>1.78507628</v>
      </c>
      <c r="DZ26" s="42">
        <v>1.6070051699999999</v>
      </c>
      <c r="EA26" s="45"/>
      <c r="EB26" s="50">
        <v>1.6070051699999999</v>
      </c>
      <c r="EC26" s="42">
        <v>2.85881585</v>
      </c>
      <c r="ED26" s="45"/>
      <c r="EE26" s="50">
        <v>2.85881585</v>
      </c>
      <c r="EF26" s="50">
        <f t="shared" si="27"/>
        <v>20.34231007</v>
      </c>
      <c r="EG26" s="50">
        <f t="shared" si="28"/>
        <v>0</v>
      </c>
      <c r="EH26" s="50">
        <f t="shared" si="29"/>
        <v>20.34231007</v>
      </c>
      <c r="EI26" s="50">
        <f t="shared" si="70"/>
        <v>20.34231007</v>
      </c>
      <c r="EJ26" s="50"/>
      <c r="EK26" s="50">
        <v>20.34231007</v>
      </c>
      <c r="EL26" s="50">
        <v>1.7430713600000001</v>
      </c>
      <c r="EM26" s="50"/>
      <c r="EN26" s="50">
        <v>1.7430713600000001</v>
      </c>
      <c r="EO26" s="50">
        <v>1.48429214</v>
      </c>
      <c r="EP26" s="50"/>
      <c r="EQ26" s="50">
        <v>1.48429214</v>
      </c>
      <c r="ER26" s="50">
        <v>1.5434508300000001</v>
      </c>
      <c r="ES26" s="50"/>
      <c r="ET26" s="50">
        <v>1.5434508300000001</v>
      </c>
      <c r="EU26" s="50">
        <v>1.5279576699999999</v>
      </c>
      <c r="EV26" s="50"/>
      <c r="EW26" s="50">
        <v>1.5279576699999999</v>
      </c>
      <c r="EX26" s="50">
        <v>1.7700201200000001</v>
      </c>
      <c r="EY26" s="50"/>
      <c r="EZ26" s="50">
        <v>1.7700201200000001</v>
      </c>
      <c r="FA26" s="50">
        <v>1.6915508700000002</v>
      </c>
      <c r="FB26" s="50"/>
      <c r="FC26" s="50">
        <v>1.6915508700000002</v>
      </c>
      <c r="FD26" s="50">
        <v>1.7506129099999999</v>
      </c>
      <c r="FE26" s="50"/>
      <c r="FF26" s="50">
        <v>1.7506129099999999</v>
      </c>
      <c r="FG26" s="50">
        <v>1.74493163</v>
      </c>
      <c r="FH26" s="50"/>
      <c r="FI26" s="50">
        <v>1.74493163</v>
      </c>
      <c r="FJ26" s="50">
        <v>1.6418075700000001</v>
      </c>
      <c r="FK26" s="50"/>
      <c r="FL26" s="50">
        <v>1.6418075700000001</v>
      </c>
      <c r="FM26" s="50">
        <v>1.83067592</v>
      </c>
      <c r="FN26" s="50"/>
      <c r="FO26" s="50">
        <v>1.83067592</v>
      </c>
      <c r="FP26" s="50">
        <v>1.91663731</v>
      </c>
      <c r="FQ26" s="50"/>
      <c r="FR26" s="50">
        <v>1.91663731</v>
      </c>
      <c r="FS26" s="50">
        <v>2.9907668900000002</v>
      </c>
      <c r="FT26" s="50"/>
      <c r="FU26" s="50">
        <v>2.9907668900000002</v>
      </c>
      <c r="FV26" s="50">
        <f t="shared" si="30"/>
        <v>21.635775219999999</v>
      </c>
      <c r="FW26" s="50">
        <f t="shared" si="31"/>
        <v>0</v>
      </c>
      <c r="FX26" s="50">
        <f t="shared" si="32"/>
        <v>21.635775219999999</v>
      </c>
      <c r="FY26" s="50">
        <f t="shared" si="71"/>
        <v>21.635774999999999</v>
      </c>
      <c r="FZ26" s="50"/>
      <c r="GA26" s="50">
        <v>21.635774999999999</v>
      </c>
      <c r="GB26" s="50">
        <v>1.80924391</v>
      </c>
      <c r="GC26" s="50"/>
      <c r="GD26" s="50">
        <v>1.80924391</v>
      </c>
      <c r="GE26" s="50">
        <v>1.4417031</v>
      </c>
      <c r="GF26" s="50"/>
      <c r="GG26" s="50">
        <v>1.4417031</v>
      </c>
      <c r="GH26" s="50">
        <v>1.6973851100000001</v>
      </c>
      <c r="GI26" s="50"/>
      <c r="GJ26" s="50">
        <v>1.6973851100000001</v>
      </c>
      <c r="GK26" s="50">
        <v>1.6195672400000001</v>
      </c>
      <c r="GL26" s="50"/>
      <c r="GM26" s="50">
        <v>1.6195672400000001</v>
      </c>
      <c r="GN26" s="50">
        <v>1.7821058600000002</v>
      </c>
      <c r="GO26" s="50"/>
      <c r="GP26" s="50">
        <v>1.7821058600000002</v>
      </c>
      <c r="GQ26" s="50">
        <v>1.8181615</v>
      </c>
      <c r="GR26" s="50"/>
      <c r="GS26" s="50">
        <v>1.8181615</v>
      </c>
      <c r="GT26" s="50">
        <v>1.88930091</v>
      </c>
      <c r="GU26" s="50"/>
      <c r="GV26" s="50">
        <v>1.88930091</v>
      </c>
      <c r="GW26" s="50">
        <v>1.8553165900000002</v>
      </c>
      <c r="GX26" s="50"/>
      <c r="GY26" s="50">
        <v>1.8553165900000002</v>
      </c>
      <c r="GZ26" s="50">
        <v>1.5840045600000001</v>
      </c>
      <c r="HA26" s="50"/>
      <c r="HB26" s="50">
        <v>1.5840045600000001</v>
      </c>
      <c r="HC26" s="50">
        <v>1.8613401299999999</v>
      </c>
      <c r="HD26" s="50"/>
      <c r="HE26" s="50">
        <v>1.8613401299999999</v>
      </c>
      <c r="HF26" s="50">
        <v>1.74089951</v>
      </c>
      <c r="HG26" s="50"/>
      <c r="HH26" s="50">
        <v>1.74089951</v>
      </c>
      <c r="HI26" s="50">
        <v>2.7196116200000002</v>
      </c>
      <c r="HJ26" s="50"/>
      <c r="HK26" s="50">
        <v>2.7196116200000002</v>
      </c>
      <c r="HL26" s="50">
        <f t="shared" si="33"/>
        <v>21.818640039999998</v>
      </c>
      <c r="HM26" s="50">
        <f t="shared" si="34"/>
        <v>0</v>
      </c>
      <c r="HN26" s="50">
        <f t="shared" si="35"/>
        <v>21.818640039999998</v>
      </c>
      <c r="HO26" s="50">
        <f t="shared" si="3"/>
        <v>21.818639999999998</v>
      </c>
      <c r="HP26" s="50"/>
      <c r="HQ26" s="50">
        <v>21.818639999999998</v>
      </c>
      <c r="HR26" s="50">
        <v>1.74803526</v>
      </c>
      <c r="HS26" s="50">
        <v>0</v>
      </c>
      <c r="HT26" s="50">
        <v>1.74803526</v>
      </c>
      <c r="HU26" s="50">
        <v>1.4805035900000001</v>
      </c>
      <c r="HV26" s="50">
        <v>0</v>
      </c>
      <c r="HW26" s="50">
        <v>1.4805035900000001</v>
      </c>
      <c r="HX26" s="50">
        <v>1.6933663999999999</v>
      </c>
      <c r="HY26" s="50">
        <v>0</v>
      </c>
      <c r="HZ26" s="50">
        <v>1.6933663999999999</v>
      </c>
      <c r="IA26" s="50">
        <v>1.7318391399999999</v>
      </c>
      <c r="IB26" s="50">
        <v>0</v>
      </c>
      <c r="IC26" s="50">
        <v>1.7318391399999999</v>
      </c>
      <c r="ID26" s="50">
        <v>1.85241992</v>
      </c>
      <c r="IE26" s="50">
        <v>0</v>
      </c>
      <c r="IF26" s="50">
        <v>1.85241992</v>
      </c>
      <c r="IG26" s="50">
        <v>1.7117259899999999</v>
      </c>
      <c r="IH26" s="50">
        <v>0</v>
      </c>
      <c r="II26" s="50">
        <v>1.7117259899999999</v>
      </c>
      <c r="IJ26" s="50">
        <v>1.81262576</v>
      </c>
      <c r="IK26" s="50">
        <v>0</v>
      </c>
      <c r="IL26" s="50">
        <v>1.81262576</v>
      </c>
      <c r="IM26" s="50">
        <v>1.7631438799999999</v>
      </c>
      <c r="IN26" s="50">
        <v>0</v>
      </c>
      <c r="IO26" s="50">
        <v>1.7631438799999999</v>
      </c>
      <c r="IP26" s="50">
        <v>1.6085973200000001</v>
      </c>
      <c r="IQ26" s="50">
        <v>0</v>
      </c>
      <c r="IR26" s="50">
        <v>1.6085973200000001</v>
      </c>
      <c r="IS26" s="50">
        <v>1.9155354</v>
      </c>
      <c r="IT26" s="50">
        <v>0</v>
      </c>
      <c r="IU26" s="50">
        <v>1.9155354</v>
      </c>
      <c r="IV26" s="50">
        <v>1.7026931599999999</v>
      </c>
      <c r="IW26" s="50">
        <v>0</v>
      </c>
      <c r="IX26" s="50">
        <v>1.7026931599999999</v>
      </c>
      <c r="IY26" s="50">
        <v>2.4751543300000001</v>
      </c>
      <c r="IZ26" s="50">
        <v>0</v>
      </c>
      <c r="JA26" s="50">
        <v>2.4751543300000001</v>
      </c>
      <c r="JB26" s="50">
        <f t="shared" si="36"/>
        <v>21.495640149999996</v>
      </c>
      <c r="JC26" s="50">
        <f t="shared" si="37"/>
        <v>0</v>
      </c>
      <c r="JD26" s="50">
        <f t="shared" si="38"/>
        <v>21.495640149999996</v>
      </c>
      <c r="JE26" s="50">
        <f t="shared" si="4"/>
        <v>21.495640000000002</v>
      </c>
      <c r="JF26" s="50"/>
      <c r="JG26" s="50">
        <v>21.495640000000002</v>
      </c>
      <c r="JH26" s="50">
        <v>1.6517012099999999</v>
      </c>
      <c r="JI26" s="50">
        <v>0</v>
      </c>
      <c r="JJ26" s="50">
        <v>1.6517012099999999</v>
      </c>
      <c r="JK26" s="50">
        <v>1.4942178400000001</v>
      </c>
      <c r="JL26" s="50">
        <v>0</v>
      </c>
      <c r="JM26" s="50">
        <v>1.4942178400000001</v>
      </c>
      <c r="JN26" s="50">
        <v>1.74553772</v>
      </c>
      <c r="JO26" s="50">
        <v>0</v>
      </c>
      <c r="JP26" s="50">
        <v>1.74553772</v>
      </c>
      <c r="JQ26" s="50">
        <v>1.65960591</v>
      </c>
      <c r="JR26" s="50">
        <v>0</v>
      </c>
      <c r="JS26" s="50">
        <v>1.65960591</v>
      </c>
      <c r="JT26" s="50">
        <v>1.6570928</v>
      </c>
      <c r="JU26" s="50">
        <v>0</v>
      </c>
      <c r="JV26" s="50">
        <v>1.6570928</v>
      </c>
      <c r="JW26" s="50">
        <v>1.6059766200000001</v>
      </c>
      <c r="JX26" s="50">
        <v>0</v>
      </c>
      <c r="JY26" s="50">
        <v>1.6059766200000001</v>
      </c>
      <c r="JZ26" s="50">
        <v>1.8292282600000001</v>
      </c>
      <c r="KA26" s="50">
        <v>0</v>
      </c>
      <c r="KB26" s="50">
        <v>1.8292282600000001</v>
      </c>
      <c r="KC26" s="50">
        <v>1.6812087600000001</v>
      </c>
      <c r="KD26" s="50">
        <v>0</v>
      </c>
      <c r="KE26" s="50">
        <v>1.6812087600000001</v>
      </c>
      <c r="KF26" s="50">
        <v>1.7183914199999999</v>
      </c>
      <c r="KG26" s="50">
        <v>0</v>
      </c>
      <c r="KH26" s="50">
        <v>1.7183914199999999</v>
      </c>
      <c r="KI26" s="50">
        <v>1.9248375900000001</v>
      </c>
      <c r="KJ26" s="50">
        <v>0</v>
      </c>
      <c r="KK26" s="50">
        <v>1.9248375900000001</v>
      </c>
      <c r="KL26" s="50">
        <v>1.6414489800000001</v>
      </c>
      <c r="KM26" s="50">
        <v>0</v>
      </c>
      <c r="KN26" s="50">
        <v>1.6414489800000001</v>
      </c>
      <c r="KO26" s="50">
        <v>2.5044418900000003</v>
      </c>
      <c r="KP26" s="50">
        <v>0</v>
      </c>
      <c r="KQ26" s="50">
        <v>2.5044418900000003</v>
      </c>
      <c r="KR26" s="50">
        <f t="shared" si="48"/>
        <v>21.113688999999997</v>
      </c>
      <c r="KS26" s="50">
        <f t="shared" si="39"/>
        <v>0</v>
      </c>
      <c r="KT26" s="50">
        <f t="shared" si="49"/>
        <v>21.113688999999997</v>
      </c>
      <c r="KU26" s="50">
        <f t="shared" si="5"/>
        <v>21.113689000000001</v>
      </c>
      <c r="KV26" s="50"/>
      <c r="KW26" s="50">
        <v>21.113689000000001</v>
      </c>
      <c r="KX26" s="50">
        <v>1.8291967600000001</v>
      </c>
      <c r="KY26" s="50">
        <v>0</v>
      </c>
      <c r="KZ26" s="50">
        <v>1.8291967600000001</v>
      </c>
      <c r="LA26" s="50">
        <v>1.60002589</v>
      </c>
      <c r="LB26" s="50">
        <v>0</v>
      </c>
      <c r="LC26" s="50">
        <v>1.60002589</v>
      </c>
      <c r="LD26" s="50">
        <v>1.7223714699999999</v>
      </c>
      <c r="LE26" s="50">
        <v>0</v>
      </c>
      <c r="LF26" s="50">
        <v>1.7223714699999999</v>
      </c>
      <c r="LG26" s="50">
        <v>1.60502297</v>
      </c>
      <c r="LH26" s="50">
        <v>0</v>
      </c>
      <c r="LI26" s="174">
        <v>1.60502297</v>
      </c>
      <c r="LJ26" s="174">
        <v>1.6835539399999999</v>
      </c>
      <c r="LK26" s="50">
        <v>0</v>
      </c>
      <c r="LL26" s="174">
        <v>1.6835539399999999</v>
      </c>
      <c r="LM26" s="50">
        <v>1.7110373000000001</v>
      </c>
      <c r="LN26" s="50">
        <v>0</v>
      </c>
      <c r="LO26" s="50">
        <v>1.7110373000000001</v>
      </c>
      <c r="LP26" s="50">
        <v>1.93351903</v>
      </c>
      <c r="LQ26" s="50">
        <v>0</v>
      </c>
      <c r="LR26" s="44">
        <v>1.93351903</v>
      </c>
      <c r="LS26" s="50">
        <v>1.67678393</v>
      </c>
      <c r="LT26" s="50">
        <v>0</v>
      </c>
      <c r="LU26" s="52">
        <v>1.67678393</v>
      </c>
      <c r="LV26" s="44">
        <v>1.7669434900000001</v>
      </c>
      <c r="LW26" s="50">
        <v>0</v>
      </c>
      <c r="LX26" s="50">
        <v>1.7669434900000001</v>
      </c>
      <c r="LY26" s="50">
        <v>1.7988426899999999</v>
      </c>
      <c r="LZ26" s="50">
        <v>0</v>
      </c>
      <c r="MA26" s="50">
        <v>1.7988426899999999</v>
      </c>
      <c r="MB26" s="50">
        <v>1.6819513100000001</v>
      </c>
      <c r="MC26" s="50">
        <v>0</v>
      </c>
      <c r="MD26" s="50">
        <v>1.6819513100000001</v>
      </c>
      <c r="ME26" s="44">
        <v>2.7605061699999998</v>
      </c>
      <c r="MF26" s="44">
        <v>0</v>
      </c>
      <c r="MG26" s="44">
        <v>2.7605061699999998</v>
      </c>
      <c r="MH26" s="50">
        <f t="shared" si="66"/>
        <v>21.769754949999996</v>
      </c>
      <c r="MI26" s="50">
        <f t="shared" si="50"/>
        <v>0</v>
      </c>
      <c r="MJ26" s="50">
        <f t="shared" si="51"/>
        <v>21.769754949999996</v>
      </c>
      <c r="MK26" s="50">
        <f t="shared" si="7"/>
        <v>21.769755</v>
      </c>
      <c r="ML26" s="50"/>
      <c r="MM26" s="50">
        <v>21.769755</v>
      </c>
      <c r="MN26" s="44">
        <v>1.51910397</v>
      </c>
      <c r="MO26" s="44">
        <v>0</v>
      </c>
      <c r="MP26" s="44">
        <v>1.51910397</v>
      </c>
      <c r="MQ26" s="44">
        <v>1.59155183</v>
      </c>
      <c r="MR26" s="44">
        <v>0</v>
      </c>
      <c r="MS26" s="44">
        <v>1.59155183</v>
      </c>
      <c r="MT26" s="44">
        <v>2.0258117599999999</v>
      </c>
      <c r="MU26" s="50">
        <v>0</v>
      </c>
      <c r="MV26" s="44">
        <v>2.0258117599999999</v>
      </c>
      <c r="MW26" s="50">
        <v>1.7385583500000001</v>
      </c>
      <c r="MX26" s="50">
        <v>0</v>
      </c>
      <c r="MY26" s="50">
        <v>1.7385583500000001</v>
      </c>
      <c r="MZ26" s="50">
        <v>1.6534264999999999</v>
      </c>
      <c r="NA26" s="50">
        <v>0</v>
      </c>
      <c r="NB26" s="50">
        <v>1.6534264999999999</v>
      </c>
      <c r="NC26" s="50">
        <v>1.7993940100000001</v>
      </c>
      <c r="ND26" s="50">
        <v>0</v>
      </c>
      <c r="NE26" s="50">
        <v>1.7993940100000001</v>
      </c>
      <c r="NF26" s="50">
        <v>1.97089212</v>
      </c>
      <c r="NG26" s="50">
        <v>0</v>
      </c>
      <c r="NH26" s="50">
        <v>1.97089212</v>
      </c>
      <c r="NI26" s="50">
        <v>1.9286020100000001</v>
      </c>
      <c r="NJ26" s="50">
        <v>0</v>
      </c>
      <c r="NK26" s="50">
        <v>1.9286020100000001</v>
      </c>
      <c r="NL26" s="50">
        <v>1.8826303899999999</v>
      </c>
      <c r="NM26" s="50">
        <v>0</v>
      </c>
      <c r="NN26" s="50">
        <v>1.8826303899999999</v>
      </c>
      <c r="NO26" s="50">
        <v>1.9856059699999999</v>
      </c>
      <c r="NP26" s="44">
        <v>0</v>
      </c>
      <c r="NQ26" s="50">
        <v>1.9856059699999999</v>
      </c>
      <c r="NR26" s="50">
        <v>1.6997702299999999</v>
      </c>
      <c r="NS26" s="50">
        <v>0</v>
      </c>
      <c r="NT26" s="50">
        <v>1.6997702299999999</v>
      </c>
      <c r="NU26" s="50">
        <v>2.7275345400000002</v>
      </c>
      <c r="NV26" s="50">
        <v>0</v>
      </c>
      <c r="NW26" s="50">
        <v>2.7275345400000002</v>
      </c>
      <c r="NX26" s="50">
        <f t="shared" si="67"/>
        <v>22.522881679999998</v>
      </c>
      <c r="NY26" s="50">
        <f t="shared" si="40"/>
        <v>0</v>
      </c>
      <c r="NZ26" s="50">
        <f t="shared" si="41"/>
        <v>22.522881679999998</v>
      </c>
      <c r="OA26" s="50">
        <f t="shared" si="8"/>
        <v>22.522881000000002</v>
      </c>
      <c r="OB26" s="50"/>
      <c r="OC26" s="50">
        <v>22.522881000000002</v>
      </c>
      <c r="OD26" s="50">
        <v>1.6737566000000001</v>
      </c>
      <c r="OE26" s="50"/>
      <c r="OF26" s="50">
        <v>1.6737566000000001</v>
      </c>
      <c r="OG26" s="50">
        <v>1.7770114699999999</v>
      </c>
      <c r="OH26" s="50"/>
      <c r="OI26" s="50">
        <v>1.7770114699999999</v>
      </c>
      <c r="OJ26" s="50">
        <v>1.95462969</v>
      </c>
      <c r="OK26" s="50"/>
      <c r="OL26" s="50">
        <v>1.95462969</v>
      </c>
      <c r="OM26" s="50">
        <v>1.60430856</v>
      </c>
      <c r="ON26" s="50"/>
      <c r="OO26" s="50">
        <v>1.60430856</v>
      </c>
      <c r="OP26" s="50">
        <v>1.7040713200000002</v>
      </c>
      <c r="OQ26" s="50"/>
      <c r="OR26" s="50">
        <v>1.7040713200000002</v>
      </c>
      <c r="OS26" s="50">
        <v>1.79308928</v>
      </c>
      <c r="OT26" s="50"/>
      <c r="OU26" s="50">
        <v>1.79308928</v>
      </c>
      <c r="OV26" s="50">
        <v>1.8735011399999999</v>
      </c>
      <c r="OW26" s="50"/>
      <c r="OX26" s="50">
        <v>1.8735011399999999</v>
      </c>
      <c r="OY26" s="94">
        <v>1.9456206200000001</v>
      </c>
      <c r="OZ26" s="50"/>
      <c r="PA26" s="94">
        <v>1.9456206200000001</v>
      </c>
      <c r="PB26" s="50">
        <v>1.96630156</v>
      </c>
      <c r="PC26" s="50"/>
      <c r="PD26" s="50">
        <v>1.96630156</v>
      </c>
      <c r="PE26" s="50">
        <v>1.83570385</v>
      </c>
      <c r="PF26" s="50"/>
      <c r="PG26" s="50">
        <v>1.83570385</v>
      </c>
      <c r="PH26" s="50">
        <v>1.86413915</v>
      </c>
      <c r="PI26" s="50"/>
      <c r="PJ26" s="50">
        <v>1.86413915</v>
      </c>
      <c r="PK26" s="50">
        <v>2.4556930499999998</v>
      </c>
      <c r="PL26" s="50"/>
      <c r="PM26" s="50">
        <v>2.4556930499999998</v>
      </c>
      <c r="PN26" s="50">
        <f t="shared" si="68"/>
        <v>22.447826290000002</v>
      </c>
      <c r="PO26" s="50">
        <f t="shared" si="42"/>
        <v>0</v>
      </c>
      <c r="PP26" s="50">
        <f>OF26+OI26+OL26+OO26+OR26+OU26+OX26+PA26+PD26+PG26+PJ26+PM26</f>
        <v>22.447826290000002</v>
      </c>
      <c r="PQ26" s="50">
        <f t="shared" si="9"/>
        <v>22.447825999999999</v>
      </c>
      <c r="PR26" s="50"/>
      <c r="PS26" s="50">
        <v>22.447825999999999</v>
      </c>
      <c r="PT26" s="50">
        <v>1.8721875800000001</v>
      </c>
      <c r="PU26" s="50"/>
      <c r="PV26" s="50">
        <v>1.8721875800000001</v>
      </c>
      <c r="PW26" s="50">
        <v>1.7593479599999999</v>
      </c>
      <c r="PX26" s="50"/>
      <c r="PY26" s="50">
        <v>1.7593479599999999</v>
      </c>
      <c r="PZ26" s="50">
        <v>2.1674899999999999</v>
      </c>
      <c r="QA26" s="50"/>
      <c r="QB26" s="50">
        <v>2.1674899999999999</v>
      </c>
      <c r="QC26" s="50">
        <v>1.7793641899999999</v>
      </c>
      <c r="QD26" s="50"/>
      <c r="QE26" s="50">
        <v>1.7793641899999999</v>
      </c>
      <c r="QF26" s="50">
        <v>1.9541126499999999</v>
      </c>
      <c r="QG26" s="50"/>
      <c r="QH26" s="50">
        <v>1.9541126499999999</v>
      </c>
      <c r="QI26" s="50">
        <v>2.1627993500000002</v>
      </c>
      <c r="QJ26" s="50"/>
      <c r="QK26" s="50">
        <v>2.1627993500000002</v>
      </c>
      <c r="QL26" s="50">
        <v>2.17109481</v>
      </c>
      <c r="QM26" s="50"/>
      <c r="QN26" s="50">
        <v>2.17109481</v>
      </c>
      <c r="QO26" s="50">
        <v>2.3352397999999996</v>
      </c>
      <c r="QP26" s="50"/>
      <c r="QQ26" s="50">
        <v>2.3352397999999996</v>
      </c>
      <c r="QR26" s="50">
        <v>2.0904618999999998</v>
      </c>
      <c r="QS26" s="50"/>
      <c r="QT26" s="50">
        <v>2.0904618999999998</v>
      </c>
      <c r="QU26" s="50">
        <v>2.1287293700000003</v>
      </c>
      <c r="QV26" s="50"/>
      <c r="QW26" s="50">
        <v>2.1287293700000003</v>
      </c>
      <c r="QX26" s="50">
        <v>2.0351366799999999</v>
      </c>
      <c r="QY26" s="50"/>
      <c r="QZ26" s="50">
        <v>2.0351366799999999</v>
      </c>
      <c r="RA26" s="50">
        <v>2.8864420800000001</v>
      </c>
      <c r="RB26" s="50"/>
      <c r="RC26" s="50">
        <v>2.8864420800000001</v>
      </c>
      <c r="RD26" s="50">
        <f t="shared" si="52"/>
        <v>25.342406370000006</v>
      </c>
      <c r="RE26" s="50">
        <f t="shared" si="53"/>
        <v>0</v>
      </c>
      <c r="RF26" s="50">
        <f t="shared" si="54"/>
        <v>25.342406370000006</v>
      </c>
      <c r="RG26" s="50">
        <f t="shared" si="11"/>
        <v>25.342406</v>
      </c>
      <c r="RH26" s="50"/>
      <c r="RI26" s="50">
        <v>25.342406</v>
      </c>
      <c r="RJ26" s="50">
        <v>2.3733082400000001</v>
      </c>
      <c r="RK26" s="50"/>
      <c r="RL26" s="50">
        <v>2.3733082400000001</v>
      </c>
      <c r="RM26" s="50">
        <v>2.1929507999999998</v>
      </c>
      <c r="RN26" s="50"/>
      <c r="RO26" s="50">
        <v>2.1929507999999998</v>
      </c>
      <c r="RP26" s="50">
        <v>2.1970225099999996</v>
      </c>
      <c r="RQ26" s="50"/>
      <c r="RR26" s="50">
        <v>2.1970225099999996</v>
      </c>
      <c r="RS26" s="50">
        <v>2.3204088599999997</v>
      </c>
      <c r="RT26" s="50"/>
      <c r="RU26" s="50">
        <v>2.3204088599999997</v>
      </c>
      <c r="RV26" s="50">
        <v>2.2439511899999998</v>
      </c>
      <c r="RW26" s="50"/>
      <c r="RX26" s="50">
        <v>2.2439511899999998</v>
      </c>
      <c r="RY26" s="50">
        <v>2.1908277200000001</v>
      </c>
      <c r="RZ26" s="50"/>
      <c r="SA26" s="50">
        <v>2.1908277200000001</v>
      </c>
      <c r="SB26" s="50">
        <v>2.6556222599999999</v>
      </c>
      <c r="SC26" s="50"/>
      <c r="SD26" s="50">
        <v>2.6556222599999999</v>
      </c>
      <c r="SE26" s="50">
        <v>2.3621316800000001</v>
      </c>
      <c r="SF26" s="50"/>
      <c r="SG26" s="50">
        <v>2.3621316800000001</v>
      </c>
      <c r="SH26" s="50">
        <v>2.3450780400000002</v>
      </c>
      <c r="SI26" s="50"/>
      <c r="SJ26" s="50">
        <v>2.3450780400000002</v>
      </c>
      <c r="SK26" s="50">
        <v>2.46555875</v>
      </c>
      <c r="SL26" s="50"/>
      <c r="SM26" s="50">
        <v>2.46555875</v>
      </c>
      <c r="SN26" s="50">
        <v>2.2187987400000004</v>
      </c>
      <c r="SO26" s="50"/>
      <c r="SP26" s="50">
        <v>2.2187987400000004</v>
      </c>
      <c r="SQ26" s="50">
        <v>2.9367358299999999</v>
      </c>
      <c r="SR26" s="50"/>
      <c r="SS26" s="50">
        <v>2.9367358299999999</v>
      </c>
      <c r="ST26" s="50">
        <f t="shared" si="55"/>
        <v>28.50239462</v>
      </c>
      <c r="SU26" s="50">
        <f t="shared" si="65"/>
        <v>0</v>
      </c>
      <c r="SV26" s="50">
        <f t="shared" si="56"/>
        <v>28.50239462</v>
      </c>
      <c r="SW26" s="50">
        <f t="shared" si="44"/>
        <v>28.502395</v>
      </c>
      <c r="SX26" s="50"/>
      <c r="SY26" s="50">
        <v>28.502395</v>
      </c>
      <c r="SZ26" s="50">
        <v>2.5845109700000002</v>
      </c>
      <c r="TA26" s="50"/>
      <c r="TB26" s="50">
        <v>2.5845109700000002</v>
      </c>
      <c r="TC26" s="50">
        <v>2.2717374000000001</v>
      </c>
      <c r="TD26" s="50"/>
      <c r="TE26" s="50">
        <v>2.2717374000000001</v>
      </c>
      <c r="TF26" s="50">
        <v>2.7039917599999996</v>
      </c>
      <c r="TG26" s="50"/>
      <c r="TH26" s="50">
        <v>2.7039917599999996</v>
      </c>
      <c r="TI26" s="50">
        <v>2.0821107300000001</v>
      </c>
      <c r="TJ26" s="50"/>
      <c r="TK26" s="50">
        <v>2.0821107300000001</v>
      </c>
      <c r="TL26" s="50">
        <v>2.2978995099999997</v>
      </c>
      <c r="TM26" s="50"/>
      <c r="TN26" s="50">
        <v>2.2978995099999997</v>
      </c>
      <c r="TO26" s="50">
        <v>2.2689142100000002</v>
      </c>
      <c r="TP26" s="50"/>
      <c r="TQ26" s="50">
        <v>2.2689142100000002</v>
      </c>
      <c r="TR26" s="50">
        <v>2.7275595799999999</v>
      </c>
      <c r="TS26" s="50"/>
      <c r="TT26" s="50">
        <v>2.7275595799999999</v>
      </c>
      <c r="TU26" s="50">
        <v>2.3731192599999997</v>
      </c>
      <c r="TV26" s="50"/>
      <c r="TW26" s="50">
        <v>2.3731192599999997</v>
      </c>
      <c r="TX26" s="50">
        <v>2.34369234</v>
      </c>
      <c r="TY26" s="50"/>
      <c r="TZ26" s="50">
        <v>2.34369234</v>
      </c>
      <c r="UA26" s="50">
        <v>2.7215479999999999</v>
      </c>
      <c r="UB26" s="50"/>
      <c r="UC26" s="50">
        <v>2.7215479999999999</v>
      </c>
      <c r="UD26" s="50">
        <v>2.1656499900000004</v>
      </c>
      <c r="UE26" s="50"/>
      <c r="UF26" s="50">
        <v>2.1656499900000004</v>
      </c>
      <c r="UG26" s="50">
        <v>2.9930278800000001</v>
      </c>
      <c r="UH26" s="50"/>
      <c r="UI26" s="50">
        <v>2.9930278800000001</v>
      </c>
      <c r="UJ26" s="50">
        <f t="shared" si="45"/>
        <v>29.533761630000001</v>
      </c>
      <c r="UK26" s="50">
        <f t="shared" si="15"/>
        <v>0</v>
      </c>
      <c r="UL26" s="50">
        <f t="shared" si="16"/>
        <v>29.533761630000001</v>
      </c>
      <c r="UM26" s="50">
        <v>2.7364943999999998</v>
      </c>
      <c r="UN26" s="50"/>
      <c r="UO26" s="50">
        <v>2.7364943999999998</v>
      </c>
      <c r="UP26" s="50">
        <v>1.5915488500000001</v>
      </c>
      <c r="UQ26" s="50"/>
      <c r="UR26" s="50">
        <v>1.5915488500000001</v>
      </c>
      <c r="US26" s="50">
        <v>1.82105983</v>
      </c>
      <c r="UT26" s="50"/>
      <c r="UU26" s="50">
        <v>1.82105983</v>
      </c>
      <c r="UV26" s="50">
        <v>1.8403899399999999</v>
      </c>
      <c r="UW26" s="50"/>
      <c r="UX26" s="50">
        <v>1.8403899399999999</v>
      </c>
      <c r="UY26" s="50"/>
      <c r="UZ26" s="50"/>
      <c r="VA26" s="50"/>
      <c r="VB26" s="50"/>
      <c r="VC26" s="50"/>
      <c r="VD26" s="50"/>
      <c r="VE26" s="50"/>
      <c r="VF26" s="50"/>
      <c r="VG26" s="50"/>
      <c r="VH26" s="50"/>
      <c r="VI26" s="50"/>
      <c r="VJ26" s="50"/>
      <c r="VK26" s="50"/>
      <c r="VL26" s="50"/>
      <c r="VM26" s="50"/>
      <c r="VN26" s="50"/>
      <c r="VO26" s="50"/>
      <c r="VP26" s="50"/>
      <c r="VQ26" s="50"/>
      <c r="VR26" s="50"/>
      <c r="VS26" s="50"/>
      <c r="VT26" s="50"/>
      <c r="VU26" s="50"/>
      <c r="VV26" s="50"/>
      <c r="VW26" s="276">
        <f t="shared" si="57"/>
        <v>9.6423509999999997</v>
      </c>
      <c r="VX26" s="292">
        <f t="shared" si="58"/>
        <v>0</v>
      </c>
      <c r="VY26" s="292">
        <f t="shared" si="59"/>
        <v>9.6423509999999997</v>
      </c>
      <c r="VZ26" s="276">
        <f t="shared" si="60"/>
        <v>7.9894930000000004</v>
      </c>
      <c r="WA26" s="292">
        <f t="shared" si="61"/>
        <v>0</v>
      </c>
      <c r="WB26" s="292">
        <f t="shared" si="62"/>
        <v>7.9894930000000004</v>
      </c>
      <c r="WC26" s="277">
        <f t="shared" si="63"/>
        <v>-1.6528579999999993</v>
      </c>
      <c r="WD26" s="277">
        <f>WB26/VY26*100-100</f>
        <v>-17.141649375759087</v>
      </c>
    </row>
    <row r="27" spans="1:602" s="12" customFormat="1" ht="20.5">
      <c r="A27" s="77" t="s">
        <v>77</v>
      </c>
      <c r="B27" s="12" t="s">
        <v>78</v>
      </c>
      <c r="C27" s="77" t="s">
        <v>79</v>
      </c>
      <c r="D27" s="45">
        <v>0.75193225991883939</v>
      </c>
      <c r="E27" s="42">
        <v>1.1696490059817533</v>
      </c>
      <c r="F27" s="42">
        <v>0.8337772693382508</v>
      </c>
      <c r="G27" s="42">
        <v>0.94930165451534143</v>
      </c>
      <c r="H27" s="42">
        <v>8.0767895458762312E-2</v>
      </c>
      <c r="I27" s="42">
        <v>5.2475512376139012E-3</v>
      </c>
      <c r="J27" s="42">
        <v>2.8727781856676968E-3</v>
      </c>
      <c r="K27" s="42">
        <v>2.1528050494874816E-3</v>
      </c>
      <c r="L27" s="42">
        <v>2.0418210482581207E-3</v>
      </c>
      <c r="M27" s="42">
        <v>1.2017575312604938E-2</v>
      </c>
      <c r="N27" s="42">
        <v>0.14440014570207341</v>
      </c>
      <c r="O27" s="42">
        <v>0.23624082959118051</v>
      </c>
      <c r="P27" s="42">
        <v>0.22357300186111631</v>
      </c>
      <c r="Q27" s="42">
        <v>0.21585107654481192</v>
      </c>
      <c r="R27" s="42">
        <v>0.19938844969579003</v>
      </c>
      <c r="S27" s="42">
        <v>0.11309412012452974</v>
      </c>
      <c r="T27" s="42">
        <v>1.2376480498118962</v>
      </c>
      <c r="U27" s="42">
        <v>0</v>
      </c>
      <c r="V27" s="42">
        <v>1.2376480498118962</v>
      </c>
      <c r="W27" s="42">
        <v>1.2376480498118965</v>
      </c>
      <c r="X27" s="42">
        <v>6.2018713610053448E-2</v>
      </c>
      <c r="Y27" s="42">
        <v>9.9303646535876297E-2</v>
      </c>
      <c r="Z27" s="42">
        <v>0.10845698089367733</v>
      </c>
      <c r="AA27" s="42">
        <v>4.0637218911673809E-2</v>
      </c>
      <c r="AB27" s="42">
        <v>3.2246543844371971E-2</v>
      </c>
      <c r="AC27" s="42">
        <v>9.066539177352435E-3</v>
      </c>
      <c r="AD27" s="42">
        <v>9.6183288655158489E-2</v>
      </c>
      <c r="AE27" s="42">
        <v>0.17284477606843446</v>
      </c>
      <c r="AF27" s="42">
        <v>0.22639740240522252</v>
      </c>
      <c r="AG27" s="42">
        <v>0.23726814303845739</v>
      </c>
      <c r="AH27" s="42">
        <v>0.14525956027569564</v>
      </c>
      <c r="AI27" s="42">
        <v>7.187636951411773E-2</v>
      </c>
      <c r="AJ27" s="42">
        <f t="shared" si="46"/>
        <v>1.3015591829300917</v>
      </c>
      <c r="AK27" s="42">
        <v>0</v>
      </c>
      <c r="AL27" s="42">
        <v>1.3015591829300917</v>
      </c>
      <c r="AM27" s="42">
        <v>1.3015591829300914</v>
      </c>
      <c r="AN27" s="42">
        <v>8.1290089413264585E-2</v>
      </c>
      <c r="AO27" s="42">
        <v>8.0555887558978037E-2</v>
      </c>
      <c r="AP27" s="42">
        <v>9.7594777491306253E-2</v>
      </c>
      <c r="AQ27" s="42">
        <v>0.12388375706455855</v>
      </c>
      <c r="AR27" s="42">
        <v>6.7530919004445064E-2</v>
      </c>
      <c r="AS27" s="42">
        <v>7.4302365951246724E-3</v>
      </c>
      <c r="AT27" s="42">
        <v>5.5127745431158622E-2</v>
      </c>
      <c r="AU27" s="42">
        <v>0.1276387157728186</v>
      </c>
      <c r="AV27" s="42">
        <v>0.13954388421238356</v>
      </c>
      <c r="AW27" s="42">
        <v>0.12889795732522866</v>
      </c>
      <c r="AX27" s="42">
        <v>8.2870899994877664E-2</v>
      </c>
      <c r="AY27" s="42">
        <v>2.9582927814867304E-2</v>
      </c>
      <c r="AZ27" s="42">
        <v>1.0219477976790117</v>
      </c>
      <c r="BA27" s="42"/>
      <c r="BB27" s="42">
        <v>1.0219477976790117</v>
      </c>
      <c r="BC27" s="45">
        <f t="shared" si="21"/>
        <v>1.0219477976790114</v>
      </c>
      <c r="BD27" s="45"/>
      <c r="BE27" s="45">
        <v>1.0219477976790114</v>
      </c>
      <c r="BF27" s="44">
        <v>6.6705E-2</v>
      </c>
      <c r="BG27" s="50"/>
      <c r="BH27" s="50">
        <f t="shared" si="74"/>
        <v>6.6705E-2</v>
      </c>
      <c r="BI27" s="45">
        <v>2.3619999999999999E-2</v>
      </c>
      <c r="BJ27" s="121"/>
      <c r="BK27" s="50">
        <f t="shared" si="75"/>
        <v>2.3619999999999999E-2</v>
      </c>
      <c r="BL27" s="50">
        <v>4.3038E-2</v>
      </c>
      <c r="BM27" s="50"/>
      <c r="BN27" s="50">
        <f t="shared" si="76"/>
        <v>4.3038E-2</v>
      </c>
      <c r="BO27" s="50">
        <v>2.4420000000000001E-2</v>
      </c>
      <c r="BP27" s="50"/>
      <c r="BQ27" s="50">
        <f t="shared" si="77"/>
        <v>2.4420000000000001E-2</v>
      </c>
      <c r="BR27" s="50">
        <v>0.211364</v>
      </c>
      <c r="BS27" s="50"/>
      <c r="BT27" s="50">
        <f t="shared" si="78"/>
        <v>0.211364</v>
      </c>
      <c r="BU27" s="50">
        <v>0.18964900000000001</v>
      </c>
      <c r="BV27" s="50"/>
      <c r="BW27" s="50">
        <f t="shared" si="79"/>
        <v>0.18964900000000001</v>
      </c>
      <c r="BX27" s="50">
        <v>0.221752</v>
      </c>
      <c r="BY27" s="50"/>
      <c r="BZ27" s="50">
        <f t="shared" si="80"/>
        <v>0.221752</v>
      </c>
      <c r="CA27" s="50">
        <v>0.20466200000000001</v>
      </c>
      <c r="CB27" s="50"/>
      <c r="CC27" s="50">
        <f t="shared" si="81"/>
        <v>0.20466200000000001</v>
      </c>
      <c r="CD27" s="50">
        <v>0.22221407999999998</v>
      </c>
      <c r="CE27" s="50"/>
      <c r="CF27" s="50">
        <f t="shared" si="82"/>
        <v>0.22221407999999998</v>
      </c>
      <c r="CG27" s="50">
        <v>0.21447126</v>
      </c>
      <c r="CH27" s="50"/>
      <c r="CI27" s="50">
        <f t="shared" si="83"/>
        <v>0.21447126</v>
      </c>
      <c r="CJ27" s="45">
        <v>0.16290441</v>
      </c>
      <c r="CK27" s="45"/>
      <c r="CL27" s="50">
        <f t="shared" si="84"/>
        <v>0.16290441</v>
      </c>
      <c r="CM27" s="42">
        <v>0.15400082999999998</v>
      </c>
      <c r="CN27" s="45"/>
      <c r="CO27" s="50">
        <f t="shared" si="85"/>
        <v>0.15400082999999998</v>
      </c>
      <c r="CP27" s="50">
        <f t="shared" si="24"/>
        <v>1.7388005800000002</v>
      </c>
      <c r="CQ27" s="50">
        <f t="shared" si="25"/>
        <v>0</v>
      </c>
      <c r="CR27" s="50">
        <f t="shared" si="26"/>
        <v>1.7388005800000002</v>
      </c>
      <c r="CS27" s="45">
        <f t="shared" si="2"/>
        <v>1.738801</v>
      </c>
      <c r="CT27" s="45"/>
      <c r="CU27" s="44">
        <v>1.738801</v>
      </c>
      <c r="CV27" s="42">
        <v>0.16869942999999998</v>
      </c>
      <c r="CW27" s="45"/>
      <c r="CX27" s="50">
        <f t="shared" si="86"/>
        <v>0.16869942999999998</v>
      </c>
      <c r="CY27" s="42">
        <v>0.19443963</v>
      </c>
      <c r="CZ27" s="45"/>
      <c r="DA27" s="50">
        <v>0.19443963</v>
      </c>
      <c r="DB27" s="42">
        <v>0.15385182</v>
      </c>
      <c r="DC27" s="45"/>
      <c r="DD27" s="50">
        <v>0.15385182</v>
      </c>
      <c r="DE27" s="42">
        <v>2.757457E-2</v>
      </c>
      <c r="DF27" s="45"/>
      <c r="DG27" s="50">
        <v>2.757457E-2</v>
      </c>
      <c r="DH27" s="42">
        <v>5.0280699999999999E-3</v>
      </c>
      <c r="DI27" s="45"/>
      <c r="DJ27" s="50">
        <v>5.0280699999999999E-3</v>
      </c>
      <c r="DK27" s="42">
        <v>8.4306829999999999E-2</v>
      </c>
      <c r="DL27" s="45"/>
      <c r="DM27" s="50">
        <v>8.4306829999999999E-2</v>
      </c>
      <c r="DN27" s="42">
        <v>0.14750929999999998</v>
      </c>
      <c r="DO27" s="45"/>
      <c r="DP27" s="50">
        <v>0.14750929999999998</v>
      </c>
      <c r="DQ27" s="42">
        <v>0.19285376999999998</v>
      </c>
      <c r="DR27" s="45"/>
      <c r="DS27" s="50">
        <v>0.19285376999999998</v>
      </c>
      <c r="DT27" s="42">
        <v>0.20462588000000001</v>
      </c>
      <c r="DU27" s="45"/>
      <c r="DV27" s="50">
        <v>0.20462588000000001</v>
      </c>
      <c r="DW27" s="42">
        <v>0.19998973</v>
      </c>
      <c r="DX27" s="45"/>
      <c r="DY27" s="50">
        <v>0.19998973</v>
      </c>
      <c r="DZ27" s="42">
        <v>0.14162060000000001</v>
      </c>
      <c r="EA27" s="45"/>
      <c r="EB27" s="50">
        <v>0.14162060000000001</v>
      </c>
      <c r="EC27" s="42">
        <v>0.11406895</v>
      </c>
      <c r="ED27" s="45"/>
      <c r="EE27" s="50">
        <v>0.11406895</v>
      </c>
      <c r="EF27" s="50">
        <f t="shared" si="27"/>
        <v>1.63456858</v>
      </c>
      <c r="EG27" s="50">
        <f t="shared" si="28"/>
        <v>0</v>
      </c>
      <c r="EH27" s="50">
        <f t="shared" si="29"/>
        <v>1.63456858</v>
      </c>
      <c r="EI27" s="50">
        <f t="shared" si="70"/>
        <v>1.63456858</v>
      </c>
      <c r="EJ27" s="50"/>
      <c r="EK27" s="50">
        <v>1.63456858</v>
      </c>
      <c r="EL27" s="50">
        <v>6.8695560000000003E-2</v>
      </c>
      <c r="EM27" s="50"/>
      <c r="EN27" s="50">
        <v>6.8695560000000003E-2</v>
      </c>
      <c r="EO27" s="50">
        <v>4.6174180000000002E-2</v>
      </c>
      <c r="EP27" s="50"/>
      <c r="EQ27" s="50">
        <v>4.6174180000000002E-2</v>
      </c>
      <c r="ER27" s="50">
        <v>0.10861564</v>
      </c>
      <c r="ES27" s="50"/>
      <c r="ET27" s="50">
        <v>0.10861564</v>
      </c>
      <c r="EU27" s="50">
        <v>3.3916250000000002E-2</v>
      </c>
      <c r="EV27" s="50"/>
      <c r="EW27" s="50">
        <v>3.3916250000000002E-2</v>
      </c>
      <c r="EX27" s="50">
        <v>3.33563E-3</v>
      </c>
      <c r="EY27" s="50"/>
      <c r="EZ27" s="50">
        <v>3.33563E-3</v>
      </c>
      <c r="FA27" s="50">
        <v>2.7762389999999998E-2</v>
      </c>
      <c r="FB27" s="50"/>
      <c r="FC27" s="50">
        <v>2.7762389999999998E-2</v>
      </c>
      <c r="FD27" s="50">
        <v>0.11658578</v>
      </c>
      <c r="FE27" s="50"/>
      <c r="FF27" s="50">
        <v>0.11658578</v>
      </c>
      <c r="FG27" s="50">
        <v>0.13697257999999998</v>
      </c>
      <c r="FH27" s="50"/>
      <c r="FI27" s="50">
        <v>0.13697257999999998</v>
      </c>
      <c r="FJ27" s="50">
        <v>0.12242217999999999</v>
      </c>
      <c r="FK27" s="50"/>
      <c r="FL27" s="50">
        <v>0.12242217999999999</v>
      </c>
      <c r="FM27" s="50">
        <v>0.16283581</v>
      </c>
      <c r="FN27" s="50"/>
      <c r="FO27" s="50">
        <v>0.16283581</v>
      </c>
      <c r="FP27" s="50">
        <v>6.2574470000000007E-2</v>
      </c>
      <c r="FQ27" s="50"/>
      <c r="FR27" s="50">
        <v>6.2574470000000007E-2</v>
      </c>
      <c r="FS27" s="50">
        <v>2.9742319999999999E-2</v>
      </c>
      <c r="FT27" s="50"/>
      <c r="FU27" s="50">
        <v>2.9742319999999999E-2</v>
      </c>
      <c r="FV27" s="50">
        <f t="shared" si="30"/>
        <v>0.91963278999999998</v>
      </c>
      <c r="FW27" s="50">
        <f t="shared" si="31"/>
        <v>0</v>
      </c>
      <c r="FX27" s="50">
        <f t="shared" si="32"/>
        <v>0.91963278999999998</v>
      </c>
      <c r="FY27" s="50">
        <f t="shared" si="71"/>
        <v>0.91963300000000003</v>
      </c>
      <c r="FZ27" s="50"/>
      <c r="GA27" s="50">
        <v>0.91963300000000003</v>
      </c>
      <c r="GB27" s="50">
        <v>1.858566E-2</v>
      </c>
      <c r="GC27" s="50"/>
      <c r="GD27" s="50">
        <v>1.858566E-2</v>
      </c>
      <c r="GE27" s="50">
        <v>0.43289674</v>
      </c>
      <c r="GF27" s="50"/>
      <c r="GG27" s="50">
        <v>0.43289674</v>
      </c>
      <c r="GH27" s="50">
        <v>0.49514332</v>
      </c>
      <c r="GI27" s="50"/>
      <c r="GJ27" s="50">
        <v>0.49514332</v>
      </c>
      <c r="GK27" s="50">
        <v>0.42495002000000004</v>
      </c>
      <c r="GL27" s="50"/>
      <c r="GM27" s="50">
        <v>0.42495002000000004</v>
      </c>
      <c r="GN27" s="50">
        <v>0.41550138000000003</v>
      </c>
      <c r="GO27" s="50"/>
      <c r="GP27" s="50">
        <v>0.41550138000000003</v>
      </c>
      <c r="GQ27" s="50">
        <v>0.40288032000000001</v>
      </c>
      <c r="GR27" s="50"/>
      <c r="GS27" s="50">
        <v>0.40288032000000001</v>
      </c>
      <c r="GT27" s="50">
        <v>0.36476267000000001</v>
      </c>
      <c r="GU27" s="50"/>
      <c r="GV27" s="50">
        <v>0.36476267000000001</v>
      </c>
      <c r="GW27" s="50">
        <v>0.37962915999999997</v>
      </c>
      <c r="GX27" s="50"/>
      <c r="GY27" s="50">
        <v>0.37962915999999997</v>
      </c>
      <c r="GZ27" s="50">
        <v>0.38807791999999997</v>
      </c>
      <c r="HA27" s="50"/>
      <c r="HB27" s="50">
        <v>0.38807791999999997</v>
      </c>
      <c r="HC27" s="50">
        <v>0.40013477000000003</v>
      </c>
      <c r="HD27" s="50"/>
      <c r="HE27" s="50">
        <v>0.40013477000000003</v>
      </c>
      <c r="HF27" s="50">
        <v>0.43024863000000002</v>
      </c>
      <c r="HG27" s="50"/>
      <c r="HH27" s="50">
        <v>0.43024863000000002</v>
      </c>
      <c r="HI27" s="50">
        <v>0.44948110999999996</v>
      </c>
      <c r="HJ27" s="50"/>
      <c r="HK27" s="50">
        <v>0.44948110999999996</v>
      </c>
      <c r="HL27" s="50">
        <f t="shared" si="33"/>
        <v>4.6022917000000003</v>
      </c>
      <c r="HM27" s="50">
        <f t="shared" si="34"/>
        <v>0</v>
      </c>
      <c r="HN27" s="50">
        <f t="shared" si="35"/>
        <v>4.6022917000000003</v>
      </c>
      <c r="HO27" s="50">
        <f t="shared" si="3"/>
        <v>4.6022920000000003</v>
      </c>
      <c r="HP27" s="50"/>
      <c r="HQ27" s="50">
        <v>4.6022920000000003</v>
      </c>
      <c r="HR27" s="50">
        <v>0.44239989000000002</v>
      </c>
      <c r="HS27" s="50">
        <v>0</v>
      </c>
      <c r="HT27" s="50">
        <v>0.44239989000000002</v>
      </c>
      <c r="HU27" s="50">
        <v>0.46416684999999996</v>
      </c>
      <c r="HV27" s="50">
        <v>0</v>
      </c>
      <c r="HW27" s="50">
        <v>0.46416684999999996</v>
      </c>
      <c r="HX27" s="50">
        <v>0.41675265</v>
      </c>
      <c r="HY27" s="50">
        <v>0</v>
      </c>
      <c r="HZ27" s="50">
        <v>0.41675265</v>
      </c>
      <c r="IA27" s="50">
        <v>0.48329960999999999</v>
      </c>
      <c r="IB27" s="50">
        <v>0</v>
      </c>
      <c r="IC27" s="50">
        <v>0.48329960999999999</v>
      </c>
      <c r="ID27" s="50">
        <v>0.40844915999999998</v>
      </c>
      <c r="IE27" s="50">
        <v>0</v>
      </c>
      <c r="IF27" s="50">
        <v>0.40844915999999998</v>
      </c>
      <c r="IG27" s="50">
        <v>0.40579187</v>
      </c>
      <c r="IH27" s="50">
        <v>0</v>
      </c>
      <c r="II27" s="50">
        <v>0.40579187</v>
      </c>
      <c r="IJ27" s="50">
        <v>0.39265522999999997</v>
      </c>
      <c r="IK27" s="50">
        <v>0</v>
      </c>
      <c r="IL27" s="50">
        <v>0.39265522999999997</v>
      </c>
      <c r="IM27" s="50">
        <v>0.39961334999999998</v>
      </c>
      <c r="IN27" s="50">
        <v>0</v>
      </c>
      <c r="IO27" s="50">
        <v>0.39961334999999998</v>
      </c>
      <c r="IP27" s="50">
        <v>0.41481840000000003</v>
      </c>
      <c r="IQ27" s="50">
        <v>0</v>
      </c>
      <c r="IR27" s="50">
        <v>0.41481840000000003</v>
      </c>
      <c r="IS27" s="50">
        <v>0.36774628999999998</v>
      </c>
      <c r="IT27" s="50">
        <v>0</v>
      </c>
      <c r="IU27" s="50">
        <v>0.36774628999999998</v>
      </c>
      <c r="IV27" s="50">
        <v>0.46139432000000002</v>
      </c>
      <c r="IW27" s="50">
        <v>0</v>
      </c>
      <c r="IX27" s="50">
        <v>0.46139432000000002</v>
      </c>
      <c r="IY27" s="50">
        <v>0.34032835</v>
      </c>
      <c r="IZ27" s="50">
        <v>0</v>
      </c>
      <c r="JA27" s="50">
        <v>0.34032835</v>
      </c>
      <c r="JB27" s="50">
        <f t="shared" si="36"/>
        <v>4.9974159700000005</v>
      </c>
      <c r="JC27" s="50">
        <f t="shared" si="37"/>
        <v>0</v>
      </c>
      <c r="JD27" s="50">
        <f t="shared" si="38"/>
        <v>4.9974159700000005</v>
      </c>
      <c r="JE27" s="50">
        <f t="shared" si="4"/>
        <v>4.9974160000000003</v>
      </c>
      <c r="JF27" s="50"/>
      <c r="JG27" s="50">
        <v>4.9974160000000003</v>
      </c>
      <c r="JH27" s="50">
        <v>0.50939407999999997</v>
      </c>
      <c r="JI27" s="50">
        <v>0</v>
      </c>
      <c r="JJ27" s="50">
        <v>0.50939407999999997</v>
      </c>
      <c r="JK27" s="50">
        <v>0.46078637</v>
      </c>
      <c r="JL27" s="50">
        <v>0</v>
      </c>
      <c r="JM27" s="50">
        <v>0.46078637</v>
      </c>
      <c r="JN27" s="50">
        <v>0.41662242999999999</v>
      </c>
      <c r="JO27" s="50">
        <v>0</v>
      </c>
      <c r="JP27" s="50">
        <v>0.41662242999999999</v>
      </c>
      <c r="JQ27" s="50">
        <v>0.41325856</v>
      </c>
      <c r="JR27" s="50">
        <v>0</v>
      </c>
      <c r="JS27" s="50">
        <v>0.41325856</v>
      </c>
      <c r="JT27" s="50">
        <v>0.38620088000000002</v>
      </c>
      <c r="JU27" s="50">
        <v>0</v>
      </c>
      <c r="JV27" s="50">
        <v>0.38620088000000002</v>
      </c>
      <c r="JW27" s="50">
        <v>0.39408859000000002</v>
      </c>
      <c r="JX27" s="50">
        <v>0</v>
      </c>
      <c r="JY27" s="50">
        <v>0.39408859000000002</v>
      </c>
      <c r="JZ27" s="50">
        <v>0.37789851000000002</v>
      </c>
      <c r="KA27" s="50">
        <v>0</v>
      </c>
      <c r="KB27" s="50">
        <v>0.37789851000000002</v>
      </c>
      <c r="KC27" s="50">
        <v>0.37604850000000001</v>
      </c>
      <c r="KD27" s="50">
        <v>0</v>
      </c>
      <c r="KE27" s="50">
        <v>0.37604850000000001</v>
      </c>
      <c r="KF27" s="50">
        <v>0.48612346999999995</v>
      </c>
      <c r="KG27" s="50">
        <v>0</v>
      </c>
      <c r="KH27" s="50">
        <v>0.48612346999999995</v>
      </c>
      <c r="KI27" s="50">
        <v>0.37778828999999997</v>
      </c>
      <c r="KJ27" s="50">
        <v>0</v>
      </c>
      <c r="KK27" s="50">
        <v>0.37778828999999997</v>
      </c>
      <c r="KL27" s="50">
        <v>0.41355782000000002</v>
      </c>
      <c r="KM27" s="50">
        <v>0</v>
      </c>
      <c r="KN27" s="50">
        <v>0.41355782000000002</v>
      </c>
      <c r="KO27" s="50">
        <v>0.40563924000000001</v>
      </c>
      <c r="KP27" s="50">
        <v>0</v>
      </c>
      <c r="KQ27" s="50">
        <v>0.40563924000000001</v>
      </c>
      <c r="KR27" s="50">
        <f t="shared" si="48"/>
        <v>5.0174067400000002</v>
      </c>
      <c r="KS27" s="50">
        <f t="shared" si="39"/>
        <v>0</v>
      </c>
      <c r="KT27" s="50">
        <f t="shared" si="49"/>
        <v>5.0174067400000002</v>
      </c>
      <c r="KU27" s="50">
        <f t="shared" si="5"/>
        <v>5.0174070000000004</v>
      </c>
      <c r="KV27" s="50"/>
      <c r="KW27" s="50">
        <v>5.0174070000000004</v>
      </c>
      <c r="KX27" s="50">
        <v>0.43697147999999997</v>
      </c>
      <c r="KY27" s="50">
        <v>0</v>
      </c>
      <c r="KZ27" s="50">
        <v>0.43697147999999997</v>
      </c>
      <c r="LA27" s="50">
        <v>0.40816726000000003</v>
      </c>
      <c r="LB27" s="50">
        <v>0</v>
      </c>
      <c r="LC27" s="50">
        <v>0.40816726000000003</v>
      </c>
      <c r="LD27" s="50">
        <v>0.42361599</v>
      </c>
      <c r="LE27" s="50">
        <v>0</v>
      </c>
      <c r="LF27" s="50">
        <v>0.42361599</v>
      </c>
      <c r="LG27" s="50">
        <v>0.42842878000000001</v>
      </c>
      <c r="LH27" s="50">
        <v>0</v>
      </c>
      <c r="LI27" s="174">
        <v>0.42842878000000001</v>
      </c>
      <c r="LJ27" s="174">
        <v>0.38668428000000005</v>
      </c>
      <c r="LK27" s="50">
        <v>0</v>
      </c>
      <c r="LL27" s="174">
        <v>0.38668428000000005</v>
      </c>
      <c r="LM27" s="50">
        <v>0.36669816</v>
      </c>
      <c r="LN27" s="50">
        <v>0</v>
      </c>
      <c r="LO27" s="50">
        <v>0.36669816</v>
      </c>
      <c r="LP27" s="50">
        <v>0.35803962</v>
      </c>
      <c r="LQ27" s="50">
        <v>0</v>
      </c>
      <c r="LR27" s="44">
        <v>0.35803962</v>
      </c>
      <c r="LS27" s="50">
        <v>0.38183102000000002</v>
      </c>
      <c r="LT27" s="50">
        <v>0</v>
      </c>
      <c r="LU27" s="52">
        <v>0.38183102000000002</v>
      </c>
      <c r="LV27" s="44">
        <v>0.39422942999999999</v>
      </c>
      <c r="LW27" s="50">
        <v>0</v>
      </c>
      <c r="LX27" s="50">
        <v>0.39422942999999999</v>
      </c>
      <c r="LY27" s="50">
        <v>0.39566220000000002</v>
      </c>
      <c r="LZ27" s="50">
        <v>0</v>
      </c>
      <c r="MA27" s="50">
        <v>0.39566220000000002</v>
      </c>
      <c r="MB27" s="50">
        <v>0.42206077000000003</v>
      </c>
      <c r="MC27" s="50">
        <v>0</v>
      </c>
      <c r="MD27" s="50">
        <v>0.42206077000000003</v>
      </c>
      <c r="ME27" s="44">
        <v>0.39674380999999997</v>
      </c>
      <c r="MF27" s="44">
        <v>0</v>
      </c>
      <c r="MG27" s="44">
        <v>0.39674380999999997</v>
      </c>
      <c r="MH27" s="50">
        <f t="shared" si="66"/>
        <v>4.7991327999999998</v>
      </c>
      <c r="MI27" s="50">
        <f t="shared" si="50"/>
        <v>0</v>
      </c>
      <c r="MJ27" s="50">
        <f t="shared" si="51"/>
        <v>4.7991327999999998</v>
      </c>
      <c r="MK27" s="50">
        <f t="shared" si="7"/>
        <v>4.7991330000000003</v>
      </c>
      <c r="ML27" s="50"/>
      <c r="MM27" s="50">
        <v>4.7991330000000003</v>
      </c>
      <c r="MN27" s="44">
        <v>0.42642672999999998</v>
      </c>
      <c r="MO27" s="44">
        <v>0</v>
      </c>
      <c r="MP27" s="44">
        <v>0.42642672999999998</v>
      </c>
      <c r="MQ27" s="44">
        <v>0.44595979999999996</v>
      </c>
      <c r="MR27" s="44">
        <v>0</v>
      </c>
      <c r="MS27" s="44">
        <v>0.44595979999999996</v>
      </c>
      <c r="MT27" s="44">
        <v>0.41806119000000003</v>
      </c>
      <c r="MU27" s="50">
        <v>0</v>
      </c>
      <c r="MV27" s="44">
        <v>0.41806119000000003</v>
      </c>
      <c r="MW27" s="50">
        <v>0.46918213000000003</v>
      </c>
      <c r="MX27" s="50">
        <v>0</v>
      </c>
      <c r="MY27" s="50">
        <v>0.46918213000000003</v>
      </c>
      <c r="MZ27" s="50">
        <v>0.39525737999999999</v>
      </c>
      <c r="NA27" s="50">
        <v>0</v>
      </c>
      <c r="NB27" s="50">
        <v>0.39525737999999999</v>
      </c>
      <c r="NC27" s="50">
        <v>0.39833542999999999</v>
      </c>
      <c r="ND27" s="50">
        <v>0</v>
      </c>
      <c r="NE27" s="50">
        <v>0.39833542999999999</v>
      </c>
      <c r="NF27" s="50">
        <v>0.37680681999999999</v>
      </c>
      <c r="NG27" s="50">
        <v>0</v>
      </c>
      <c r="NH27" s="50">
        <v>0.37680681999999999</v>
      </c>
      <c r="NI27" s="50">
        <v>0.43373690999999998</v>
      </c>
      <c r="NJ27" s="50">
        <v>0</v>
      </c>
      <c r="NK27" s="50">
        <v>0.43373690999999998</v>
      </c>
      <c r="NL27" s="50">
        <v>0.41095847999999996</v>
      </c>
      <c r="NM27" s="50">
        <v>0</v>
      </c>
      <c r="NN27" s="50">
        <v>0.41095847999999996</v>
      </c>
      <c r="NO27" s="50">
        <v>0.39814073999999999</v>
      </c>
      <c r="NP27" s="50">
        <v>0</v>
      </c>
      <c r="NQ27" s="50">
        <v>0.39814073999999999</v>
      </c>
      <c r="NR27" s="50">
        <v>0.44900727000000001</v>
      </c>
      <c r="NS27" s="50">
        <v>0</v>
      </c>
      <c r="NT27" s="50">
        <v>0.44900727000000001</v>
      </c>
      <c r="NU27" s="50">
        <v>0.42087928000000002</v>
      </c>
      <c r="NV27" s="50">
        <v>0</v>
      </c>
      <c r="NW27" s="50">
        <v>0.42087928000000002</v>
      </c>
      <c r="NX27" s="50">
        <f t="shared" si="67"/>
        <v>5.04275216</v>
      </c>
      <c r="NY27" s="50">
        <f t="shared" si="40"/>
        <v>0</v>
      </c>
      <c r="NZ27" s="50">
        <f t="shared" si="41"/>
        <v>5.04275216</v>
      </c>
      <c r="OA27" s="50">
        <f t="shared" si="8"/>
        <v>5.0427520000000001</v>
      </c>
      <c r="OB27" s="50"/>
      <c r="OC27" s="50">
        <v>5.0427520000000001</v>
      </c>
      <c r="OD27" s="50">
        <v>0.48379061000000001</v>
      </c>
      <c r="OE27" s="50"/>
      <c r="OF27" s="50">
        <v>0.48379061000000001</v>
      </c>
      <c r="OG27" s="50">
        <v>0.41561244000000003</v>
      </c>
      <c r="OH27" s="50"/>
      <c r="OI27" s="50">
        <v>0.41561244000000003</v>
      </c>
      <c r="OJ27" s="50">
        <v>0.42839981999999999</v>
      </c>
      <c r="OK27" s="50"/>
      <c r="OL27" s="50">
        <v>0.42839981999999999</v>
      </c>
      <c r="OM27" s="50">
        <v>0.44967048999999998</v>
      </c>
      <c r="ON27" s="50"/>
      <c r="OO27" s="50">
        <v>0.44967048999999998</v>
      </c>
      <c r="OP27" s="50">
        <v>0.41378862999999999</v>
      </c>
      <c r="OQ27" s="50"/>
      <c r="OR27" s="50">
        <v>0.41378862999999999</v>
      </c>
      <c r="OS27" s="50">
        <v>0.40190478999999996</v>
      </c>
      <c r="OT27" s="50"/>
      <c r="OU27" s="50">
        <v>0.40190478999999996</v>
      </c>
      <c r="OV27" s="50">
        <v>0.38874878999999996</v>
      </c>
      <c r="OW27" s="50"/>
      <c r="OX27" s="50">
        <v>0.38874878999999996</v>
      </c>
      <c r="OY27" s="94">
        <v>0.38741755999999999</v>
      </c>
      <c r="OZ27" s="50"/>
      <c r="PA27" s="94">
        <v>0.38741755999999999</v>
      </c>
      <c r="PB27" s="50">
        <v>0.41408634999999999</v>
      </c>
      <c r="PC27" s="50"/>
      <c r="PD27" s="50">
        <v>0.41408634999999999</v>
      </c>
      <c r="PE27" s="50">
        <v>0.36916569999999999</v>
      </c>
      <c r="PF27" s="50"/>
      <c r="PG27" s="50">
        <v>0.36916569999999999</v>
      </c>
      <c r="PH27" s="50">
        <v>0.40093808000000003</v>
      </c>
      <c r="PI27" s="50"/>
      <c r="PJ27" s="50">
        <v>0.40093808000000003</v>
      </c>
      <c r="PK27" s="50">
        <v>0.43040110999999998</v>
      </c>
      <c r="PL27" s="50"/>
      <c r="PM27" s="50">
        <v>0.43040110999999998</v>
      </c>
      <c r="PN27" s="50">
        <f t="shared" si="68"/>
        <v>4.9839243700000004</v>
      </c>
      <c r="PO27" s="50">
        <f t="shared" si="42"/>
        <v>0</v>
      </c>
      <c r="PP27" s="50">
        <f t="shared" si="43"/>
        <v>4.9839243700000004</v>
      </c>
      <c r="PQ27" s="50">
        <f t="shared" si="9"/>
        <v>4.983924</v>
      </c>
      <c r="PR27" s="50"/>
      <c r="PS27" s="50">
        <v>4.983924</v>
      </c>
      <c r="PT27" s="50">
        <v>0.43421607000000001</v>
      </c>
      <c r="PU27" s="50"/>
      <c r="PV27" s="50">
        <v>0.43421607000000001</v>
      </c>
      <c r="PW27" s="50">
        <v>0.46753906000000001</v>
      </c>
      <c r="PX27" s="50"/>
      <c r="PY27" s="50">
        <v>0.46753906000000001</v>
      </c>
      <c r="PZ27" s="50">
        <v>0.41399075000000002</v>
      </c>
      <c r="QA27" s="50"/>
      <c r="QB27" s="50">
        <v>0.41399075000000002</v>
      </c>
      <c r="QC27" s="50">
        <v>0.43584993999999999</v>
      </c>
      <c r="QD27" s="50"/>
      <c r="QE27" s="50">
        <v>0.43584993999999999</v>
      </c>
      <c r="QF27" s="50">
        <v>0.38106150999999999</v>
      </c>
      <c r="QG27" s="50"/>
      <c r="QH27" s="50">
        <v>0.38106150999999999</v>
      </c>
      <c r="QI27" s="50">
        <v>0.38488783000000004</v>
      </c>
      <c r="QJ27" s="50"/>
      <c r="QK27" s="50">
        <v>0.38488783000000004</v>
      </c>
      <c r="QL27" s="50">
        <v>0.37138394000000002</v>
      </c>
      <c r="QM27" s="50"/>
      <c r="QN27" s="50">
        <v>0.37138394000000002</v>
      </c>
      <c r="QO27" s="50">
        <v>0.36922944000000002</v>
      </c>
      <c r="QP27" s="50"/>
      <c r="QQ27" s="50">
        <v>0.36922944000000002</v>
      </c>
      <c r="QR27" s="50">
        <v>0.41312624999999997</v>
      </c>
      <c r="QS27" s="50"/>
      <c r="QT27" s="50">
        <v>0.41312624999999997</v>
      </c>
      <c r="QU27" s="50">
        <v>0.38548478000000003</v>
      </c>
      <c r="QV27" s="50"/>
      <c r="QW27" s="50">
        <v>0.38548478000000003</v>
      </c>
      <c r="QX27" s="50">
        <v>0.42069011000000001</v>
      </c>
      <c r="QY27" s="50"/>
      <c r="QZ27" s="50">
        <v>0.42069011000000001</v>
      </c>
      <c r="RA27" s="50">
        <v>0.43678093000000001</v>
      </c>
      <c r="RB27" s="50"/>
      <c r="RC27" s="50">
        <v>0.43678093000000001</v>
      </c>
      <c r="RD27" s="50">
        <f t="shared" si="52"/>
        <v>4.9142406100000002</v>
      </c>
      <c r="RE27" s="50">
        <f t="shared" si="53"/>
        <v>0</v>
      </c>
      <c r="RF27" s="50">
        <f t="shared" si="54"/>
        <v>4.9142406100000002</v>
      </c>
      <c r="RG27" s="50">
        <f t="shared" si="11"/>
        <v>4.9142409999999996</v>
      </c>
      <c r="RH27" s="50"/>
      <c r="RI27" s="50">
        <v>4.9142409999999996</v>
      </c>
      <c r="RJ27" s="50">
        <v>0.44794128000000005</v>
      </c>
      <c r="RK27" s="50"/>
      <c r="RL27" s="50">
        <v>0.44794128000000005</v>
      </c>
      <c r="RM27" s="50">
        <v>0.44912417999999998</v>
      </c>
      <c r="RN27" s="50"/>
      <c r="RO27" s="50">
        <v>0.44912417999999998</v>
      </c>
      <c r="RP27" s="50">
        <v>0.42597166999999997</v>
      </c>
      <c r="RQ27" s="50"/>
      <c r="RR27" s="50">
        <v>0.42597166999999997</v>
      </c>
      <c r="RS27" s="50">
        <v>0.41666689000000001</v>
      </c>
      <c r="RT27" s="50"/>
      <c r="RU27" s="50">
        <v>0.41666689000000001</v>
      </c>
      <c r="RV27" s="50">
        <v>0.42158015000000004</v>
      </c>
      <c r="RW27" s="50"/>
      <c r="RX27" s="50">
        <v>0.42158015000000004</v>
      </c>
      <c r="RY27" s="50">
        <v>0.38142877000000003</v>
      </c>
      <c r="RZ27" s="50"/>
      <c r="SA27" s="50">
        <v>0.38142877000000003</v>
      </c>
      <c r="SB27" s="50">
        <v>0.36693796999999995</v>
      </c>
      <c r="SC27" s="50"/>
      <c r="SD27" s="50">
        <v>0.36693796999999995</v>
      </c>
      <c r="SE27" s="50">
        <v>0.39519710999999996</v>
      </c>
      <c r="SF27" s="50"/>
      <c r="SG27" s="50">
        <v>0.39519710999999996</v>
      </c>
      <c r="SH27" s="50">
        <v>0.39463628000000001</v>
      </c>
      <c r="SI27" s="50"/>
      <c r="SJ27" s="50">
        <v>0.39463628000000001</v>
      </c>
      <c r="SK27" s="50">
        <v>0.39258134</v>
      </c>
      <c r="SL27" s="50"/>
      <c r="SM27" s="50">
        <v>0.39258134</v>
      </c>
      <c r="SN27" s="50">
        <v>0.43092978999999998</v>
      </c>
      <c r="SO27" s="50"/>
      <c r="SP27" s="50">
        <v>0.43092978999999998</v>
      </c>
      <c r="SQ27" s="50">
        <v>0.42922378999999999</v>
      </c>
      <c r="SR27" s="50"/>
      <c r="SS27" s="50">
        <v>0.42922378999999999</v>
      </c>
      <c r="ST27" s="50">
        <f t="shared" si="55"/>
        <v>4.9522192199999999</v>
      </c>
      <c r="SU27" s="50">
        <f t="shared" si="65"/>
        <v>0</v>
      </c>
      <c r="SV27" s="50">
        <f t="shared" si="56"/>
        <v>4.9522192199999999</v>
      </c>
      <c r="SW27" s="50">
        <f t="shared" si="44"/>
        <v>4.9522190000000004</v>
      </c>
      <c r="SX27" s="50"/>
      <c r="SY27" s="50">
        <v>4.9522190000000004</v>
      </c>
      <c r="SZ27" s="50">
        <v>0.43988663</v>
      </c>
      <c r="TA27" s="50"/>
      <c r="TB27" s="50">
        <v>0.43988663</v>
      </c>
      <c r="TC27" s="50">
        <v>0.44684942</v>
      </c>
      <c r="TD27" s="50"/>
      <c r="TE27" s="50">
        <v>0.44684942</v>
      </c>
      <c r="TF27" s="50">
        <v>0.44636003000000002</v>
      </c>
      <c r="TG27" s="50"/>
      <c r="TH27" s="50">
        <v>0.44636003000000002</v>
      </c>
      <c r="TI27" s="50">
        <v>0.45297375000000001</v>
      </c>
      <c r="TJ27" s="50"/>
      <c r="TK27" s="50">
        <v>0.45297375000000001</v>
      </c>
      <c r="TL27" s="50">
        <v>0.40747541999999998</v>
      </c>
      <c r="TM27" s="50"/>
      <c r="TN27" s="50">
        <v>0.40747541999999998</v>
      </c>
      <c r="TO27" s="50">
        <v>0.40443572</v>
      </c>
      <c r="TP27" s="50"/>
      <c r="TQ27" s="50">
        <v>0.40443572</v>
      </c>
      <c r="TR27" s="50">
        <v>0.37364520000000001</v>
      </c>
      <c r="TS27" s="50"/>
      <c r="TT27" s="50">
        <v>0.37364520000000001</v>
      </c>
      <c r="TU27" s="50">
        <v>0.42002305000000001</v>
      </c>
      <c r="TV27" s="50"/>
      <c r="TW27" s="50">
        <v>0.42002305000000001</v>
      </c>
      <c r="TX27" s="50">
        <v>0.40909305000000001</v>
      </c>
      <c r="TY27" s="50"/>
      <c r="TZ27" s="50">
        <v>0.40909305000000001</v>
      </c>
      <c r="UA27" s="50">
        <v>0.39578288</v>
      </c>
      <c r="UB27" s="50"/>
      <c r="UC27" s="50">
        <v>0.39578288</v>
      </c>
      <c r="UD27" s="50">
        <v>0.45376630000000001</v>
      </c>
      <c r="UE27" s="50"/>
      <c r="UF27" s="50">
        <v>0.45376630000000001</v>
      </c>
      <c r="UG27" s="50">
        <v>0.45968819</v>
      </c>
      <c r="UH27" s="50"/>
      <c r="UI27" s="50">
        <v>0.45968819</v>
      </c>
      <c r="UJ27" s="50">
        <f t="shared" si="45"/>
        <v>5.1099796399999997</v>
      </c>
      <c r="UK27" s="50">
        <f t="shared" si="15"/>
        <v>0</v>
      </c>
      <c r="UL27" s="50">
        <f t="shared" si="16"/>
        <v>5.1099796399999997</v>
      </c>
      <c r="UM27" s="50">
        <v>0.46304208000000002</v>
      </c>
      <c r="UN27" s="50"/>
      <c r="UO27" s="50">
        <v>0.46304208000000002</v>
      </c>
      <c r="UP27" s="50">
        <v>0.51569337000000004</v>
      </c>
      <c r="UQ27" s="50"/>
      <c r="UR27" s="50">
        <v>0.51569337000000004</v>
      </c>
      <c r="US27" s="50">
        <v>0.47922179999999998</v>
      </c>
      <c r="UT27" s="50"/>
      <c r="UU27" s="50">
        <v>0.47922179999999998</v>
      </c>
      <c r="UV27" s="50">
        <v>0.47356788</v>
      </c>
      <c r="UW27" s="50"/>
      <c r="UX27" s="50">
        <v>0.47356788</v>
      </c>
      <c r="UY27" s="50"/>
      <c r="UZ27" s="50"/>
      <c r="VA27" s="50"/>
      <c r="VB27" s="50"/>
      <c r="VC27" s="50"/>
      <c r="VD27" s="50"/>
      <c r="VE27" s="50"/>
      <c r="VF27" s="50"/>
      <c r="VG27" s="50"/>
      <c r="VH27" s="50"/>
      <c r="VI27" s="50"/>
      <c r="VJ27" s="50"/>
      <c r="VK27" s="50"/>
      <c r="VL27" s="50"/>
      <c r="VM27" s="50"/>
      <c r="VN27" s="50"/>
      <c r="VO27" s="50"/>
      <c r="VP27" s="50"/>
      <c r="VQ27" s="50"/>
      <c r="VR27" s="50"/>
      <c r="VS27" s="50"/>
      <c r="VT27" s="50"/>
      <c r="VU27" s="50"/>
      <c r="VV27" s="50"/>
      <c r="VW27" s="276">
        <f t="shared" si="57"/>
        <v>1.78607</v>
      </c>
      <c r="VX27" s="292">
        <f t="shared" si="58"/>
        <v>0</v>
      </c>
      <c r="VY27" s="292">
        <f t="shared" si="59"/>
        <v>1.78607</v>
      </c>
      <c r="VZ27" s="276">
        <f t="shared" si="60"/>
        <v>1.9315249999999999</v>
      </c>
      <c r="WA27" s="292">
        <f>ROUND(SUM(UN27+UQ27+UT27+UW27),6)</f>
        <v>0</v>
      </c>
      <c r="WB27" s="292">
        <f t="shared" si="62"/>
        <v>1.9315249999999999</v>
      </c>
      <c r="WC27" s="277">
        <f t="shared" si="63"/>
        <v>0.14545499999999989</v>
      </c>
      <c r="WD27" s="277">
        <f>WB27/VY27*100-100</f>
        <v>8.143857743537481</v>
      </c>
    </row>
    <row r="28" spans="1:602" s="12" customFormat="1" ht="20.5">
      <c r="A28" s="77" t="s">
        <v>80</v>
      </c>
      <c r="B28" s="12" t="s">
        <v>81</v>
      </c>
      <c r="C28" s="77" t="s">
        <v>82</v>
      </c>
      <c r="D28" s="45">
        <v>39.621144728829087</v>
      </c>
      <c r="E28" s="42">
        <v>37.549299662494803</v>
      </c>
      <c r="F28" s="42">
        <v>21.445496895293708</v>
      </c>
      <c r="G28" s="42">
        <v>24.569816051132324</v>
      </c>
      <c r="H28" s="42">
        <v>2.1313851372502151</v>
      </c>
      <c r="I28" s="42">
        <v>2.2011883825362406</v>
      </c>
      <c r="J28" s="42">
        <v>2.8171837382826506</v>
      </c>
      <c r="K28" s="42">
        <v>2.0609515597520787</v>
      </c>
      <c r="L28" s="42">
        <v>2.631814844537026</v>
      </c>
      <c r="M28" s="42">
        <v>2.20040011155315</v>
      </c>
      <c r="N28" s="42">
        <v>2.5245929163749778</v>
      </c>
      <c r="O28" s="42">
        <v>2.5667910256629161</v>
      </c>
      <c r="P28" s="42">
        <v>2.6468005304466109</v>
      </c>
      <c r="Q28" s="42">
        <v>2.7724201911201418</v>
      </c>
      <c r="R28" s="42">
        <v>2.6113852510799598</v>
      </c>
      <c r="S28" s="42">
        <v>2.527801492307955</v>
      </c>
      <c r="T28" s="42">
        <v>29.692715180903921</v>
      </c>
      <c r="U28" s="42">
        <v>0</v>
      </c>
      <c r="V28" s="42">
        <v>29.692715180903921</v>
      </c>
      <c r="W28" s="42">
        <v>29.692715180903921</v>
      </c>
      <c r="X28" s="42">
        <v>2.6188695568038884</v>
      </c>
      <c r="Y28" s="42">
        <v>2.7055295644304813</v>
      </c>
      <c r="Z28" s="42">
        <v>3.0061823780172001</v>
      </c>
      <c r="AA28" s="42">
        <v>2.5020162093556668</v>
      </c>
      <c r="AB28" s="42">
        <v>2.4962535785226039</v>
      </c>
      <c r="AC28" s="42">
        <v>2.2812562250641713</v>
      </c>
      <c r="AD28" s="42">
        <v>2.2273806068263697</v>
      </c>
      <c r="AE28" s="42">
        <v>2.7658564834576924</v>
      </c>
      <c r="AF28" s="42">
        <v>2.6301358558004795</v>
      </c>
      <c r="AG28" s="42">
        <v>3.3834113067085561</v>
      </c>
      <c r="AH28" s="42">
        <v>2.9694182161740685</v>
      </c>
      <c r="AI28" s="42">
        <v>2.3287303430259363</v>
      </c>
      <c r="AJ28" s="42">
        <f t="shared" si="46"/>
        <v>31.915040324187114</v>
      </c>
      <c r="AK28" s="42">
        <v>0</v>
      </c>
      <c r="AL28" s="42">
        <v>31.915040324187114</v>
      </c>
      <c r="AM28" s="42">
        <v>31.915040324187114</v>
      </c>
      <c r="AN28" s="42">
        <v>2.4242690707508778</v>
      </c>
      <c r="AO28" s="42">
        <v>1.3289992657981458</v>
      </c>
      <c r="AP28" s="42">
        <v>2.2353686091712626</v>
      </c>
      <c r="AQ28" s="42">
        <v>2.443990074046249</v>
      </c>
      <c r="AR28" s="42">
        <v>2.3170699085378001</v>
      </c>
      <c r="AS28" s="42">
        <v>1.7322325997006278</v>
      </c>
      <c r="AT28" s="42">
        <v>2.3536505199173599</v>
      </c>
      <c r="AU28" s="42">
        <v>2.3284343856893246</v>
      </c>
      <c r="AV28" s="42">
        <v>2.4637964496502582</v>
      </c>
      <c r="AW28" s="42">
        <v>2.5855999681276716</v>
      </c>
      <c r="AX28" s="42">
        <v>2.653574823137034</v>
      </c>
      <c r="AY28" s="42">
        <v>2.7012794463321215</v>
      </c>
      <c r="AZ28" s="42">
        <v>27.568265120858733</v>
      </c>
      <c r="BA28" s="42"/>
      <c r="BB28" s="42">
        <v>27.568265120858733</v>
      </c>
      <c r="BC28" s="45">
        <f t="shared" si="21"/>
        <v>27.568265120858733</v>
      </c>
      <c r="BD28" s="45"/>
      <c r="BE28" s="45">
        <v>27.568265120858733</v>
      </c>
      <c r="BF28" s="44">
        <v>2.5818319999999999</v>
      </c>
      <c r="BG28" s="50"/>
      <c r="BH28" s="50">
        <f t="shared" si="74"/>
        <v>2.5818319999999999</v>
      </c>
      <c r="BI28" s="45">
        <v>2.7064699999999999</v>
      </c>
      <c r="BJ28" s="121"/>
      <c r="BK28" s="50">
        <f t="shared" si="75"/>
        <v>2.7064699999999999</v>
      </c>
      <c r="BL28" s="50">
        <v>3.0772089999999999</v>
      </c>
      <c r="BM28" s="50"/>
      <c r="BN28" s="50">
        <f t="shared" si="76"/>
        <v>3.0772089999999999</v>
      </c>
      <c r="BO28" s="50">
        <v>3.149095</v>
      </c>
      <c r="BP28" s="50"/>
      <c r="BQ28" s="50">
        <f t="shared" si="77"/>
        <v>3.149095</v>
      </c>
      <c r="BR28" s="50">
        <v>2.7078829999999998</v>
      </c>
      <c r="BS28" s="50"/>
      <c r="BT28" s="50">
        <f t="shared" si="78"/>
        <v>2.7078829999999998</v>
      </c>
      <c r="BU28" s="50">
        <v>2.3678279999999998</v>
      </c>
      <c r="BV28" s="50"/>
      <c r="BW28" s="50">
        <f t="shared" si="79"/>
        <v>2.3678279999999998</v>
      </c>
      <c r="BX28" s="50">
        <v>3.2836989999999999</v>
      </c>
      <c r="BY28" s="50"/>
      <c r="BZ28" s="50">
        <f t="shared" si="80"/>
        <v>3.2836989999999999</v>
      </c>
      <c r="CA28" s="50">
        <v>2.7371530000000002</v>
      </c>
      <c r="CB28" s="50"/>
      <c r="CC28" s="50">
        <f t="shared" si="81"/>
        <v>2.7371530000000002</v>
      </c>
      <c r="CD28" s="50">
        <v>3.4026588900000001</v>
      </c>
      <c r="CE28" s="50"/>
      <c r="CF28" s="50">
        <f t="shared" si="82"/>
        <v>3.4026588900000001</v>
      </c>
      <c r="CG28" s="50">
        <v>3.2477963599999997</v>
      </c>
      <c r="CH28" s="50"/>
      <c r="CI28" s="50">
        <f t="shared" si="83"/>
        <v>3.2477963599999997</v>
      </c>
      <c r="CJ28" s="45">
        <v>3.0349518199999999</v>
      </c>
      <c r="CK28" s="45"/>
      <c r="CL28" s="50">
        <f t="shared" si="84"/>
        <v>3.0349518199999999</v>
      </c>
      <c r="CM28" s="42">
        <v>3.3406056399999997</v>
      </c>
      <c r="CN28" s="45"/>
      <c r="CO28" s="50">
        <f t="shared" si="85"/>
        <v>3.3406056399999997</v>
      </c>
      <c r="CP28" s="50">
        <f t="shared" si="24"/>
        <v>35.63718171</v>
      </c>
      <c r="CQ28" s="50">
        <f t="shared" si="25"/>
        <v>0</v>
      </c>
      <c r="CR28" s="50">
        <f t="shared" si="26"/>
        <v>35.63718171</v>
      </c>
      <c r="CS28" s="45">
        <f t="shared" si="2"/>
        <v>35.637182000000003</v>
      </c>
      <c r="CT28" s="45"/>
      <c r="CU28" s="44">
        <v>35.637182000000003</v>
      </c>
      <c r="CV28" s="42">
        <v>3.3807308100000002</v>
      </c>
      <c r="CW28" s="45"/>
      <c r="CX28" s="50">
        <f t="shared" si="86"/>
        <v>3.3807308100000002</v>
      </c>
      <c r="CY28" s="42">
        <v>3.1421966600000002</v>
      </c>
      <c r="CZ28" s="45"/>
      <c r="DA28" s="50">
        <v>3.1421966600000002</v>
      </c>
      <c r="DB28" s="42">
        <v>3.5649939099999997</v>
      </c>
      <c r="DC28" s="45"/>
      <c r="DD28" s="50">
        <v>3.5649939099999997</v>
      </c>
      <c r="DE28" s="42">
        <v>2.9964210599999999</v>
      </c>
      <c r="DF28" s="45"/>
      <c r="DG28" s="50">
        <v>2.9964210599999999</v>
      </c>
      <c r="DH28" s="42">
        <v>2.75141569</v>
      </c>
      <c r="DI28" s="45"/>
      <c r="DJ28" s="50">
        <v>2.75141569</v>
      </c>
      <c r="DK28" s="42">
        <v>3.21092171</v>
      </c>
      <c r="DL28" s="45"/>
      <c r="DM28" s="50">
        <v>3.21092171</v>
      </c>
      <c r="DN28" s="42">
        <v>3.4151947499999999</v>
      </c>
      <c r="DO28" s="45"/>
      <c r="DP28" s="50">
        <v>3.4151947499999999</v>
      </c>
      <c r="DQ28" s="42">
        <v>3.0491496699999998</v>
      </c>
      <c r="DR28" s="45"/>
      <c r="DS28" s="50">
        <v>3.0491496699999998</v>
      </c>
      <c r="DT28" s="42">
        <v>3.6395499</v>
      </c>
      <c r="DU28" s="45"/>
      <c r="DV28" s="50">
        <v>3.6395499</v>
      </c>
      <c r="DW28" s="42">
        <v>3.7936569700000002</v>
      </c>
      <c r="DX28" s="45"/>
      <c r="DY28" s="50">
        <v>3.7936569700000002</v>
      </c>
      <c r="DZ28" s="42">
        <v>3.5700300600000001</v>
      </c>
      <c r="EA28" s="45"/>
      <c r="EB28" s="50">
        <v>3.5700300600000001</v>
      </c>
      <c r="EC28" s="42">
        <v>3.4507070299999998</v>
      </c>
      <c r="ED28" s="45"/>
      <c r="EE28" s="50">
        <v>3.4507070299999998</v>
      </c>
      <c r="EF28" s="50">
        <f t="shared" si="27"/>
        <v>39.964968219999996</v>
      </c>
      <c r="EG28" s="50">
        <f t="shared" si="28"/>
        <v>0</v>
      </c>
      <c r="EH28" s="50">
        <f t="shared" si="29"/>
        <v>39.964968219999996</v>
      </c>
      <c r="EI28" s="50">
        <f t="shared" si="70"/>
        <v>39.964968219999996</v>
      </c>
      <c r="EJ28" s="50"/>
      <c r="EK28" s="50">
        <v>39.964968219999996</v>
      </c>
      <c r="EL28" s="50">
        <v>2.4417675599999997</v>
      </c>
      <c r="EM28" s="50"/>
      <c r="EN28" s="50">
        <v>2.4417675599999997</v>
      </c>
      <c r="EO28" s="50">
        <v>3.4051756800000001</v>
      </c>
      <c r="EP28" s="50"/>
      <c r="EQ28" s="50">
        <v>3.4051756800000001</v>
      </c>
      <c r="ER28" s="50">
        <v>3.5195546799999997</v>
      </c>
      <c r="ES28" s="50"/>
      <c r="ET28" s="50">
        <v>3.5195546799999997</v>
      </c>
      <c r="EU28" s="50">
        <v>3.2439843700000002</v>
      </c>
      <c r="EV28" s="50"/>
      <c r="EW28" s="50">
        <v>3.2439843700000002</v>
      </c>
      <c r="EX28" s="50">
        <v>2.9133125400000002</v>
      </c>
      <c r="EY28" s="50"/>
      <c r="EZ28" s="50">
        <v>2.9133125400000002</v>
      </c>
      <c r="FA28" s="50">
        <v>3.0777749999999999</v>
      </c>
      <c r="FB28" s="50"/>
      <c r="FC28" s="50">
        <v>3.0777749999999999</v>
      </c>
      <c r="FD28" s="50">
        <v>2.8963613599999998</v>
      </c>
      <c r="FE28" s="50"/>
      <c r="FF28" s="50">
        <v>2.8963613599999998</v>
      </c>
      <c r="FG28" s="50">
        <v>3.3246597100000002</v>
      </c>
      <c r="FH28" s="50"/>
      <c r="FI28" s="50">
        <v>3.3246597100000002</v>
      </c>
      <c r="FJ28" s="50">
        <v>3.4395158299999999</v>
      </c>
      <c r="FK28" s="50"/>
      <c r="FL28" s="50">
        <v>3.4395158299999999</v>
      </c>
      <c r="FM28" s="50">
        <v>8.0694992800000005</v>
      </c>
      <c r="FN28" s="50"/>
      <c r="FO28" s="50">
        <v>8.0694992800000005</v>
      </c>
      <c r="FP28" s="50">
        <v>3.24249871</v>
      </c>
      <c r="FQ28" s="50"/>
      <c r="FR28" s="50">
        <v>3.24249871</v>
      </c>
      <c r="FS28" s="50">
        <v>3.0021208200000005</v>
      </c>
      <c r="FT28" s="50"/>
      <c r="FU28" s="50">
        <v>3.0021208200000005</v>
      </c>
      <c r="FV28" s="50">
        <f t="shared" si="30"/>
        <v>42.576225540000003</v>
      </c>
      <c r="FW28" s="50">
        <f t="shared" si="31"/>
        <v>0</v>
      </c>
      <c r="FX28" s="50">
        <f t="shared" si="32"/>
        <v>42.576225540000003</v>
      </c>
      <c r="FY28" s="50">
        <f t="shared" si="71"/>
        <v>42.576225999999998</v>
      </c>
      <c r="FZ28" s="50"/>
      <c r="GA28" s="50">
        <v>42.576225999999998</v>
      </c>
      <c r="GB28" s="50">
        <v>2.8427924499999997</v>
      </c>
      <c r="GC28" s="50"/>
      <c r="GD28" s="50">
        <v>2.8427924499999997</v>
      </c>
      <c r="GE28" s="50">
        <v>3.3802950200000002</v>
      </c>
      <c r="GF28" s="50"/>
      <c r="GG28" s="50">
        <v>3.3802950200000002</v>
      </c>
      <c r="GH28" s="50">
        <v>3.5343195400000003</v>
      </c>
      <c r="GI28" s="50"/>
      <c r="GJ28" s="50">
        <v>3.5343195400000003</v>
      </c>
      <c r="GK28" s="50">
        <v>3.04495425</v>
      </c>
      <c r="GL28" s="50"/>
      <c r="GM28" s="50">
        <v>3.04495425</v>
      </c>
      <c r="GN28" s="50">
        <v>3.1052594300000003</v>
      </c>
      <c r="GO28" s="50"/>
      <c r="GP28" s="50">
        <v>3.1052594300000003</v>
      </c>
      <c r="GQ28" s="50">
        <v>3.2643814399999997</v>
      </c>
      <c r="GR28" s="50"/>
      <c r="GS28" s="50">
        <v>3.2643814399999997</v>
      </c>
      <c r="GT28" s="50">
        <v>4.0476725800000004</v>
      </c>
      <c r="GU28" s="50"/>
      <c r="GV28" s="50">
        <v>4.0476725800000004</v>
      </c>
      <c r="GW28" s="50">
        <v>4.2239830899999999</v>
      </c>
      <c r="GX28" s="50"/>
      <c r="GY28" s="50">
        <v>4.2239830899999999</v>
      </c>
      <c r="GZ28" s="50">
        <v>4.19127998</v>
      </c>
      <c r="HA28" s="50"/>
      <c r="HB28" s="50">
        <v>4.19127998</v>
      </c>
      <c r="HC28" s="50">
        <v>4.3505973600000001</v>
      </c>
      <c r="HD28" s="50"/>
      <c r="HE28" s="50">
        <v>4.3505973600000001</v>
      </c>
      <c r="HF28" s="50">
        <v>4.2197754600000001</v>
      </c>
      <c r="HG28" s="50"/>
      <c r="HH28" s="50">
        <v>4.2197754600000001</v>
      </c>
      <c r="HI28" s="50">
        <v>5.0959252300000006</v>
      </c>
      <c r="HJ28" s="50"/>
      <c r="HK28" s="50">
        <v>5.0959252300000006</v>
      </c>
      <c r="HL28" s="50">
        <f t="shared" si="33"/>
        <v>45.301235830000003</v>
      </c>
      <c r="HM28" s="50">
        <f t="shared" si="34"/>
        <v>0</v>
      </c>
      <c r="HN28" s="50">
        <f t="shared" si="35"/>
        <v>45.301235830000003</v>
      </c>
      <c r="HO28" s="50">
        <f t="shared" si="3"/>
        <v>45.301236000000003</v>
      </c>
      <c r="HP28" s="50"/>
      <c r="HQ28" s="50">
        <v>45.301236000000003</v>
      </c>
      <c r="HR28" s="50">
        <v>4.5730551799999999</v>
      </c>
      <c r="HS28" s="50">
        <v>0</v>
      </c>
      <c r="HT28" s="50">
        <v>4.5730551799999999</v>
      </c>
      <c r="HU28" s="50">
        <v>3.9441526500000004</v>
      </c>
      <c r="HV28" s="50">
        <v>0</v>
      </c>
      <c r="HW28" s="50">
        <v>3.9441526500000004</v>
      </c>
      <c r="HX28" s="50">
        <v>4.5281036600000002</v>
      </c>
      <c r="HY28" s="50">
        <v>0</v>
      </c>
      <c r="HZ28" s="50">
        <v>4.5281036600000002</v>
      </c>
      <c r="IA28" s="50">
        <v>3.8105974099999997</v>
      </c>
      <c r="IB28" s="50">
        <v>0</v>
      </c>
      <c r="IC28" s="50">
        <v>3.8105974099999997</v>
      </c>
      <c r="ID28" s="50">
        <v>4.3658163300000004</v>
      </c>
      <c r="IE28" s="50">
        <v>0</v>
      </c>
      <c r="IF28" s="50">
        <v>4.3658163300000004</v>
      </c>
      <c r="IG28" s="50">
        <v>3.6417229499999997</v>
      </c>
      <c r="IH28" s="50">
        <v>0</v>
      </c>
      <c r="II28" s="50">
        <v>3.6417229499999997</v>
      </c>
      <c r="IJ28" s="50">
        <v>3.6361210800000001</v>
      </c>
      <c r="IK28" s="50">
        <v>0</v>
      </c>
      <c r="IL28" s="50">
        <v>3.6361210800000001</v>
      </c>
      <c r="IM28" s="50">
        <v>5.1534413899999993</v>
      </c>
      <c r="IN28" s="50">
        <v>0</v>
      </c>
      <c r="IO28" s="50">
        <v>5.1534413899999993</v>
      </c>
      <c r="IP28" s="50">
        <v>4.6832836899999997</v>
      </c>
      <c r="IQ28" s="50">
        <v>0</v>
      </c>
      <c r="IR28" s="50">
        <v>4.6832836899999997</v>
      </c>
      <c r="IS28" s="50">
        <v>5.3361932599999999</v>
      </c>
      <c r="IT28" s="50">
        <v>0</v>
      </c>
      <c r="IU28" s="50">
        <v>5.3361932599999999</v>
      </c>
      <c r="IV28" s="50">
        <v>4.9829410000000003</v>
      </c>
      <c r="IW28" s="50">
        <v>0</v>
      </c>
      <c r="IX28" s="50">
        <v>4.9829410000000003</v>
      </c>
      <c r="IY28" s="50">
        <v>4.1290899900000007</v>
      </c>
      <c r="IZ28" s="50">
        <v>0</v>
      </c>
      <c r="JA28" s="50">
        <v>4.1290899900000007</v>
      </c>
      <c r="JB28" s="50">
        <f t="shared" si="36"/>
        <v>52.78451858999999</v>
      </c>
      <c r="JC28" s="50">
        <f t="shared" si="37"/>
        <v>0</v>
      </c>
      <c r="JD28" s="50">
        <f t="shared" si="38"/>
        <v>52.78451858999999</v>
      </c>
      <c r="JE28" s="50">
        <f t="shared" si="4"/>
        <v>52.784519000000003</v>
      </c>
      <c r="JF28" s="50"/>
      <c r="JG28" s="45">
        <v>52.784519000000003</v>
      </c>
      <c r="JH28" s="50">
        <v>4.3775878399999995</v>
      </c>
      <c r="JI28" s="50">
        <v>0</v>
      </c>
      <c r="JJ28" s="50">
        <v>4.3775878399999995</v>
      </c>
      <c r="JK28" s="50">
        <v>4.0370475399999997</v>
      </c>
      <c r="JL28" s="50">
        <v>0</v>
      </c>
      <c r="JM28" s="50">
        <v>4.0370475399999997</v>
      </c>
      <c r="JN28" s="50">
        <v>4.2486198600000007</v>
      </c>
      <c r="JO28" s="50">
        <v>0</v>
      </c>
      <c r="JP28" s="50">
        <v>4.2486198600000007</v>
      </c>
      <c r="JQ28" s="50">
        <v>4.3360582999999995</v>
      </c>
      <c r="JR28" s="50">
        <v>0</v>
      </c>
      <c r="JS28" s="50">
        <v>4.3360582999999995</v>
      </c>
      <c r="JT28" s="50">
        <v>4.2670698499999995</v>
      </c>
      <c r="JU28" s="50">
        <v>0</v>
      </c>
      <c r="JV28" s="50">
        <v>4.2670698499999995</v>
      </c>
      <c r="JW28" s="50">
        <v>3.5320588700000002</v>
      </c>
      <c r="JX28" s="50">
        <v>0</v>
      </c>
      <c r="JY28" s="50">
        <v>3.5320588700000002</v>
      </c>
      <c r="JZ28" s="50">
        <v>4.1869190099999996</v>
      </c>
      <c r="KA28" s="50">
        <v>0</v>
      </c>
      <c r="KB28" s="50">
        <v>4.1869190099999996</v>
      </c>
      <c r="KC28" s="50">
        <v>4.2593056699999998</v>
      </c>
      <c r="KD28" s="50">
        <v>0</v>
      </c>
      <c r="KE28" s="50">
        <v>4.2593056699999998</v>
      </c>
      <c r="KF28" s="50">
        <v>4.05480061</v>
      </c>
      <c r="KG28" s="50">
        <v>0</v>
      </c>
      <c r="KH28" s="50">
        <v>4.05480061</v>
      </c>
      <c r="KI28" s="50">
        <v>4.7969013100000009</v>
      </c>
      <c r="KJ28" s="50">
        <v>0</v>
      </c>
      <c r="KK28" s="50">
        <v>4.7969013100000009</v>
      </c>
      <c r="KL28" s="50">
        <v>4.1088525000000002</v>
      </c>
      <c r="KM28" s="50">
        <v>0</v>
      </c>
      <c r="KN28" s="50">
        <v>4.1088525000000002</v>
      </c>
      <c r="KO28" s="50">
        <v>3.4655078100000001</v>
      </c>
      <c r="KP28" s="50">
        <v>0</v>
      </c>
      <c r="KQ28" s="50">
        <v>3.4655078100000001</v>
      </c>
      <c r="KR28" s="50">
        <f t="shared" si="48"/>
        <v>49.670729170000001</v>
      </c>
      <c r="KS28" s="50">
        <f t="shared" si="39"/>
        <v>0</v>
      </c>
      <c r="KT28" s="50">
        <f t="shared" si="49"/>
        <v>49.670729170000001</v>
      </c>
      <c r="KU28" s="50">
        <f t="shared" si="5"/>
        <v>49.670729000000001</v>
      </c>
      <c r="KV28" s="50"/>
      <c r="KW28" s="45">
        <v>49.670729000000001</v>
      </c>
      <c r="KX28" s="50">
        <v>4.3266214999999999</v>
      </c>
      <c r="KY28" s="50">
        <v>0</v>
      </c>
      <c r="KZ28" s="50">
        <v>4.3266214999999999</v>
      </c>
      <c r="LA28" s="50">
        <v>4.24534653</v>
      </c>
      <c r="LB28" s="50">
        <v>0</v>
      </c>
      <c r="LC28" s="50">
        <v>4.24534653</v>
      </c>
      <c r="LD28" s="50">
        <v>4.4216349800000003</v>
      </c>
      <c r="LE28" s="50">
        <v>0</v>
      </c>
      <c r="LF28" s="50">
        <v>4.4216349800000003</v>
      </c>
      <c r="LG28" s="50">
        <v>3.66509339</v>
      </c>
      <c r="LH28" s="50">
        <v>0</v>
      </c>
      <c r="LI28" s="174">
        <v>3.66509339</v>
      </c>
      <c r="LJ28" s="174">
        <v>3.7885135600000002</v>
      </c>
      <c r="LK28" s="50">
        <v>0</v>
      </c>
      <c r="LL28" s="174">
        <v>3.7885135600000002</v>
      </c>
      <c r="LM28" s="50">
        <v>3.9138715899999998</v>
      </c>
      <c r="LN28" s="50">
        <v>0</v>
      </c>
      <c r="LO28" s="50">
        <v>3.9138715899999998</v>
      </c>
      <c r="LP28" s="50">
        <v>3.7646541299999998</v>
      </c>
      <c r="LQ28" s="50">
        <v>0</v>
      </c>
      <c r="LR28" s="44">
        <v>3.7646541299999998</v>
      </c>
      <c r="LS28" s="50">
        <v>3.7574420699999997</v>
      </c>
      <c r="LT28" s="50">
        <v>0</v>
      </c>
      <c r="LU28" s="52">
        <v>3.7574420699999997</v>
      </c>
      <c r="LV28" s="44">
        <v>3.7301978399999998</v>
      </c>
      <c r="LW28" s="50">
        <v>0</v>
      </c>
      <c r="LX28" s="50">
        <v>3.7301978399999998</v>
      </c>
      <c r="LY28" s="50">
        <v>4.5115933900000007</v>
      </c>
      <c r="LZ28" s="50">
        <v>0</v>
      </c>
      <c r="MA28" s="50">
        <v>4.5115933900000007</v>
      </c>
      <c r="MB28" s="50">
        <v>3.7749249200000006</v>
      </c>
      <c r="MC28" s="50">
        <v>0</v>
      </c>
      <c r="MD28" s="50">
        <v>3.7749249200000006</v>
      </c>
      <c r="ME28" s="44">
        <v>3.8196266800000003</v>
      </c>
      <c r="MF28" s="44"/>
      <c r="MG28" s="44">
        <v>3.8196266800000003</v>
      </c>
      <c r="MH28" s="50">
        <f t="shared" si="66"/>
        <v>47.719520580000008</v>
      </c>
      <c r="MI28" s="50">
        <f t="shared" si="50"/>
        <v>0</v>
      </c>
      <c r="MJ28" s="50">
        <f t="shared" si="51"/>
        <v>47.719520580000008</v>
      </c>
      <c r="MK28" s="50">
        <f t="shared" si="7"/>
        <v>47.719521</v>
      </c>
      <c r="ML28" s="50"/>
      <c r="MM28" s="50">
        <v>47.719521</v>
      </c>
      <c r="MN28" s="44">
        <v>4.4934027400000005</v>
      </c>
      <c r="MO28" s="44"/>
      <c r="MP28" s="44">
        <v>4.4934027400000005</v>
      </c>
      <c r="MQ28" s="44">
        <v>3.8957172299999998</v>
      </c>
      <c r="MR28" s="44">
        <v>0</v>
      </c>
      <c r="MS28" s="44">
        <v>3.8957172299999998</v>
      </c>
      <c r="MT28" s="44">
        <v>4.6603418699999999</v>
      </c>
      <c r="MU28" s="50">
        <v>0</v>
      </c>
      <c r="MV28" s="44">
        <v>4.6603418699999999</v>
      </c>
      <c r="MW28" s="50">
        <v>5.8040480499999996</v>
      </c>
      <c r="MX28" s="50">
        <v>0</v>
      </c>
      <c r="MY28" s="50">
        <v>5.8040480499999996</v>
      </c>
      <c r="MZ28" s="50">
        <v>5.0070785300000002</v>
      </c>
      <c r="NA28" s="50">
        <v>0</v>
      </c>
      <c r="NB28" s="50">
        <v>5.0070785300000002</v>
      </c>
      <c r="NC28" s="50">
        <v>5.1973242099999997</v>
      </c>
      <c r="ND28" s="50">
        <v>0</v>
      </c>
      <c r="NE28" s="50">
        <v>5.1973242099999997</v>
      </c>
      <c r="NF28" s="50">
        <v>5.7530703999999995</v>
      </c>
      <c r="NG28" s="50">
        <v>0</v>
      </c>
      <c r="NH28" s="50">
        <v>5.7530703999999995</v>
      </c>
      <c r="NI28" s="50">
        <v>5.8182615199999992</v>
      </c>
      <c r="NJ28" s="50">
        <v>0</v>
      </c>
      <c r="NK28" s="50">
        <v>5.8182615199999992</v>
      </c>
      <c r="NL28" s="50">
        <v>6.4241213400000001</v>
      </c>
      <c r="NM28" s="50">
        <v>0</v>
      </c>
      <c r="NN28" s="50">
        <v>6.4241213400000001</v>
      </c>
      <c r="NO28" s="50">
        <v>7.6081083599999992</v>
      </c>
      <c r="NP28" s="50">
        <v>0</v>
      </c>
      <c r="NQ28" s="50">
        <v>7.6081083599999992</v>
      </c>
      <c r="NR28" s="50">
        <v>7.7492840799999998</v>
      </c>
      <c r="NS28" s="50">
        <v>0</v>
      </c>
      <c r="NT28" s="50">
        <v>7.7492840799999998</v>
      </c>
      <c r="NU28" s="50">
        <v>8.3219279099999994</v>
      </c>
      <c r="NV28" s="50">
        <v>0</v>
      </c>
      <c r="NW28" s="50">
        <v>8.3219279099999994</v>
      </c>
      <c r="NX28" s="50">
        <f t="shared" si="67"/>
        <v>70.732686239999992</v>
      </c>
      <c r="NY28" s="50">
        <f t="shared" si="40"/>
        <v>0</v>
      </c>
      <c r="NZ28" s="50">
        <f t="shared" si="41"/>
        <v>70.732686239999992</v>
      </c>
      <c r="OA28" s="50">
        <f t="shared" si="8"/>
        <v>70.732674000000003</v>
      </c>
      <c r="OB28" s="50"/>
      <c r="OC28" s="50">
        <v>70.732674000000003</v>
      </c>
      <c r="OD28" s="50">
        <v>10.190891899999999</v>
      </c>
      <c r="OE28" s="50"/>
      <c r="OF28" s="50">
        <v>10.190891899999999</v>
      </c>
      <c r="OG28" s="50">
        <v>6.08224608</v>
      </c>
      <c r="OH28" s="50"/>
      <c r="OI28" s="50">
        <v>6.08224608</v>
      </c>
      <c r="OJ28" s="50">
        <v>7.6192412799999998</v>
      </c>
      <c r="OK28" s="50"/>
      <c r="OL28" s="50">
        <v>7.6192412799999998</v>
      </c>
      <c r="OM28" s="50">
        <v>7.6067234799999994</v>
      </c>
      <c r="ON28" s="50"/>
      <c r="OO28" s="50">
        <v>7.6067234799999994</v>
      </c>
      <c r="OP28" s="50">
        <v>8.7819127699999999</v>
      </c>
      <c r="OQ28" s="50"/>
      <c r="OR28" s="50">
        <v>8.7819127699999999</v>
      </c>
      <c r="OS28" s="50">
        <v>8.4473802400000011</v>
      </c>
      <c r="OT28" s="50"/>
      <c r="OU28" s="50">
        <v>8.4473802400000011</v>
      </c>
      <c r="OV28" s="50">
        <v>6.5185861099999993</v>
      </c>
      <c r="OW28" s="50"/>
      <c r="OX28" s="50">
        <v>6.5185861099999993</v>
      </c>
      <c r="OY28" s="94">
        <v>5.8317595000000004</v>
      </c>
      <c r="OZ28" s="50"/>
      <c r="PA28" s="94">
        <v>5.8317595000000004</v>
      </c>
      <c r="PB28" s="50">
        <v>5.8681167099999998</v>
      </c>
      <c r="PC28" s="50"/>
      <c r="PD28" s="50">
        <v>5.8681167099999998</v>
      </c>
      <c r="PE28" s="50">
        <v>5.8004613000000003</v>
      </c>
      <c r="PF28" s="50"/>
      <c r="PG28" s="50">
        <v>5.8004613000000003</v>
      </c>
      <c r="PH28" s="50">
        <v>6.2878124399999997</v>
      </c>
      <c r="PI28" s="50"/>
      <c r="PJ28" s="50">
        <v>6.2878124399999997</v>
      </c>
      <c r="PK28" s="50">
        <v>8.8249214300000016</v>
      </c>
      <c r="PL28" s="50"/>
      <c r="PM28" s="50">
        <v>8.8249214300000016</v>
      </c>
      <c r="PN28" s="50">
        <f t="shared" si="68"/>
        <v>87.860053239999985</v>
      </c>
      <c r="PO28" s="50">
        <f t="shared" si="42"/>
        <v>0</v>
      </c>
      <c r="PP28" s="50">
        <f t="shared" si="43"/>
        <v>87.860053239999985</v>
      </c>
      <c r="PQ28" s="50">
        <f t="shared" si="9"/>
        <v>87.860051999999996</v>
      </c>
      <c r="PR28" s="50"/>
      <c r="PS28" s="50">
        <v>87.860051999999996</v>
      </c>
      <c r="PT28" s="50">
        <v>5.6276850499999993</v>
      </c>
      <c r="PU28" s="50"/>
      <c r="PV28" s="50">
        <v>5.6276850499999993</v>
      </c>
      <c r="PW28" s="50">
        <v>4.9668836300000008</v>
      </c>
      <c r="PX28" s="50"/>
      <c r="PY28" s="50">
        <v>4.9668836300000008</v>
      </c>
      <c r="PZ28" s="50">
        <v>6.3840181500000011</v>
      </c>
      <c r="QA28" s="50"/>
      <c r="QB28" s="50">
        <v>6.3840181500000011</v>
      </c>
      <c r="QC28" s="50">
        <v>3.6746650500000002</v>
      </c>
      <c r="QD28" s="50"/>
      <c r="QE28" s="50">
        <v>3.6746650500000002</v>
      </c>
      <c r="QF28" s="50">
        <v>4.0247763900000004</v>
      </c>
      <c r="QG28" s="50"/>
      <c r="QH28" s="50">
        <v>4.0247763900000004</v>
      </c>
      <c r="QI28" s="50">
        <v>4.399385950000001</v>
      </c>
      <c r="QJ28" s="50"/>
      <c r="QK28" s="50">
        <v>4.399385950000001</v>
      </c>
      <c r="QL28" s="50">
        <v>4.2794576500000003</v>
      </c>
      <c r="QM28" s="50"/>
      <c r="QN28" s="50">
        <v>4.2794576500000003</v>
      </c>
      <c r="QO28" s="50">
        <v>4.9301913899999992</v>
      </c>
      <c r="QP28" s="50"/>
      <c r="QQ28" s="50">
        <v>4.9301913899999992</v>
      </c>
      <c r="QR28" s="50">
        <v>4.1458522699999998</v>
      </c>
      <c r="QS28" s="50"/>
      <c r="QT28" s="50">
        <v>4.1458522699999998</v>
      </c>
      <c r="QU28" s="50">
        <v>5.0929069199999999</v>
      </c>
      <c r="QV28" s="50"/>
      <c r="QW28" s="50">
        <v>5.0929069199999999</v>
      </c>
      <c r="QX28" s="50">
        <v>4.8730808799999998</v>
      </c>
      <c r="QY28" s="50"/>
      <c r="QZ28" s="50">
        <v>4.8730808799999998</v>
      </c>
      <c r="RA28" s="50">
        <v>4.4904552500000001</v>
      </c>
      <c r="RB28" s="50"/>
      <c r="RC28" s="50">
        <v>4.4904552500000001</v>
      </c>
      <c r="RD28" s="50">
        <f t="shared" si="52"/>
        <v>56.889358579999993</v>
      </c>
      <c r="RE28" s="50">
        <f t="shared" si="53"/>
        <v>0</v>
      </c>
      <c r="RF28" s="50">
        <f t="shared" si="54"/>
        <v>56.889358579999993</v>
      </c>
      <c r="RG28" s="50">
        <f t="shared" si="11"/>
        <v>56.889358000000001</v>
      </c>
      <c r="RH28" s="50"/>
      <c r="RI28" s="50">
        <v>56.889358000000001</v>
      </c>
      <c r="RJ28" s="50">
        <v>4.5778784099999994</v>
      </c>
      <c r="RK28" s="50"/>
      <c r="RL28" s="50">
        <v>4.5778784099999994</v>
      </c>
      <c r="RM28" s="50">
        <v>4.8174430199999998</v>
      </c>
      <c r="RN28" s="50"/>
      <c r="RO28" s="50">
        <v>4.8174430199999998</v>
      </c>
      <c r="RP28" s="50">
        <v>6.1570978599999995</v>
      </c>
      <c r="RQ28" s="50"/>
      <c r="RR28" s="50">
        <v>6.1570978599999995</v>
      </c>
      <c r="RS28" s="50">
        <v>5.83326543</v>
      </c>
      <c r="RT28" s="50"/>
      <c r="RU28" s="50">
        <v>5.83326543</v>
      </c>
      <c r="RV28" s="50">
        <v>5.20807427</v>
      </c>
      <c r="RW28" s="50"/>
      <c r="RX28" s="50">
        <v>5.20807427</v>
      </c>
      <c r="RY28" s="50">
        <v>4.3978706399999998</v>
      </c>
      <c r="RZ28" s="50"/>
      <c r="SA28" s="50">
        <v>4.3978706399999998</v>
      </c>
      <c r="SB28" s="50">
        <v>4.8375660600000003</v>
      </c>
      <c r="SC28" s="50"/>
      <c r="SD28" s="50">
        <v>4.8375660600000003</v>
      </c>
      <c r="SE28" s="50">
        <v>4.5600166999999994</v>
      </c>
      <c r="SF28" s="50"/>
      <c r="SG28" s="50">
        <v>4.5600166999999994</v>
      </c>
      <c r="SH28" s="50">
        <v>4.5432751199999997</v>
      </c>
      <c r="SI28" s="50"/>
      <c r="SJ28" s="50">
        <v>4.5432751199999997</v>
      </c>
      <c r="SK28" s="50">
        <v>6.0689853099999995</v>
      </c>
      <c r="SL28" s="50"/>
      <c r="SM28" s="50">
        <v>6.0689853099999995</v>
      </c>
      <c r="SN28" s="50">
        <v>5.6977708099999989</v>
      </c>
      <c r="SO28" s="50"/>
      <c r="SP28" s="50">
        <v>5.6977708099999989</v>
      </c>
      <c r="SQ28" s="50">
        <v>5.5548312600000003</v>
      </c>
      <c r="SR28" s="50"/>
      <c r="SS28" s="50">
        <v>5.5548312600000003</v>
      </c>
      <c r="ST28" s="50">
        <f t="shared" si="55"/>
        <v>62.254074890000005</v>
      </c>
      <c r="SU28" s="50">
        <f t="shared" si="65"/>
        <v>0</v>
      </c>
      <c r="SV28" s="50">
        <f t="shared" si="56"/>
        <v>62.254074890000005</v>
      </c>
      <c r="SW28" s="50">
        <f t="shared" si="44"/>
        <v>62.254075</v>
      </c>
      <c r="SX28" s="50"/>
      <c r="SY28" s="50">
        <v>62.254075</v>
      </c>
      <c r="SZ28" s="50">
        <v>8.3573237300000009</v>
      </c>
      <c r="TA28" s="50"/>
      <c r="TB28" s="50">
        <v>8.3573237300000009</v>
      </c>
      <c r="TC28" s="50">
        <v>5.3797267999999994</v>
      </c>
      <c r="TD28" s="50"/>
      <c r="TE28" s="50">
        <v>5.3797267999999994</v>
      </c>
      <c r="TF28" s="50">
        <v>5.2389274500000003</v>
      </c>
      <c r="TG28" s="50"/>
      <c r="TH28" s="50">
        <v>5.2389274500000003</v>
      </c>
      <c r="TI28" s="50">
        <v>6.5289146599999999</v>
      </c>
      <c r="TJ28" s="50"/>
      <c r="TK28" s="50">
        <v>6.5289146599999999</v>
      </c>
      <c r="TL28" s="50">
        <v>5.0880901600000001</v>
      </c>
      <c r="TM28" s="50"/>
      <c r="TN28" s="50">
        <v>5.0880901600000001</v>
      </c>
      <c r="TO28" s="50">
        <v>4.5080626400000003</v>
      </c>
      <c r="TP28" s="50"/>
      <c r="TQ28" s="50">
        <v>4.5080626400000003</v>
      </c>
      <c r="TR28" s="50">
        <v>6.2651030500000005</v>
      </c>
      <c r="TS28" s="50"/>
      <c r="TT28" s="50">
        <v>6.2651030500000005</v>
      </c>
      <c r="TU28" s="50">
        <v>4.0575510699999997</v>
      </c>
      <c r="TV28" s="50"/>
      <c r="TW28" s="50">
        <v>4.0575510699999997</v>
      </c>
      <c r="TX28" s="50">
        <v>4.7752739399999999</v>
      </c>
      <c r="TY28" s="50"/>
      <c r="TZ28" s="50">
        <v>4.7752739399999999</v>
      </c>
      <c r="UA28" s="50">
        <v>5.45955952</v>
      </c>
      <c r="UB28" s="50"/>
      <c r="UC28" s="50">
        <v>5.45955952</v>
      </c>
      <c r="UD28" s="50">
        <v>6.46647645</v>
      </c>
      <c r="UE28" s="50"/>
      <c r="UF28" s="50">
        <v>6.46647645</v>
      </c>
      <c r="UG28" s="50">
        <v>13.46313239</v>
      </c>
      <c r="UH28" s="50"/>
      <c r="UI28" s="50">
        <v>13.46313239</v>
      </c>
      <c r="UJ28" s="50">
        <f t="shared" si="45"/>
        <v>75.588141860000007</v>
      </c>
      <c r="UK28" s="50">
        <f t="shared" si="15"/>
        <v>0</v>
      </c>
      <c r="UL28" s="50">
        <f t="shared" si="16"/>
        <v>75.588141860000007</v>
      </c>
      <c r="UM28" s="50">
        <v>6.1609492799999996</v>
      </c>
      <c r="UN28" s="50"/>
      <c r="UO28" s="50">
        <v>6.1609492799999996</v>
      </c>
      <c r="UP28" s="50">
        <v>6.0740649300000005</v>
      </c>
      <c r="UQ28" s="50"/>
      <c r="UR28" s="50">
        <v>6.0740649300000005</v>
      </c>
      <c r="US28" s="50">
        <v>4.7769998500000002</v>
      </c>
      <c r="UT28" s="50"/>
      <c r="UU28" s="50">
        <v>4.7769998500000002</v>
      </c>
      <c r="UV28" s="50">
        <v>6.2303940300000002</v>
      </c>
      <c r="UW28" s="50"/>
      <c r="UX28" s="50">
        <v>6.2303940300000002</v>
      </c>
      <c r="UY28" s="50"/>
      <c r="UZ28" s="50"/>
      <c r="VA28" s="50"/>
      <c r="VB28" s="50"/>
      <c r="VC28" s="50"/>
      <c r="VD28" s="50"/>
      <c r="VE28" s="50"/>
      <c r="VF28" s="50"/>
      <c r="VG28" s="50"/>
      <c r="VH28" s="50"/>
      <c r="VI28" s="50"/>
      <c r="VJ28" s="50"/>
      <c r="VK28" s="50"/>
      <c r="VL28" s="50"/>
      <c r="VM28" s="50"/>
      <c r="VN28" s="50"/>
      <c r="VO28" s="50"/>
      <c r="VP28" s="50"/>
      <c r="VQ28" s="50"/>
      <c r="VR28" s="50"/>
      <c r="VS28" s="50"/>
      <c r="VT28" s="50"/>
      <c r="VU28" s="50"/>
      <c r="VV28" s="50"/>
      <c r="VW28" s="276">
        <f t="shared" si="57"/>
        <v>25.504892999999999</v>
      </c>
      <c r="VX28" s="292">
        <f t="shared" si="58"/>
        <v>0</v>
      </c>
      <c r="VY28" s="292">
        <f t="shared" si="59"/>
        <v>25.504892999999999</v>
      </c>
      <c r="VZ28" s="276">
        <f t="shared" si="60"/>
        <v>23.242408000000001</v>
      </c>
      <c r="WA28" s="292">
        <f t="shared" si="61"/>
        <v>0</v>
      </c>
      <c r="WB28" s="292">
        <f t="shared" si="62"/>
        <v>23.242408000000001</v>
      </c>
      <c r="WC28" s="277">
        <f t="shared" si="63"/>
        <v>-2.2624849999999981</v>
      </c>
      <c r="WD28" s="277">
        <f>WB28/VY28*100-100</f>
        <v>-8.870788048395255</v>
      </c>
    </row>
    <row r="29" spans="1:602" s="12" customFormat="1" ht="21" hidden="1" customHeight="1">
      <c r="A29" s="77" t="s">
        <v>83</v>
      </c>
      <c r="B29" s="12" t="s">
        <v>84</v>
      </c>
      <c r="C29" s="77" t="s">
        <v>83</v>
      </c>
      <c r="D29" s="50" t="s">
        <v>46</v>
      </c>
      <c r="E29" s="44" t="s">
        <v>46</v>
      </c>
      <c r="F29" s="44" t="s">
        <v>46</v>
      </c>
      <c r="G29" s="44" t="s">
        <v>46</v>
      </c>
      <c r="H29" s="44" t="s">
        <v>46</v>
      </c>
      <c r="I29" s="44" t="s">
        <v>46</v>
      </c>
      <c r="J29" s="44" t="s">
        <v>46</v>
      </c>
      <c r="K29" s="44" t="s">
        <v>46</v>
      </c>
      <c r="L29" s="44" t="s">
        <v>46</v>
      </c>
      <c r="M29" s="44" t="s">
        <v>46</v>
      </c>
      <c r="N29" s="44" t="s">
        <v>46</v>
      </c>
      <c r="O29" s="44" t="s">
        <v>46</v>
      </c>
      <c r="P29" s="44" t="s">
        <v>46</v>
      </c>
      <c r="Q29" s="44" t="s">
        <v>46</v>
      </c>
      <c r="R29" s="44" t="s">
        <v>46</v>
      </c>
      <c r="S29" s="44" t="s">
        <v>46</v>
      </c>
      <c r="T29" s="44">
        <v>0</v>
      </c>
      <c r="U29" s="44">
        <v>0</v>
      </c>
      <c r="V29" s="44">
        <v>0</v>
      </c>
      <c r="W29" s="44" t="s">
        <v>46</v>
      </c>
      <c r="X29" s="44" t="s">
        <v>46</v>
      </c>
      <c r="Y29" s="44" t="s">
        <v>46</v>
      </c>
      <c r="Z29" s="44" t="s">
        <v>46</v>
      </c>
      <c r="AA29" s="44" t="s">
        <v>46</v>
      </c>
      <c r="AB29" s="44" t="s">
        <v>46</v>
      </c>
      <c r="AC29" s="44" t="s">
        <v>46</v>
      </c>
      <c r="AD29" s="44" t="s">
        <v>46</v>
      </c>
      <c r="AE29" s="44" t="s">
        <v>46</v>
      </c>
      <c r="AF29" s="44" t="s">
        <v>46</v>
      </c>
      <c r="AG29" s="44" t="s">
        <v>46</v>
      </c>
      <c r="AH29" s="44" t="s">
        <v>46</v>
      </c>
      <c r="AI29" s="44" t="s">
        <v>46</v>
      </c>
      <c r="AJ29" s="44">
        <f t="shared" si="46"/>
        <v>0</v>
      </c>
      <c r="AK29" s="44">
        <v>0</v>
      </c>
      <c r="AL29" s="44">
        <v>0</v>
      </c>
      <c r="AM29" s="44" t="s">
        <v>46</v>
      </c>
      <c r="AN29" s="44" t="s">
        <v>46</v>
      </c>
      <c r="AO29" s="44" t="s">
        <v>46</v>
      </c>
      <c r="AP29" s="44" t="s">
        <v>46</v>
      </c>
      <c r="AQ29" s="44" t="s">
        <v>46</v>
      </c>
      <c r="AR29" s="44" t="s">
        <v>46</v>
      </c>
      <c r="AS29" s="44" t="s">
        <v>46</v>
      </c>
      <c r="AT29" s="44" t="s">
        <v>46</v>
      </c>
      <c r="AU29" s="44" t="s">
        <v>46</v>
      </c>
      <c r="AV29" s="44" t="s">
        <v>46</v>
      </c>
      <c r="AW29" s="44" t="s">
        <v>46</v>
      </c>
      <c r="AX29" s="44" t="s">
        <v>46</v>
      </c>
      <c r="AY29" s="44" t="s">
        <v>46</v>
      </c>
      <c r="AZ29" s="44" t="s">
        <v>46</v>
      </c>
      <c r="BA29" s="44" t="s">
        <v>46</v>
      </c>
      <c r="BB29" s="44" t="s">
        <v>46</v>
      </c>
      <c r="BC29" s="44" t="s">
        <v>46</v>
      </c>
      <c r="BD29" s="44" t="s">
        <v>46</v>
      </c>
      <c r="BE29" s="44" t="s">
        <v>46</v>
      </c>
      <c r="BF29" s="44"/>
      <c r="BG29" s="50"/>
      <c r="BH29" s="118">
        <f t="shared" si="74"/>
        <v>0</v>
      </c>
      <c r="BI29" s="45"/>
      <c r="BJ29" s="45"/>
      <c r="BK29" s="50">
        <f t="shared" si="75"/>
        <v>0</v>
      </c>
      <c r="BL29" s="50">
        <v>2.7927059999999999</v>
      </c>
      <c r="BM29" s="50"/>
      <c r="BN29" s="50">
        <f t="shared" si="76"/>
        <v>2.7927059999999999</v>
      </c>
      <c r="BO29" s="50">
        <v>2.5697930000000002</v>
      </c>
      <c r="BP29" s="50"/>
      <c r="BQ29" s="50">
        <f t="shared" si="77"/>
        <v>2.5697930000000002</v>
      </c>
      <c r="BR29" s="50">
        <v>2.746076</v>
      </c>
      <c r="BS29" s="50"/>
      <c r="BT29" s="50">
        <f t="shared" si="78"/>
        <v>2.746076</v>
      </c>
      <c r="BU29" s="50">
        <v>2.5419719999999999</v>
      </c>
      <c r="BV29" s="50"/>
      <c r="BW29" s="50">
        <f t="shared" si="79"/>
        <v>2.5419719999999999</v>
      </c>
      <c r="BX29" s="50">
        <v>2.5598619999999999</v>
      </c>
      <c r="BY29" s="50"/>
      <c r="BZ29" s="50">
        <f t="shared" si="80"/>
        <v>2.5598619999999999</v>
      </c>
      <c r="CA29" s="50">
        <v>2.3077019999999999</v>
      </c>
      <c r="CB29" s="50"/>
      <c r="CC29" s="50">
        <f t="shared" si="81"/>
        <v>2.3077019999999999</v>
      </c>
      <c r="CD29" s="50">
        <v>2.3262954200000001</v>
      </c>
      <c r="CE29" s="50"/>
      <c r="CF29" s="50">
        <f t="shared" si="82"/>
        <v>2.3262954200000001</v>
      </c>
      <c r="CG29" s="50">
        <v>2.2600144800000002</v>
      </c>
      <c r="CH29" s="50"/>
      <c r="CI29" s="50">
        <f t="shared" si="83"/>
        <v>2.2600144800000002</v>
      </c>
      <c r="CJ29" s="45">
        <v>2.2820726499999999</v>
      </c>
      <c r="CK29" s="45"/>
      <c r="CL29" s="50">
        <f t="shared" si="84"/>
        <v>2.2820726499999999</v>
      </c>
      <c r="CM29" s="42">
        <v>2.59003615</v>
      </c>
      <c r="CN29" s="45"/>
      <c r="CO29" s="50">
        <f t="shared" si="85"/>
        <v>2.59003615</v>
      </c>
      <c r="CP29" s="50">
        <f t="shared" si="24"/>
        <v>24.976529699999997</v>
      </c>
      <c r="CQ29" s="50">
        <f t="shared" si="25"/>
        <v>0</v>
      </c>
      <c r="CR29" s="50">
        <f t="shared" si="26"/>
        <v>24.976529699999997</v>
      </c>
      <c r="CS29" s="45">
        <f t="shared" si="2"/>
        <v>24.97653</v>
      </c>
      <c r="CT29" s="44"/>
      <c r="CU29" s="44">
        <v>24.97653</v>
      </c>
      <c r="CV29" s="42">
        <v>2.6578912099999998</v>
      </c>
      <c r="CW29" s="45"/>
      <c r="CX29" s="50">
        <f t="shared" si="86"/>
        <v>2.6578912099999998</v>
      </c>
      <c r="CY29" s="42">
        <v>2.66595227</v>
      </c>
      <c r="CZ29" s="45"/>
      <c r="DA29" s="50">
        <v>2.66595227</v>
      </c>
      <c r="DB29" s="42">
        <v>2.8182498199999997</v>
      </c>
      <c r="DC29" s="45"/>
      <c r="DD29" s="50">
        <v>2.8182498199999997</v>
      </c>
      <c r="DE29" s="42">
        <v>2.7897721899999999</v>
      </c>
      <c r="DF29" s="45"/>
      <c r="DG29" s="50">
        <v>2.7897721899999999</v>
      </c>
      <c r="DH29" s="42">
        <v>2.7885663700000003</v>
      </c>
      <c r="DI29" s="45"/>
      <c r="DJ29" s="50">
        <v>2.7885663700000003</v>
      </c>
      <c r="DK29" s="42">
        <v>2.7059291400000003</v>
      </c>
      <c r="DL29" s="45"/>
      <c r="DM29" s="50">
        <v>2.7059291400000003</v>
      </c>
      <c r="DN29" s="42">
        <v>2.6090785299999997</v>
      </c>
      <c r="DO29" s="45"/>
      <c r="DP29" s="50">
        <v>2.6090785299999997</v>
      </c>
      <c r="DQ29" s="42">
        <v>2.36219599</v>
      </c>
      <c r="DR29" s="45"/>
      <c r="DS29" s="50">
        <v>2.36219599</v>
      </c>
      <c r="DT29" s="42">
        <v>2.51282681</v>
      </c>
      <c r="DU29" s="45"/>
      <c r="DV29" s="50">
        <v>2.51282681</v>
      </c>
      <c r="DW29" s="42">
        <v>2.2583141200000001</v>
      </c>
      <c r="DX29" s="45"/>
      <c r="DY29" s="50">
        <v>2.2583141200000001</v>
      </c>
      <c r="DZ29" s="42">
        <v>2.4182676299999999</v>
      </c>
      <c r="EA29" s="45"/>
      <c r="EB29" s="50">
        <v>2.4182676299999999</v>
      </c>
      <c r="EC29" s="42">
        <v>2.44323508</v>
      </c>
      <c r="ED29" s="45"/>
      <c r="EE29" s="50">
        <v>2.44323508</v>
      </c>
      <c r="EF29" s="50">
        <f t="shared" si="27"/>
        <v>31.030279159999999</v>
      </c>
      <c r="EG29" s="50">
        <f t="shared" si="28"/>
        <v>0</v>
      </c>
      <c r="EH29" s="50">
        <f t="shared" si="29"/>
        <v>31.030279159999999</v>
      </c>
      <c r="EI29" s="50">
        <f t="shared" si="70"/>
        <v>31.030279159999999</v>
      </c>
      <c r="EJ29" s="50"/>
      <c r="EK29" s="50">
        <v>31.030279159999999</v>
      </c>
      <c r="EL29" s="50">
        <v>2.50069608</v>
      </c>
      <c r="EM29" s="50"/>
      <c r="EN29" s="50">
        <v>2.50069608</v>
      </c>
      <c r="EO29" s="50">
        <v>2.7211892999999998</v>
      </c>
      <c r="EP29" s="50"/>
      <c r="EQ29" s="50">
        <v>2.7211892999999998</v>
      </c>
      <c r="ER29" s="50">
        <v>2.6356979300000001</v>
      </c>
      <c r="ES29" s="50"/>
      <c r="ET29" s="50">
        <v>2.6356979300000001</v>
      </c>
      <c r="EU29" s="50">
        <v>2.6168763099999999</v>
      </c>
      <c r="EV29" s="50"/>
      <c r="EW29" s="50">
        <v>2.6168763099999999</v>
      </c>
      <c r="EX29" s="50">
        <v>2.6647590800000001</v>
      </c>
      <c r="EY29" s="50"/>
      <c r="EZ29" s="50">
        <v>2.6647590800000001</v>
      </c>
      <c r="FA29" s="50">
        <v>2.4488686299999998</v>
      </c>
      <c r="FB29" s="50"/>
      <c r="FC29" s="50">
        <v>2.4488686299999998</v>
      </c>
      <c r="FD29" s="50">
        <v>2.2670969100000002</v>
      </c>
      <c r="FE29" s="50"/>
      <c r="FF29" s="50">
        <v>2.2670969100000002</v>
      </c>
      <c r="FG29" s="50">
        <v>2.2620278599999999</v>
      </c>
      <c r="FH29" s="50"/>
      <c r="FI29" s="50">
        <v>2.2620278599999999</v>
      </c>
      <c r="FJ29" s="50">
        <v>2.1948775699999996</v>
      </c>
      <c r="FK29" s="50"/>
      <c r="FL29" s="50">
        <v>2.1948775699999996</v>
      </c>
      <c r="FM29" s="50">
        <v>2.3972796499999998</v>
      </c>
      <c r="FN29" s="50"/>
      <c r="FO29" s="50">
        <v>2.3972796499999998</v>
      </c>
      <c r="FP29" s="50">
        <v>2.27393548</v>
      </c>
      <c r="FQ29" s="50"/>
      <c r="FR29" s="50">
        <v>2.27393548</v>
      </c>
      <c r="FS29" s="50">
        <v>2.25213785</v>
      </c>
      <c r="FT29" s="50"/>
      <c r="FU29" s="50">
        <v>2.25213785</v>
      </c>
      <c r="FV29" s="50">
        <f t="shared" si="30"/>
        <v>29.23544265</v>
      </c>
      <c r="FW29" s="50">
        <f t="shared" si="31"/>
        <v>0</v>
      </c>
      <c r="FX29" s="50">
        <f t="shared" si="32"/>
        <v>29.23544265</v>
      </c>
      <c r="FY29" s="50">
        <f t="shared" si="71"/>
        <v>29.235443</v>
      </c>
      <c r="FZ29" s="50"/>
      <c r="GA29" s="50">
        <v>29.235443</v>
      </c>
      <c r="GB29" s="50">
        <v>2.5956331499999998</v>
      </c>
      <c r="GC29" s="50"/>
      <c r="GD29" s="50">
        <v>2.5956331499999998</v>
      </c>
      <c r="GE29" s="50">
        <v>2.7150087300000001</v>
      </c>
      <c r="GF29" s="50"/>
      <c r="GG29" s="50">
        <v>2.7150087300000001</v>
      </c>
      <c r="GH29" s="50">
        <v>2.6297472799999997</v>
      </c>
      <c r="GI29" s="50"/>
      <c r="GJ29" s="50">
        <v>2.6297472799999997</v>
      </c>
      <c r="GK29" s="50">
        <v>2.6166387799999997</v>
      </c>
      <c r="GL29" s="50"/>
      <c r="GM29" s="50">
        <v>2.6166387799999997</v>
      </c>
      <c r="GN29" s="50">
        <v>2.7685647700000002</v>
      </c>
      <c r="GO29" s="50"/>
      <c r="GP29" s="50">
        <v>2.7685647700000002</v>
      </c>
      <c r="GQ29" s="50">
        <v>2.6363543700000003</v>
      </c>
      <c r="GR29" s="50"/>
      <c r="GS29" s="50">
        <v>2.6363543700000003</v>
      </c>
      <c r="GT29" s="50">
        <v>2.5531593399999997</v>
      </c>
      <c r="GU29" s="50"/>
      <c r="GV29" s="50">
        <v>2.5531593399999997</v>
      </c>
      <c r="GW29" s="50">
        <v>2.5457564700000002</v>
      </c>
      <c r="GX29" s="50"/>
      <c r="GY29" s="50">
        <v>2.5457564700000002</v>
      </c>
      <c r="GZ29" s="50">
        <v>2.4111152900000001</v>
      </c>
      <c r="HA29" s="50"/>
      <c r="HB29" s="50">
        <v>2.4111152900000001</v>
      </c>
      <c r="HC29" s="50">
        <v>2.4333384100000002</v>
      </c>
      <c r="HD29" s="50"/>
      <c r="HE29" s="50">
        <v>2.4333384100000002</v>
      </c>
      <c r="HF29" s="50">
        <v>2.4561539799999998</v>
      </c>
      <c r="HG29" s="50"/>
      <c r="HH29" s="50">
        <v>2.4561539799999998</v>
      </c>
      <c r="HI29" s="50">
        <v>2.7021582299999998</v>
      </c>
      <c r="HJ29" s="50"/>
      <c r="HK29" s="50">
        <v>2.7021582299999998</v>
      </c>
      <c r="HL29" s="50">
        <f t="shared" si="33"/>
        <v>31.063628800000004</v>
      </c>
      <c r="HM29" s="50">
        <f t="shared" si="34"/>
        <v>0</v>
      </c>
      <c r="HN29" s="50">
        <f t="shared" si="35"/>
        <v>31.063628800000004</v>
      </c>
      <c r="HO29" s="50">
        <f t="shared" si="3"/>
        <v>31.063628999999999</v>
      </c>
      <c r="HP29" s="50"/>
      <c r="HQ29" s="50">
        <v>31.063628999999999</v>
      </c>
      <c r="HR29" s="50">
        <v>2.6419992099999998</v>
      </c>
      <c r="HS29" s="50">
        <v>0</v>
      </c>
      <c r="HT29" s="50">
        <v>2.6419992099999998</v>
      </c>
      <c r="HU29" s="50">
        <v>2.6259112599999996</v>
      </c>
      <c r="HV29" s="50">
        <v>0</v>
      </c>
      <c r="HW29" s="50">
        <v>2.6259112599999996</v>
      </c>
      <c r="HX29" s="50">
        <v>0</v>
      </c>
      <c r="HY29" s="50">
        <v>0</v>
      </c>
      <c r="HZ29" s="50">
        <v>0</v>
      </c>
      <c r="IA29" s="50">
        <v>-1.0014729999999999E-2</v>
      </c>
      <c r="IB29" s="50">
        <v>0</v>
      </c>
      <c r="IC29" s="50">
        <v>-1.0014729999999999E-2</v>
      </c>
      <c r="ID29" s="50">
        <v>0</v>
      </c>
      <c r="IE29" s="50">
        <v>0</v>
      </c>
      <c r="IF29" s="50">
        <v>0</v>
      </c>
      <c r="IG29" s="50">
        <v>0</v>
      </c>
      <c r="IH29" s="50">
        <v>0</v>
      </c>
      <c r="II29" s="50">
        <v>0</v>
      </c>
      <c r="IJ29" s="50">
        <v>0</v>
      </c>
      <c r="IK29" s="50">
        <v>0</v>
      </c>
      <c r="IL29" s="50">
        <v>0</v>
      </c>
      <c r="IM29" s="50">
        <v>0</v>
      </c>
      <c r="IN29" s="50">
        <v>0</v>
      </c>
      <c r="IO29" s="50">
        <v>0</v>
      </c>
      <c r="IP29" s="50">
        <v>0</v>
      </c>
      <c r="IQ29" s="50">
        <v>0</v>
      </c>
      <c r="IR29" s="50">
        <v>0</v>
      </c>
      <c r="IS29" s="50">
        <v>0</v>
      </c>
      <c r="IT29" s="50">
        <v>0</v>
      </c>
      <c r="IU29" s="50">
        <v>0</v>
      </c>
      <c r="IV29" s="50">
        <v>0</v>
      </c>
      <c r="IW29" s="50">
        <v>0</v>
      </c>
      <c r="IX29" s="50">
        <v>0</v>
      </c>
      <c r="IY29" s="50">
        <v>0</v>
      </c>
      <c r="IZ29" s="50">
        <v>0</v>
      </c>
      <c r="JA29" s="50">
        <v>0</v>
      </c>
      <c r="JB29" s="50">
        <f t="shared" si="36"/>
        <v>5.2578957399999995</v>
      </c>
      <c r="JC29" s="50">
        <f t="shared" si="37"/>
        <v>0</v>
      </c>
      <c r="JD29" s="50">
        <f t="shared" si="38"/>
        <v>5.2578957399999995</v>
      </c>
      <c r="JE29" s="50">
        <f t="shared" si="4"/>
        <v>5.2578959999999997</v>
      </c>
      <c r="JF29" s="50"/>
      <c r="JG29" s="50">
        <v>5.2578959999999997</v>
      </c>
      <c r="JH29" s="50">
        <v>0</v>
      </c>
      <c r="JI29" s="50">
        <v>0</v>
      </c>
      <c r="JJ29" s="50">
        <v>0</v>
      </c>
      <c r="JK29" s="50">
        <v>0</v>
      </c>
      <c r="JL29" s="50">
        <v>0</v>
      </c>
      <c r="JM29" s="50">
        <v>0</v>
      </c>
      <c r="JN29" s="50">
        <v>0</v>
      </c>
      <c r="JO29" s="50">
        <v>0</v>
      </c>
      <c r="JP29" s="50">
        <v>0</v>
      </c>
      <c r="JQ29" s="50">
        <v>0</v>
      </c>
      <c r="JR29" s="50">
        <v>0</v>
      </c>
      <c r="JS29" s="50">
        <v>0</v>
      </c>
      <c r="JT29" s="50">
        <v>0</v>
      </c>
      <c r="JU29" s="50">
        <v>0</v>
      </c>
      <c r="JV29" s="50">
        <v>0</v>
      </c>
      <c r="JW29" s="50">
        <v>0</v>
      </c>
      <c r="JX29" s="50">
        <v>0</v>
      </c>
      <c r="JY29" s="50">
        <v>0</v>
      </c>
      <c r="JZ29" s="50">
        <v>0</v>
      </c>
      <c r="KA29" s="50">
        <v>0</v>
      </c>
      <c r="KB29" s="50">
        <v>0</v>
      </c>
      <c r="KC29" s="50">
        <v>0</v>
      </c>
      <c r="KD29" s="50">
        <v>0</v>
      </c>
      <c r="KE29" s="50">
        <v>0</v>
      </c>
      <c r="KF29" s="50">
        <v>0</v>
      </c>
      <c r="KG29" s="50">
        <v>0</v>
      </c>
      <c r="KH29" s="50">
        <v>0</v>
      </c>
      <c r="KI29" s="50">
        <v>0</v>
      </c>
      <c r="KJ29" s="50">
        <v>0</v>
      </c>
      <c r="KK29" s="50">
        <v>0</v>
      </c>
      <c r="KL29" s="50">
        <v>0</v>
      </c>
      <c r="KM29" s="50">
        <v>0</v>
      </c>
      <c r="KN29" s="50">
        <v>0</v>
      </c>
      <c r="KO29" s="50">
        <v>0</v>
      </c>
      <c r="KP29" s="50">
        <v>0</v>
      </c>
      <c r="KQ29" s="50">
        <v>0</v>
      </c>
      <c r="KR29" s="50">
        <f t="shared" si="48"/>
        <v>0</v>
      </c>
      <c r="KS29" s="50">
        <f t="shared" si="39"/>
        <v>0</v>
      </c>
      <c r="KT29" s="50">
        <f t="shared" si="49"/>
        <v>0</v>
      </c>
      <c r="KU29" s="50">
        <f t="shared" si="5"/>
        <v>0</v>
      </c>
      <c r="KV29" s="50"/>
      <c r="KW29" s="50"/>
      <c r="KX29" s="50">
        <v>0</v>
      </c>
      <c r="KY29" s="50">
        <v>0</v>
      </c>
      <c r="KZ29" s="50">
        <v>0</v>
      </c>
      <c r="LA29" s="50">
        <v>0</v>
      </c>
      <c r="LB29" s="50">
        <v>0</v>
      </c>
      <c r="LC29" s="50">
        <v>0</v>
      </c>
      <c r="LE29" s="50">
        <v>0</v>
      </c>
      <c r="LG29" s="50"/>
      <c r="LH29" s="50">
        <v>0</v>
      </c>
      <c r="LI29" s="50"/>
      <c r="LJ29" s="174">
        <v>0</v>
      </c>
      <c r="LK29" s="50">
        <v>0</v>
      </c>
      <c r="LL29" s="174">
        <v>0</v>
      </c>
      <c r="LM29" s="50">
        <v>0</v>
      </c>
      <c r="LN29" s="50">
        <v>0</v>
      </c>
      <c r="LO29" s="50">
        <v>0</v>
      </c>
      <c r="LP29" s="50">
        <v>0</v>
      </c>
      <c r="LQ29" s="50">
        <v>0</v>
      </c>
      <c r="LR29" s="183"/>
      <c r="LS29" s="50">
        <v>0</v>
      </c>
      <c r="LT29" s="50">
        <v>0</v>
      </c>
      <c r="LV29" s="44">
        <v>0</v>
      </c>
      <c r="LW29" s="50">
        <v>0</v>
      </c>
      <c r="LX29" s="50">
        <v>0</v>
      </c>
      <c r="LY29" s="179"/>
      <c r="LZ29" s="179"/>
      <c r="MA29" s="179"/>
      <c r="MB29" s="179"/>
      <c r="MC29" s="50">
        <v>0</v>
      </c>
      <c r="ME29" s="50"/>
      <c r="MF29" s="50">
        <v>0</v>
      </c>
      <c r="MG29" s="50"/>
      <c r="MH29" s="50">
        <f t="shared" si="66"/>
        <v>0</v>
      </c>
      <c r="MI29" s="50">
        <f t="shared" si="50"/>
        <v>0</v>
      </c>
      <c r="MJ29" s="50">
        <f t="shared" si="51"/>
        <v>0</v>
      </c>
      <c r="MK29" s="50">
        <f t="shared" si="7"/>
        <v>0</v>
      </c>
      <c r="ML29" s="50"/>
      <c r="MM29" s="50"/>
      <c r="MN29" s="50"/>
      <c r="MO29" s="50">
        <v>0</v>
      </c>
      <c r="MP29" s="50"/>
      <c r="MQ29" s="50">
        <v>0</v>
      </c>
      <c r="MR29" s="50">
        <v>0</v>
      </c>
      <c r="MS29" s="50">
        <v>0</v>
      </c>
      <c r="MT29" s="50">
        <v>0</v>
      </c>
      <c r="MU29" s="50">
        <v>0</v>
      </c>
      <c r="MV29" s="50">
        <v>0</v>
      </c>
      <c r="MW29" s="50"/>
      <c r="MX29" s="50">
        <v>0</v>
      </c>
      <c r="MY29" s="50"/>
      <c r="MZ29" s="50">
        <v>0</v>
      </c>
      <c r="NA29" s="50">
        <v>0</v>
      </c>
      <c r="NB29" s="50">
        <v>0</v>
      </c>
      <c r="NC29" s="50">
        <v>0</v>
      </c>
      <c r="ND29" s="50">
        <v>0</v>
      </c>
      <c r="NE29" s="50">
        <v>0</v>
      </c>
      <c r="NF29" s="50"/>
      <c r="NG29" s="50"/>
      <c r="NH29" s="50"/>
      <c r="NI29" s="50"/>
      <c r="NJ29" s="50"/>
      <c r="NK29" s="50"/>
      <c r="NL29" s="50"/>
      <c r="NM29" s="50"/>
      <c r="NN29" s="50"/>
      <c r="NO29" s="50"/>
      <c r="NP29" s="50"/>
      <c r="NQ29" s="50"/>
      <c r="NR29" s="50"/>
      <c r="NS29" s="50"/>
      <c r="NT29" s="50"/>
      <c r="NU29" s="50">
        <v>0</v>
      </c>
      <c r="NV29" s="50">
        <v>0</v>
      </c>
      <c r="NW29" s="50">
        <v>0</v>
      </c>
      <c r="NX29" s="50">
        <f t="shared" si="67"/>
        <v>0</v>
      </c>
      <c r="NY29" s="50">
        <f t="shared" si="40"/>
        <v>0</v>
      </c>
      <c r="NZ29" s="50">
        <f t="shared" si="41"/>
        <v>0</v>
      </c>
      <c r="OA29" s="50">
        <f t="shared" si="8"/>
        <v>0</v>
      </c>
      <c r="OB29" s="50"/>
      <c r="OC29" s="50"/>
      <c r="OD29" s="50"/>
      <c r="OE29" s="50"/>
      <c r="OF29" s="50"/>
      <c r="OG29" s="50">
        <v>0</v>
      </c>
      <c r="OH29" s="50"/>
      <c r="OI29" s="50"/>
      <c r="OJ29" s="50"/>
      <c r="OK29" s="50"/>
      <c r="OL29" s="50"/>
      <c r="OM29" s="50"/>
      <c r="ON29" s="50"/>
      <c r="OO29" s="50"/>
      <c r="OP29" s="50"/>
      <c r="OQ29" s="50"/>
      <c r="OR29" s="50"/>
      <c r="OS29" s="50"/>
      <c r="OT29" s="50"/>
      <c r="OU29" s="50"/>
      <c r="OV29" s="50"/>
      <c r="OW29" s="50"/>
      <c r="OX29" s="50"/>
      <c r="OY29" s="50"/>
      <c r="OZ29" s="50"/>
      <c r="PA29" s="50"/>
      <c r="PB29" s="50"/>
      <c r="PC29" s="50"/>
      <c r="PD29" s="50"/>
      <c r="PE29" s="50"/>
      <c r="PF29" s="50"/>
      <c r="PG29" s="50"/>
      <c r="PH29" s="50"/>
      <c r="PI29" s="50"/>
      <c r="PJ29" s="50"/>
      <c r="PK29" s="50"/>
      <c r="PL29" s="50"/>
      <c r="PM29" s="50"/>
      <c r="PN29" s="50">
        <f t="shared" si="68"/>
        <v>0</v>
      </c>
      <c r="PO29" s="50">
        <f t="shared" si="42"/>
        <v>0</v>
      </c>
      <c r="PP29" s="50">
        <f t="shared" si="43"/>
        <v>0</v>
      </c>
      <c r="PQ29" s="50">
        <f t="shared" si="9"/>
        <v>0</v>
      </c>
      <c r="PR29" s="50"/>
      <c r="PS29" s="50"/>
      <c r="PT29" s="50"/>
      <c r="PU29" s="50"/>
      <c r="PV29" s="50"/>
      <c r="PW29" s="50"/>
      <c r="PX29" s="50"/>
      <c r="PY29" s="50"/>
      <c r="PZ29" s="50"/>
      <c r="QA29" s="50"/>
      <c r="QB29" s="50"/>
      <c r="QC29" s="50"/>
      <c r="QD29" s="50"/>
      <c r="QE29" s="50"/>
      <c r="QF29" s="50"/>
      <c r="QG29" s="50"/>
      <c r="QH29" s="50"/>
      <c r="QI29" s="50">
        <v>0</v>
      </c>
      <c r="QJ29" s="50"/>
      <c r="QK29" s="50"/>
      <c r="QL29" s="50"/>
      <c r="QM29" s="50"/>
      <c r="QN29" s="50"/>
      <c r="QO29" s="50">
        <v>0</v>
      </c>
      <c r="QP29" s="50"/>
      <c r="QQ29" s="50"/>
      <c r="QR29" s="50"/>
      <c r="QS29" s="50"/>
      <c r="QT29" s="50"/>
      <c r="QU29" s="50">
        <v>0</v>
      </c>
      <c r="QV29" s="50"/>
      <c r="QW29" s="50"/>
      <c r="QX29" s="50">
        <v>0</v>
      </c>
      <c r="QY29" s="50"/>
      <c r="QZ29" s="50"/>
      <c r="RA29" s="50">
        <v>0</v>
      </c>
      <c r="RB29" s="50"/>
      <c r="RC29" s="50"/>
      <c r="RD29" s="50">
        <f t="shared" si="52"/>
        <v>0</v>
      </c>
      <c r="RE29" s="50">
        <f t="shared" si="53"/>
        <v>0</v>
      </c>
      <c r="RF29" s="50">
        <f t="shared" si="54"/>
        <v>0</v>
      </c>
      <c r="RG29" s="50">
        <f t="shared" si="11"/>
        <v>0</v>
      </c>
      <c r="RH29" s="50"/>
      <c r="RI29" s="50"/>
      <c r="RJ29" s="50"/>
      <c r="RK29" s="50"/>
      <c r="RL29" s="50"/>
      <c r="RM29" s="50"/>
      <c r="RN29" s="50"/>
      <c r="RO29" s="50"/>
      <c r="RP29" s="50"/>
      <c r="RQ29" s="50"/>
      <c r="RR29" s="50"/>
      <c r="RS29" s="50">
        <v>0</v>
      </c>
      <c r="RT29" s="50"/>
      <c r="RU29" s="50"/>
      <c r="RV29" s="50">
        <v>0</v>
      </c>
      <c r="RW29" s="50"/>
      <c r="RX29" s="50"/>
      <c r="RY29" s="50">
        <v>0</v>
      </c>
      <c r="RZ29" s="50"/>
      <c r="SA29" s="50"/>
      <c r="SB29" s="50">
        <v>0</v>
      </c>
      <c r="SC29" s="50"/>
      <c r="SD29" s="50"/>
      <c r="SE29" s="50">
        <v>0</v>
      </c>
      <c r="SF29" s="50"/>
      <c r="SG29" s="50"/>
      <c r="SH29" s="50">
        <v>0</v>
      </c>
      <c r="SI29" s="50"/>
      <c r="SJ29" s="50"/>
      <c r="SK29" s="50"/>
      <c r="SL29" s="50"/>
      <c r="SM29" s="50"/>
      <c r="SN29" s="50">
        <v>0</v>
      </c>
      <c r="SO29" s="50"/>
      <c r="SP29" s="50"/>
      <c r="SQ29" s="50">
        <v>0</v>
      </c>
      <c r="SR29" s="50"/>
      <c r="SS29" s="50"/>
      <c r="ST29" s="50">
        <f t="shared" si="55"/>
        <v>0</v>
      </c>
      <c r="SU29" s="50">
        <f t="shared" si="65"/>
        <v>0</v>
      </c>
      <c r="SV29" s="50">
        <f t="shared" si="56"/>
        <v>0</v>
      </c>
      <c r="SW29" s="50">
        <f t="shared" si="44"/>
        <v>0</v>
      </c>
      <c r="SX29" s="50"/>
      <c r="SY29" s="50"/>
      <c r="SZ29" s="50"/>
      <c r="TA29" s="50"/>
      <c r="TB29" s="50"/>
      <c r="TC29" s="50">
        <v>0</v>
      </c>
      <c r="TD29" s="50"/>
      <c r="TE29" s="50"/>
      <c r="TF29" s="50"/>
      <c r="TG29" s="50"/>
      <c r="TH29" s="50">
        <v>0</v>
      </c>
      <c r="TI29" s="50">
        <v>0</v>
      </c>
      <c r="TJ29" s="50"/>
      <c r="TK29" s="50"/>
      <c r="TL29" s="50">
        <v>0</v>
      </c>
      <c r="TM29" s="50"/>
      <c r="TN29" s="50"/>
      <c r="TO29" s="50">
        <v>0</v>
      </c>
      <c r="TP29" s="50"/>
      <c r="TQ29" s="50"/>
      <c r="TR29" s="50">
        <v>0</v>
      </c>
      <c r="TS29" s="50"/>
      <c r="TT29" s="50"/>
      <c r="TU29" s="50">
        <v>0</v>
      </c>
      <c r="TV29" s="50"/>
      <c r="TW29" s="50"/>
      <c r="TX29" s="50">
        <v>0</v>
      </c>
      <c r="TY29" s="50"/>
      <c r="TZ29" s="50"/>
      <c r="UA29" s="50">
        <v>0</v>
      </c>
      <c r="UB29" s="50"/>
      <c r="UC29" s="50"/>
      <c r="UD29" s="50">
        <v>0</v>
      </c>
      <c r="UE29" s="50"/>
      <c r="UF29" s="50"/>
      <c r="UG29" s="50">
        <v>0</v>
      </c>
      <c r="UH29" s="50"/>
      <c r="UI29" s="50"/>
      <c r="UJ29" s="50">
        <f t="shared" si="45"/>
        <v>0</v>
      </c>
      <c r="UK29" s="50">
        <f t="shared" si="15"/>
        <v>0</v>
      </c>
      <c r="UL29" s="50">
        <f t="shared" si="16"/>
        <v>0</v>
      </c>
      <c r="UM29" s="50">
        <v>0</v>
      </c>
      <c r="UN29" s="50"/>
      <c r="UO29" s="50"/>
      <c r="UP29" s="50">
        <v>0</v>
      </c>
      <c r="UQ29" s="50"/>
      <c r="UR29" s="50"/>
      <c r="US29" s="50">
        <v>0</v>
      </c>
      <c r="UT29" s="50"/>
      <c r="UU29" s="50"/>
      <c r="UV29" s="50">
        <v>0</v>
      </c>
      <c r="UW29" s="50"/>
      <c r="UX29" s="50"/>
      <c r="UY29" s="50"/>
      <c r="UZ29" s="50"/>
      <c r="VA29" s="50"/>
      <c r="VB29" s="50"/>
      <c r="VC29" s="50"/>
      <c r="VD29" s="50"/>
      <c r="VE29" s="50"/>
      <c r="VF29" s="50"/>
      <c r="VG29" s="50"/>
      <c r="VH29" s="50"/>
      <c r="VI29" s="50"/>
      <c r="VJ29" s="50"/>
      <c r="VK29" s="50"/>
      <c r="VL29" s="50"/>
      <c r="VM29" s="50"/>
      <c r="VN29" s="50"/>
      <c r="VO29" s="50"/>
      <c r="VP29" s="50"/>
      <c r="VQ29" s="50"/>
      <c r="VR29" s="50"/>
      <c r="VS29" s="50"/>
      <c r="VT29" s="50"/>
      <c r="VU29" s="50"/>
      <c r="VV29" s="50"/>
      <c r="VW29" s="276">
        <f t="shared" si="57"/>
        <v>0</v>
      </c>
      <c r="VX29" s="292">
        <f t="shared" si="58"/>
        <v>0</v>
      </c>
      <c r="VY29" s="292">
        <f t="shared" si="59"/>
        <v>0</v>
      </c>
      <c r="VZ29" s="276">
        <f t="shared" si="60"/>
        <v>0</v>
      </c>
      <c r="WA29" s="292">
        <f t="shared" si="61"/>
        <v>0</v>
      </c>
      <c r="WB29" s="292">
        <f t="shared" si="62"/>
        <v>0</v>
      </c>
      <c r="WC29" s="277">
        <f t="shared" si="63"/>
        <v>0</v>
      </c>
      <c r="WD29" s="277"/>
    </row>
    <row r="30" spans="1:602" s="12" customFormat="1" ht="20.5">
      <c r="A30" s="46" t="s">
        <v>85</v>
      </c>
      <c r="B30" s="12" t="s">
        <v>86</v>
      </c>
      <c r="C30" s="46" t="s">
        <v>87</v>
      </c>
      <c r="D30" s="45">
        <v>0</v>
      </c>
      <c r="E30" s="42">
        <v>0</v>
      </c>
      <c r="F30" s="42">
        <v>3.2408751230784114E-2</v>
      </c>
      <c r="G30" s="42">
        <v>0.12383395655118638</v>
      </c>
      <c r="H30" s="42">
        <v>0.44088963637088008</v>
      </c>
      <c r="I30" s="42">
        <v>-0.30488016573610849</v>
      </c>
      <c r="J30" s="42">
        <v>0.17121274210163856</v>
      </c>
      <c r="K30" s="42">
        <v>5.5412319793285182E-2</v>
      </c>
      <c r="L30" s="42">
        <v>0.43877098024484779</v>
      </c>
      <c r="M30" s="42">
        <v>0.29009225900820146</v>
      </c>
      <c r="N30" s="42">
        <v>-0.48073716142765266</v>
      </c>
      <c r="O30" s="42">
        <v>0.65086425233777845</v>
      </c>
      <c r="P30" s="42">
        <v>0.44084695021656112</v>
      </c>
      <c r="Q30" s="42">
        <v>-0.88946562626279879</v>
      </c>
      <c r="R30" s="42">
        <v>0.62282656330925834</v>
      </c>
      <c r="S30" s="42">
        <v>-1.4044826153522176</v>
      </c>
      <c r="T30" s="42">
        <v>3.135013460367353E-2</v>
      </c>
      <c r="U30" s="42">
        <v>0</v>
      </c>
      <c r="V30" s="42">
        <v>3.135013460367353E-2</v>
      </c>
      <c r="W30" s="42">
        <v>3.1350134603673287E-2</v>
      </c>
      <c r="X30" s="42">
        <v>0.86141797713160417</v>
      </c>
      <c r="Y30" s="42">
        <v>0.90722164358768598</v>
      </c>
      <c r="Z30" s="42">
        <v>0.60363771407106392</v>
      </c>
      <c r="AA30" s="42">
        <v>-1.6480668863580743</v>
      </c>
      <c r="AB30" s="42">
        <v>0.94062213647048121</v>
      </c>
      <c r="AC30" s="42">
        <v>0.64262867029783555</v>
      </c>
      <c r="AD30" s="42">
        <v>-1.4002396116129106</v>
      </c>
      <c r="AE30" s="42">
        <v>1.1617307243555814</v>
      </c>
      <c r="AF30" s="42">
        <v>0.6704970375808903</v>
      </c>
      <c r="AG30" s="42">
        <v>-1.4940808532677674</v>
      </c>
      <c r="AH30" s="42">
        <v>1.1915128542239373</v>
      </c>
      <c r="AI30" s="42">
        <v>-2.4422726677708155</v>
      </c>
      <c r="AJ30" s="42">
        <f t="shared" si="46"/>
        <v>-5.3912612904878365E-3</v>
      </c>
      <c r="AK30" s="42">
        <v>0</v>
      </c>
      <c r="AL30" s="42">
        <v>-5.3912612904878365E-3</v>
      </c>
      <c r="AM30" s="42">
        <v>-5.3912612904878175E-3</v>
      </c>
      <c r="AN30" s="42">
        <v>1.925339070352474</v>
      </c>
      <c r="AO30" s="42">
        <v>1.6504132019738076</v>
      </c>
      <c r="AP30" s="42">
        <v>0.68807661880125892</v>
      </c>
      <c r="AQ30" s="42">
        <v>-3.0391218604333501</v>
      </c>
      <c r="AR30" s="42">
        <v>1.362833734583184</v>
      </c>
      <c r="AS30" s="42">
        <v>0.85604236743103346</v>
      </c>
      <c r="AT30" s="42">
        <v>-2.0349186971047404</v>
      </c>
      <c r="AU30" s="42">
        <v>1.5832835328199613</v>
      </c>
      <c r="AV30" s="42">
        <v>0.98787286355797643</v>
      </c>
      <c r="AW30" s="42">
        <v>-1.9577150955316134</v>
      </c>
      <c r="AX30" s="42">
        <v>1.6899647696939686</v>
      </c>
      <c r="AY30" s="42">
        <v>-3.7140084575500425</v>
      </c>
      <c r="AZ30" s="42">
        <v>-1.937951406081097E-3</v>
      </c>
      <c r="BA30" s="42"/>
      <c r="BB30" s="42">
        <v>-1.937951406081097E-3</v>
      </c>
      <c r="BC30" s="45">
        <f t="shared" si="21"/>
        <v>-1.9379514060819231E-3</v>
      </c>
      <c r="BD30" s="45"/>
      <c r="BE30" s="45">
        <v>-1.9379514060819231E-3</v>
      </c>
      <c r="BF30" s="44">
        <v>2.4652609999999999</v>
      </c>
      <c r="BG30" s="50"/>
      <c r="BH30" s="50">
        <f>BF30+BG30</f>
        <v>2.4652609999999999</v>
      </c>
      <c r="BI30" s="45">
        <v>1.7009380000000001</v>
      </c>
      <c r="BJ30" s="45"/>
      <c r="BK30" s="50">
        <f>BI30+BJ30</f>
        <v>1.7009380000000001</v>
      </c>
      <c r="BL30" s="50">
        <v>1.1983740000000001</v>
      </c>
      <c r="BM30" s="50"/>
      <c r="BN30" s="50">
        <f>BL30+BM30</f>
        <v>1.1983740000000001</v>
      </c>
      <c r="BO30" s="50">
        <v>-3.148946</v>
      </c>
      <c r="BP30" s="50"/>
      <c r="BQ30" s="50">
        <f>BO30+BP30</f>
        <v>-3.148946</v>
      </c>
      <c r="BR30" s="50">
        <v>1.6613119999999999</v>
      </c>
      <c r="BS30" s="50"/>
      <c r="BT30" s="50">
        <f>BR30+BS30</f>
        <v>1.6613119999999999</v>
      </c>
      <c r="BU30" s="50">
        <v>1.1012470000000001</v>
      </c>
      <c r="BV30" s="50"/>
      <c r="BW30" s="50">
        <f>BU30+BV30</f>
        <v>1.1012470000000001</v>
      </c>
      <c r="BX30" s="50">
        <v>-2.7156099999999999</v>
      </c>
      <c r="BY30" s="50"/>
      <c r="BZ30" s="50">
        <f>BX30+BY30</f>
        <v>-2.7156099999999999</v>
      </c>
      <c r="CA30" s="50">
        <v>1.8125830000000001</v>
      </c>
      <c r="CB30" s="50"/>
      <c r="CC30" s="50">
        <f>CA30+CB30</f>
        <v>1.8125830000000001</v>
      </c>
      <c r="CD30" s="50">
        <v>1.2380702399999997</v>
      </c>
      <c r="CE30" s="50"/>
      <c r="CF30" s="50">
        <f>CD30+CE30</f>
        <v>1.2380702399999997</v>
      </c>
      <c r="CG30" s="50">
        <v>-2.9264369300000004</v>
      </c>
      <c r="CH30" s="50"/>
      <c r="CI30" s="50">
        <f>CG30+CH30</f>
        <v>-2.9264369300000004</v>
      </c>
      <c r="CJ30" s="45">
        <v>1.9053963800000002</v>
      </c>
      <c r="CK30" s="45"/>
      <c r="CL30" s="50">
        <f>CJ30+CK30</f>
        <v>1.9053963800000002</v>
      </c>
      <c r="CM30" s="42">
        <v>-4.291625569999999</v>
      </c>
      <c r="CN30" s="45"/>
      <c r="CO30" s="50">
        <f>CM30+CN30</f>
        <v>-4.291625569999999</v>
      </c>
      <c r="CP30" s="50">
        <f t="shared" si="24"/>
        <v>5.6312000000069418E-4</v>
      </c>
      <c r="CQ30" s="50">
        <f t="shared" si="25"/>
        <v>0</v>
      </c>
      <c r="CR30" s="50">
        <f t="shared" si="26"/>
        <v>5.6312000000069418E-4</v>
      </c>
      <c r="CS30" s="45">
        <f t="shared" si="2"/>
        <v>5.6300000000000002E-4</v>
      </c>
      <c r="CT30" s="45"/>
      <c r="CU30" s="44">
        <v>5.6300000000000002E-4</v>
      </c>
      <c r="CV30" s="42">
        <v>2.4580776600000003</v>
      </c>
      <c r="CW30" s="45"/>
      <c r="CX30" s="50">
        <f>CV30+CW30</f>
        <v>2.4580776600000003</v>
      </c>
      <c r="CY30" s="42">
        <v>2.2537743999999997</v>
      </c>
      <c r="CZ30" s="45"/>
      <c r="DA30" s="50">
        <v>2.2537743999999997</v>
      </c>
      <c r="DB30" s="42">
        <v>1.5245784199999999</v>
      </c>
      <c r="DC30" s="45"/>
      <c r="DD30" s="50">
        <v>1.5245784199999999</v>
      </c>
      <c r="DE30" s="42">
        <v>-5.4997201799999997</v>
      </c>
      <c r="DF30" s="45"/>
      <c r="DG30" s="50">
        <v>-5.4997201799999997</v>
      </c>
      <c r="DH30" s="42">
        <v>8.3633853699999996</v>
      </c>
      <c r="DI30" s="45"/>
      <c r="DJ30" s="50">
        <v>8.3633853699999996</v>
      </c>
      <c r="DK30" s="42">
        <v>2.3706220199999999</v>
      </c>
      <c r="DL30" s="45"/>
      <c r="DM30" s="50">
        <v>2.3706220199999999</v>
      </c>
      <c r="DN30" s="42">
        <v>-8.7054396000000001</v>
      </c>
      <c r="DO30" s="45"/>
      <c r="DP30" s="50">
        <v>-8.7054396000000001</v>
      </c>
      <c r="DQ30" s="42">
        <v>2.1949138200000005</v>
      </c>
      <c r="DR30" s="45"/>
      <c r="DS30" s="50">
        <v>2.1949138200000005</v>
      </c>
      <c r="DT30" s="42">
        <v>1.4693522700000001</v>
      </c>
      <c r="DU30" s="45"/>
      <c r="DV30" s="50">
        <v>1.4693522700000001</v>
      </c>
      <c r="DW30" s="42">
        <v>-4.1264802000000005</v>
      </c>
      <c r="DX30" s="45"/>
      <c r="DY30" s="50">
        <v>-4.1264802000000005</v>
      </c>
      <c r="DZ30" s="42">
        <v>2.3148835499999998</v>
      </c>
      <c r="EA30" s="45"/>
      <c r="EB30" s="50">
        <v>2.3148835499999998</v>
      </c>
      <c r="EC30" s="42">
        <v>-4.6155962400000003</v>
      </c>
      <c r="ED30" s="45"/>
      <c r="EE30" s="50">
        <v>-4.6155962400000003</v>
      </c>
      <c r="EF30" s="50">
        <f t="shared" si="27"/>
        <v>2.3512900000000059E-3</v>
      </c>
      <c r="EG30" s="50">
        <f t="shared" si="28"/>
        <v>0</v>
      </c>
      <c r="EH30" s="50">
        <f t="shared" si="29"/>
        <v>2.3512900000000059E-3</v>
      </c>
      <c r="EI30" s="50">
        <f t="shared" si="70"/>
        <v>2.3519999999999999E-3</v>
      </c>
      <c r="EJ30" s="50"/>
      <c r="EK30" s="50">
        <v>2.3519999999999999E-3</v>
      </c>
      <c r="EL30" s="50">
        <v>2.3891937200000002</v>
      </c>
      <c r="EM30" s="50"/>
      <c r="EN30" s="50">
        <v>2.3891937200000002</v>
      </c>
      <c r="EO30" s="50">
        <v>2.4790009400000002</v>
      </c>
      <c r="EP30" s="50"/>
      <c r="EQ30" s="50">
        <v>2.4790009400000002</v>
      </c>
      <c r="ER30" s="50">
        <v>1.4882863299999998</v>
      </c>
      <c r="ES30" s="50"/>
      <c r="ET30" s="50">
        <v>1.4882863299999998</v>
      </c>
      <c r="EU30" s="50">
        <v>-4.4924985199999998</v>
      </c>
      <c r="EV30" s="50"/>
      <c r="EW30" s="50">
        <v>-4.4924985199999998</v>
      </c>
      <c r="EX30" s="50">
        <v>2.3320667899999998</v>
      </c>
      <c r="EY30" s="50"/>
      <c r="EZ30" s="50">
        <v>2.3320667899999998</v>
      </c>
      <c r="FA30" s="50">
        <v>1.4362413999999999</v>
      </c>
      <c r="FB30" s="50"/>
      <c r="FC30" s="50">
        <v>1.4362413999999999</v>
      </c>
      <c r="FD30" s="50">
        <v>-3.52442645</v>
      </c>
      <c r="FE30" s="50"/>
      <c r="FF30" s="50">
        <v>-3.52442645</v>
      </c>
      <c r="FG30" s="50">
        <v>2.4384935400000001</v>
      </c>
      <c r="FH30" s="50"/>
      <c r="FI30" s="50">
        <v>2.4384935400000001</v>
      </c>
      <c r="FJ30" s="50">
        <v>1.5017888300000002</v>
      </c>
      <c r="FK30" s="50"/>
      <c r="FL30" s="50">
        <v>1.5017888300000002</v>
      </c>
      <c r="FM30" s="50">
        <v>-3.8398782000000002</v>
      </c>
      <c r="FN30" s="50"/>
      <c r="FO30" s="50">
        <v>-3.8398782000000002</v>
      </c>
      <c r="FP30" s="50">
        <v>2.4829898399999997</v>
      </c>
      <c r="FQ30" s="50"/>
      <c r="FR30" s="50">
        <v>2.4829898399999997</v>
      </c>
      <c r="FS30" s="50">
        <v>-4.6933903700000004</v>
      </c>
      <c r="FT30" s="50"/>
      <c r="FU30" s="50">
        <v>-4.6933903700000004</v>
      </c>
      <c r="FV30" s="50">
        <f t="shared" si="30"/>
        <v>-2.1321500000004434E-3</v>
      </c>
      <c r="FW30" s="50">
        <f t="shared" si="31"/>
        <v>0</v>
      </c>
      <c r="FX30" s="50">
        <f t="shared" si="32"/>
        <v>-2.1321500000004434E-3</v>
      </c>
      <c r="FY30" s="50">
        <f t="shared" si="71"/>
        <v>-2.1320000000000002E-3</v>
      </c>
      <c r="FZ30" s="50"/>
      <c r="GA30" s="50">
        <v>-2.1320000000000002E-3</v>
      </c>
      <c r="GB30" s="50">
        <v>2.5015902099999998</v>
      </c>
      <c r="GC30" s="50"/>
      <c r="GD30" s="50">
        <v>2.5015902099999998</v>
      </c>
      <c r="GE30" s="50">
        <v>2.6406221399999996</v>
      </c>
      <c r="GF30" s="50"/>
      <c r="GG30" s="50">
        <v>2.6406221399999996</v>
      </c>
      <c r="GH30" s="50">
        <v>1.92169141</v>
      </c>
      <c r="GI30" s="50"/>
      <c r="GJ30" s="50">
        <v>1.92169141</v>
      </c>
      <c r="GK30" s="50">
        <v>-3.6705595999999998</v>
      </c>
      <c r="GL30" s="50"/>
      <c r="GM30" s="50">
        <v>-3.6705595999999998</v>
      </c>
      <c r="GN30" s="50">
        <v>3.2846009000000005</v>
      </c>
      <c r="GO30" s="50"/>
      <c r="GP30" s="50">
        <v>3.2846009000000005</v>
      </c>
      <c r="GQ30" s="50">
        <v>2.0482035500000002</v>
      </c>
      <c r="GR30" s="50"/>
      <c r="GS30" s="50">
        <v>2.0482035500000002</v>
      </c>
      <c r="GT30" s="50">
        <v>-5.6699492199999995</v>
      </c>
      <c r="GU30" s="50"/>
      <c r="GV30" s="50">
        <v>-5.6699492199999995</v>
      </c>
      <c r="GW30" s="50">
        <v>3.4801058</v>
      </c>
      <c r="GX30" s="50"/>
      <c r="GY30" s="50">
        <v>3.4801058</v>
      </c>
      <c r="GZ30" s="50">
        <v>2.1819820600000002</v>
      </c>
      <c r="HA30" s="50"/>
      <c r="HB30" s="50">
        <v>2.1819820600000002</v>
      </c>
      <c r="HC30" s="50">
        <v>-5.7197377300000003</v>
      </c>
      <c r="HD30" s="50"/>
      <c r="HE30" s="50">
        <v>-5.7197377300000003</v>
      </c>
      <c r="HF30" s="50">
        <v>3.39876304</v>
      </c>
      <c r="HG30" s="50"/>
      <c r="HH30" s="50">
        <v>3.39876304</v>
      </c>
      <c r="HI30" s="50">
        <v>-6.3972662399999995</v>
      </c>
      <c r="HJ30" s="50"/>
      <c r="HK30" s="50">
        <v>-6.3972662399999995</v>
      </c>
      <c r="HL30" s="50">
        <f t="shared" si="33"/>
        <v>4.6320000003596817E-5</v>
      </c>
      <c r="HM30" s="50">
        <f t="shared" si="34"/>
        <v>0</v>
      </c>
      <c r="HN30" s="50">
        <f t="shared" si="35"/>
        <v>4.6320000003596817E-5</v>
      </c>
      <c r="HO30" s="50">
        <f t="shared" si="3"/>
        <v>4.6E-5</v>
      </c>
      <c r="HP30" s="50"/>
      <c r="HQ30" s="50">
        <v>4.6E-5</v>
      </c>
      <c r="HR30" s="50">
        <v>3.7753718200000002</v>
      </c>
      <c r="HS30" s="50">
        <v>0</v>
      </c>
      <c r="HT30" s="50">
        <v>3.7753718200000002</v>
      </c>
      <c r="HU30" s="50">
        <v>3.6055820300000003</v>
      </c>
      <c r="HV30" s="50">
        <v>0</v>
      </c>
      <c r="HW30" s="50">
        <v>3.6055820300000003</v>
      </c>
      <c r="HX30" s="50">
        <v>2.3114003599999999</v>
      </c>
      <c r="HY30" s="50">
        <v>0</v>
      </c>
      <c r="HZ30" s="50">
        <v>2.3114003599999999</v>
      </c>
      <c r="IA30" s="50">
        <v>-7.2582298300000003</v>
      </c>
      <c r="IB30" s="50">
        <v>0</v>
      </c>
      <c r="IC30" s="50">
        <v>-7.2582298300000003</v>
      </c>
      <c r="ID30" s="50">
        <v>3.3282697999999997</v>
      </c>
      <c r="IE30" s="50">
        <v>0</v>
      </c>
      <c r="IF30" s="50">
        <v>3.3282697999999997</v>
      </c>
      <c r="IG30" s="50">
        <v>2.2327938999999999</v>
      </c>
      <c r="IH30" s="50">
        <v>0</v>
      </c>
      <c r="II30" s="50">
        <v>2.2327938999999999</v>
      </c>
      <c r="IJ30" s="50">
        <v>-5.2313562999999998</v>
      </c>
      <c r="IK30" s="50">
        <v>0</v>
      </c>
      <c r="IL30" s="50">
        <v>-5.2313562999999998</v>
      </c>
      <c r="IM30" s="50">
        <v>3.4598137599999998</v>
      </c>
      <c r="IN30" s="50">
        <v>0</v>
      </c>
      <c r="IO30" s="50">
        <v>3.4598137599999998</v>
      </c>
      <c r="IP30" s="50">
        <v>2.19141875</v>
      </c>
      <c r="IQ30" s="50">
        <v>0</v>
      </c>
      <c r="IR30" s="50">
        <v>2.19141875</v>
      </c>
      <c r="IS30" s="50">
        <v>-5.3201735899999996</v>
      </c>
      <c r="IT30" s="50">
        <v>0</v>
      </c>
      <c r="IU30" s="50">
        <v>-5.3201735899999996</v>
      </c>
      <c r="IV30" s="50">
        <v>3.5010428200000003</v>
      </c>
      <c r="IW30" s="50">
        <v>0</v>
      </c>
      <c r="IX30" s="50">
        <v>3.5010428200000003</v>
      </c>
      <c r="IY30" s="50">
        <v>-6.5910152000000002</v>
      </c>
      <c r="IZ30" s="50">
        <v>0</v>
      </c>
      <c r="JA30" s="50">
        <v>-6.5910152000000002</v>
      </c>
      <c r="JB30" s="50">
        <f t="shared" si="36"/>
        <v>4.918320000002474E-3</v>
      </c>
      <c r="JC30" s="50">
        <f t="shared" si="37"/>
        <v>0</v>
      </c>
      <c r="JD30" s="50">
        <f t="shared" si="38"/>
        <v>4.918320000002474E-3</v>
      </c>
      <c r="JE30" s="50">
        <f t="shared" si="4"/>
        <v>4.9179999999999996E-3</v>
      </c>
      <c r="JF30" s="50"/>
      <c r="JG30" s="50">
        <v>4.9179999999999996E-3</v>
      </c>
      <c r="JH30" s="50">
        <v>4.3315611500000006</v>
      </c>
      <c r="JI30" s="50">
        <v>0</v>
      </c>
      <c r="JJ30" s="50">
        <v>4.3315611500000006</v>
      </c>
      <c r="JK30" s="50">
        <v>3.3821438600000002</v>
      </c>
      <c r="JL30" s="50">
        <v>0</v>
      </c>
      <c r="JM30" s="50">
        <v>3.3821438600000002</v>
      </c>
      <c r="JN30" s="50">
        <v>2.3051744599999999</v>
      </c>
      <c r="JO30" s="50">
        <v>0</v>
      </c>
      <c r="JP30" s="50">
        <v>2.3051744599999999</v>
      </c>
      <c r="JQ30" s="50">
        <v>-6.7302654500000001</v>
      </c>
      <c r="JR30" s="50">
        <v>0</v>
      </c>
      <c r="JS30" s="50">
        <v>-6.7302654500000001</v>
      </c>
      <c r="JT30" s="50">
        <v>3.1781012400000002</v>
      </c>
      <c r="JU30" s="50">
        <v>0</v>
      </c>
      <c r="JV30" s="50">
        <v>3.1781012400000002</v>
      </c>
      <c r="JW30" s="50">
        <v>2.2583292099999999</v>
      </c>
      <c r="JX30" s="50">
        <v>0</v>
      </c>
      <c r="JY30" s="50">
        <v>2.2583292099999999</v>
      </c>
      <c r="JZ30" s="50">
        <v>-6.3695969399999992</v>
      </c>
      <c r="KA30" s="50">
        <v>0</v>
      </c>
      <c r="KB30" s="50">
        <v>-6.3695969399999992</v>
      </c>
      <c r="KC30" s="50">
        <v>2.9182235900000002</v>
      </c>
      <c r="KD30" s="50">
        <v>0</v>
      </c>
      <c r="KE30" s="50">
        <v>2.9182235900000002</v>
      </c>
      <c r="KF30" s="50">
        <v>2.2505934299999999</v>
      </c>
      <c r="KG30" s="50">
        <v>0</v>
      </c>
      <c r="KH30" s="50">
        <v>2.2505934299999999</v>
      </c>
      <c r="KI30" s="50">
        <v>-4.4158282199999999</v>
      </c>
      <c r="KJ30" s="50">
        <v>0</v>
      </c>
      <c r="KK30" s="50">
        <v>-4.4158282199999999</v>
      </c>
      <c r="KL30" s="50">
        <v>2.9119962600000004</v>
      </c>
      <c r="KM30" s="50">
        <v>0</v>
      </c>
      <c r="KN30" s="50">
        <v>2.9119962600000004</v>
      </c>
      <c r="KO30" s="50">
        <v>-6.0248081300000003</v>
      </c>
      <c r="KP30" s="50">
        <v>0</v>
      </c>
      <c r="KQ30" s="50">
        <v>-6.0248081300000003</v>
      </c>
      <c r="KR30" s="50">
        <f t="shared" si="48"/>
        <v>-4.3755399999962918E-3</v>
      </c>
      <c r="KS30" s="50">
        <f t="shared" si="39"/>
        <v>0</v>
      </c>
      <c r="KT30" s="50">
        <f t="shared" si="49"/>
        <v>-4.3755399999962918E-3</v>
      </c>
      <c r="KU30" s="50">
        <f t="shared" si="5"/>
        <v>-4.3750000000000004E-3</v>
      </c>
      <c r="KV30" s="50"/>
      <c r="KW30" s="50">
        <v>-4.3750000000000004E-3</v>
      </c>
      <c r="KX30" s="50">
        <v>3.1906939100000002</v>
      </c>
      <c r="KY30" s="50">
        <v>0</v>
      </c>
      <c r="KZ30" s="50">
        <v>3.1906939100000002</v>
      </c>
      <c r="LA30" s="50">
        <v>2.7969236500000001</v>
      </c>
      <c r="LB30" s="50">
        <v>0</v>
      </c>
      <c r="LC30" s="50">
        <v>2.7969236500000001</v>
      </c>
      <c r="LD30" s="50">
        <v>1.8809337599999998</v>
      </c>
      <c r="LE30" s="50">
        <v>0</v>
      </c>
      <c r="LF30" s="50">
        <v>1.8809337599999998</v>
      </c>
      <c r="LG30" s="50">
        <v>-5.6012135800000005</v>
      </c>
      <c r="LH30" s="50">
        <v>0</v>
      </c>
      <c r="LI30" s="174">
        <v>-5.6012135800000005</v>
      </c>
      <c r="LJ30" s="174">
        <v>2.1095652999999999</v>
      </c>
      <c r="LK30" s="50">
        <v>0</v>
      </c>
      <c r="LL30" s="174">
        <v>2.1095652999999999</v>
      </c>
      <c r="LM30" s="50">
        <v>1.6402025999999998</v>
      </c>
      <c r="LN30" s="50">
        <v>0</v>
      </c>
      <c r="LO30" s="50">
        <v>1.6402025999999998</v>
      </c>
      <c r="LP30" s="50">
        <v>-3.7947025200000004</v>
      </c>
      <c r="LQ30" s="44">
        <v>0</v>
      </c>
      <c r="LR30" s="44">
        <v>-3.7947025200000004</v>
      </c>
      <c r="LS30" s="50">
        <v>2.1702610899999999</v>
      </c>
      <c r="LT30" s="50">
        <v>0</v>
      </c>
      <c r="LU30" s="52">
        <v>2.1702610899999999</v>
      </c>
      <c r="LV30" s="44">
        <v>1.92732971</v>
      </c>
      <c r="LW30" s="50">
        <v>0</v>
      </c>
      <c r="LX30" s="50">
        <v>1.92732971</v>
      </c>
      <c r="LY30" s="50">
        <v>-4.12643264</v>
      </c>
      <c r="LZ30" s="50">
        <v>0</v>
      </c>
      <c r="MA30" s="50">
        <v>-4.12643264</v>
      </c>
      <c r="MB30" s="50">
        <v>2.6533739600000001</v>
      </c>
      <c r="MC30" s="50">
        <v>0</v>
      </c>
      <c r="MD30" s="50">
        <v>2.6533739600000001</v>
      </c>
      <c r="ME30" s="50">
        <v>-4.8474626799999996</v>
      </c>
      <c r="MF30" s="50">
        <v>0</v>
      </c>
      <c r="MG30" s="50">
        <v>-4.8474626799999996</v>
      </c>
      <c r="MH30" s="50">
        <f t="shared" si="66"/>
        <v>-5.2744000000082281E-4</v>
      </c>
      <c r="MI30" s="50">
        <f t="shared" si="50"/>
        <v>0</v>
      </c>
      <c r="MJ30" s="50">
        <f t="shared" si="51"/>
        <v>-5.2744000000082281E-4</v>
      </c>
      <c r="MK30" s="50">
        <f t="shared" si="7"/>
        <v>-5.2700000000000002E-4</v>
      </c>
      <c r="ML30" s="50"/>
      <c r="MM30" s="50">
        <v>-5.2700000000000002E-4</v>
      </c>
      <c r="MN30" s="50">
        <v>8.1142869999999992E-2</v>
      </c>
      <c r="MO30" s="50">
        <v>0</v>
      </c>
      <c r="MP30" s="50">
        <v>8.1142869999999992E-2</v>
      </c>
      <c r="MQ30" s="50">
        <v>-6.5845680000000004E-2</v>
      </c>
      <c r="MR30" s="50">
        <v>0</v>
      </c>
      <c r="MS30" s="50">
        <v>-6.5845680000000004E-2</v>
      </c>
      <c r="MT30" s="50">
        <v>-4.3249349999999999E-2</v>
      </c>
      <c r="MU30" s="50">
        <v>0</v>
      </c>
      <c r="MV30" s="50">
        <v>-4.3249349999999999E-2</v>
      </c>
      <c r="MW30" s="50">
        <v>-3.5170299999999995E-3</v>
      </c>
      <c r="MX30" s="50">
        <v>0</v>
      </c>
      <c r="MY30" s="50">
        <v>-3.5170299999999995E-3</v>
      </c>
      <c r="MZ30" s="50">
        <v>-6.9920000000000008E-4</v>
      </c>
      <c r="NA30" s="50">
        <v>0</v>
      </c>
      <c r="NB30" s="50">
        <v>-6.9920000000000008E-4</v>
      </c>
      <c r="NC30" s="50">
        <v>2.5249000000000002E-4</v>
      </c>
      <c r="ND30" s="50">
        <v>0</v>
      </c>
      <c r="NE30" s="50">
        <v>2.5249000000000002E-4</v>
      </c>
      <c r="NF30" s="50">
        <v>-9.7064999999999999E-4</v>
      </c>
      <c r="NG30" s="50">
        <v>0</v>
      </c>
      <c r="NH30" s="50">
        <v>-9.7064999999999999E-4</v>
      </c>
      <c r="NI30" s="50">
        <v>-4.9182660000000003E-2</v>
      </c>
      <c r="NJ30" s="50">
        <v>0</v>
      </c>
      <c r="NK30" s="50">
        <v>-4.9182660000000003E-2</v>
      </c>
      <c r="NL30" s="50">
        <v>-5.91677E-3</v>
      </c>
      <c r="NM30" s="50">
        <v>0</v>
      </c>
      <c r="NN30" s="50">
        <v>-5.91677E-3</v>
      </c>
      <c r="NO30" s="50">
        <v>-2.51359E-3</v>
      </c>
      <c r="NP30" s="50">
        <v>0</v>
      </c>
      <c r="NQ30" s="50">
        <v>-2.51359E-3</v>
      </c>
      <c r="NR30" s="50">
        <v>-3.5162900000190733E-3</v>
      </c>
      <c r="NS30" s="50">
        <v>0</v>
      </c>
      <c r="NT30" s="50">
        <v>-3.5162900000190733E-3</v>
      </c>
      <c r="NU30" s="50">
        <v>1.80792E-2</v>
      </c>
      <c r="NV30" s="50">
        <v>0</v>
      </c>
      <c r="NW30" s="50">
        <v>1.80792E-2</v>
      </c>
      <c r="NX30" s="50">
        <f t="shared" si="67"/>
        <v>-7.5936660000019071E-2</v>
      </c>
      <c r="NY30" s="50">
        <f t="shared" si="40"/>
        <v>0</v>
      </c>
      <c r="NZ30" s="210">
        <f t="shared" si="41"/>
        <v>-7.5936660000019071E-2</v>
      </c>
      <c r="OA30" s="50">
        <f t="shared" si="8"/>
        <v>-7.6009999999999994E-2</v>
      </c>
      <c r="OB30" s="50"/>
      <c r="OC30" s="50">
        <v>-7.6009999999999994E-2</v>
      </c>
      <c r="OD30" s="50">
        <v>2.1775099999999997E-3</v>
      </c>
      <c r="OE30" s="50"/>
      <c r="OF30" s="50">
        <v>2.1775099999999997E-3</v>
      </c>
      <c r="OG30" s="50">
        <v>1.2406199999999998E-3</v>
      </c>
      <c r="OH30" s="50"/>
      <c r="OI30" s="50">
        <v>1.2406199999999998E-3</v>
      </c>
      <c r="OJ30" s="50">
        <v>6.9286E-4</v>
      </c>
      <c r="OK30" s="50"/>
      <c r="OL30" s="50">
        <v>6.9286E-4</v>
      </c>
      <c r="OM30" s="50">
        <v>0.12301068</v>
      </c>
      <c r="ON30" s="50"/>
      <c r="OO30" s="50">
        <v>0.12301068</v>
      </c>
      <c r="OP30" s="50">
        <v>-0.12159968000000002</v>
      </c>
      <c r="OQ30" s="50"/>
      <c r="OR30" s="50">
        <v>-0.12159968000000002</v>
      </c>
      <c r="OS30" s="50">
        <v>1.4570000000000002E-4</v>
      </c>
      <c r="OT30" s="50"/>
      <c r="OU30" s="50">
        <v>1.4570000000000002E-4</v>
      </c>
      <c r="OV30" s="50">
        <v>-2.5219999999999999E-5</v>
      </c>
      <c r="OW30" s="50"/>
      <c r="OX30" s="50">
        <v>-2.5219999999999999E-5</v>
      </c>
      <c r="OY30" s="94">
        <v>2.7604000000000002E-4</v>
      </c>
      <c r="OZ30" s="50"/>
      <c r="PA30" s="50">
        <v>2.7604000000000002E-4</v>
      </c>
      <c r="PB30" s="50">
        <v>3.7485000000000003E-4</v>
      </c>
      <c r="PC30" s="50"/>
      <c r="PD30" s="50">
        <v>3.7485000000000003E-4</v>
      </c>
      <c r="PE30" s="50">
        <v>2.1312000000000002E-4</v>
      </c>
      <c r="PF30" s="50"/>
      <c r="PG30" s="50">
        <v>2.1312000000000002E-4</v>
      </c>
      <c r="PH30" s="50">
        <v>2.2640999999999998E-3</v>
      </c>
      <c r="PI30" s="50"/>
      <c r="PJ30" s="50">
        <v>2.2640999999999998E-3</v>
      </c>
      <c r="PK30" s="50">
        <v>4.4005599999999995E-3</v>
      </c>
      <c r="PL30" s="50"/>
      <c r="PM30" s="50">
        <v>4.4005599999999995E-3</v>
      </c>
      <c r="PN30" s="50">
        <f t="shared" si="68"/>
        <v>1.3171139999999975E-2</v>
      </c>
      <c r="PO30" s="50">
        <f t="shared" si="42"/>
        <v>0</v>
      </c>
      <c r="PP30" s="50">
        <f t="shared" si="43"/>
        <v>1.3171139999999975E-2</v>
      </c>
      <c r="PQ30" s="50">
        <f t="shared" si="9"/>
        <v>1.3156000000000001E-2</v>
      </c>
      <c r="PR30" s="50"/>
      <c r="PS30" s="50">
        <f>0.013171-0.000015</f>
        <v>1.3156000000000001E-2</v>
      </c>
      <c r="PT30" s="50">
        <v>8.5182599999999997E-3</v>
      </c>
      <c r="PU30" s="50"/>
      <c r="PV30" s="50">
        <v>8.5182599999999997E-3</v>
      </c>
      <c r="PW30" s="50">
        <v>1.3332699999999999E-3</v>
      </c>
      <c r="PX30" s="50"/>
      <c r="PY30" s="50">
        <v>1.3332699999999999E-3</v>
      </c>
      <c r="PZ30" s="50">
        <v>9.077E-4</v>
      </c>
      <c r="QA30" s="50"/>
      <c r="QB30" s="50">
        <v>9.077E-4</v>
      </c>
      <c r="QC30" s="50">
        <v>2.9379999999999999E-4</v>
      </c>
      <c r="QD30" s="50"/>
      <c r="QE30" s="50">
        <v>2.9379999999999999E-4</v>
      </c>
      <c r="QF30" s="50">
        <v>7.1229999999999994E-5</v>
      </c>
      <c r="QG30" s="50"/>
      <c r="QH30" s="50">
        <v>7.1229999999999994E-5</v>
      </c>
      <c r="QI30" s="50">
        <v>-9.6949999999999998E-5</v>
      </c>
      <c r="QJ30" s="50"/>
      <c r="QK30" s="50">
        <v>-9.6949999999999998E-5</v>
      </c>
      <c r="QL30" s="50">
        <v>2.4283E-4</v>
      </c>
      <c r="QM30" s="50"/>
      <c r="QN30" s="50">
        <v>2.4283E-4</v>
      </c>
      <c r="QO30" s="50">
        <v>1.6200000000000001E-4</v>
      </c>
      <c r="QP30" s="50"/>
      <c r="QQ30" s="50">
        <v>1.6200000000000001E-4</v>
      </c>
      <c r="QR30" s="50">
        <v>2.04E-4</v>
      </c>
      <c r="QS30" s="50"/>
      <c r="QT30" s="50">
        <v>2.04E-4</v>
      </c>
      <c r="QU30" s="50">
        <v>6.0621999999999998E-4</v>
      </c>
      <c r="QV30" s="50"/>
      <c r="QW30" s="50">
        <v>6.0621999999999998E-4</v>
      </c>
      <c r="QX30" s="50">
        <v>1.717E-3</v>
      </c>
      <c r="QY30" s="50"/>
      <c r="QZ30" s="50">
        <v>1.717E-3</v>
      </c>
      <c r="RA30" s="50">
        <v>9.4570399999999999E-3</v>
      </c>
      <c r="RB30" s="50"/>
      <c r="RC30" s="50">
        <v>9.4570399999999999E-3</v>
      </c>
      <c r="RD30" s="50">
        <f t="shared" si="52"/>
        <v>2.3416399999999997E-2</v>
      </c>
      <c r="RE30" s="50">
        <f t="shared" si="53"/>
        <v>0</v>
      </c>
      <c r="RF30" s="50">
        <f t="shared" si="54"/>
        <v>2.3416399999999997E-2</v>
      </c>
      <c r="RG30" s="50">
        <f t="shared" si="11"/>
        <v>2.3415999999999999E-2</v>
      </c>
      <c r="RH30" s="50"/>
      <c r="RI30" s="50">
        <v>2.3415999999999999E-2</v>
      </c>
      <c r="RJ30" s="50">
        <v>2.7195100000000001E-3</v>
      </c>
      <c r="RK30" s="50"/>
      <c r="RL30" s="50">
        <v>2.7195100000000001E-3</v>
      </c>
      <c r="RM30" s="50">
        <v>1.4986400000000001E-3</v>
      </c>
      <c r="RN30" s="50"/>
      <c r="RO30" s="50">
        <v>1.4986400000000001E-3</v>
      </c>
      <c r="RP30" s="50">
        <v>9.9201999999999992E-4</v>
      </c>
      <c r="RQ30" s="50"/>
      <c r="RR30" s="50">
        <v>9.9201999999999992E-4</v>
      </c>
      <c r="RS30" s="50">
        <v>-4.8151999999999998E-4</v>
      </c>
      <c r="RT30" s="50"/>
      <c r="RU30" s="50">
        <v>-4.8151999999999998E-4</v>
      </c>
      <c r="RV30" s="50">
        <v>5.2400000000000005E-4</v>
      </c>
      <c r="RW30" s="50"/>
      <c r="RX30" s="50">
        <v>5.2400000000000005E-4</v>
      </c>
      <c r="RY30" s="50">
        <v>-4.9392450000000004E-2</v>
      </c>
      <c r="RZ30" s="50"/>
      <c r="SA30" s="50">
        <v>-4.9392450000000004E-2</v>
      </c>
      <c r="SB30" s="50">
        <v>5.2171290000000002E-2</v>
      </c>
      <c r="SC30" s="50"/>
      <c r="SD30" s="50">
        <v>5.2171290000000002E-2</v>
      </c>
      <c r="SE30" s="50">
        <v>1.5300000000000001E-4</v>
      </c>
      <c r="SF30" s="50"/>
      <c r="SG30" s="50">
        <v>1.5300000000000001E-4</v>
      </c>
      <c r="SH30" s="50">
        <v>3.2713000000000002E-4</v>
      </c>
      <c r="SI30" s="50"/>
      <c r="SJ30" s="50">
        <v>3.2713000000000002E-4</v>
      </c>
      <c r="SK30" s="50">
        <v>2.8801E-4</v>
      </c>
      <c r="SL30" s="50"/>
      <c r="SM30" s="50">
        <v>2.8801E-4</v>
      </c>
      <c r="SN30" s="50">
        <v>1.97051E-3</v>
      </c>
      <c r="SO30" s="50"/>
      <c r="SP30" s="50">
        <v>1.97051E-3</v>
      </c>
      <c r="SQ30" s="50">
        <v>9.7623400000000013E-3</v>
      </c>
      <c r="SR30" s="50"/>
      <c r="SS30" s="50">
        <v>9.7623400000000013E-3</v>
      </c>
      <c r="ST30" s="50">
        <f t="shared" si="55"/>
        <v>2.0532479999999999E-2</v>
      </c>
      <c r="SU30" s="50">
        <f t="shared" si="65"/>
        <v>0</v>
      </c>
      <c r="SV30" s="50">
        <f t="shared" si="56"/>
        <v>2.0532479999999999E-2</v>
      </c>
      <c r="SW30" s="50">
        <f t="shared" si="44"/>
        <v>4.9668000000000004E-2</v>
      </c>
      <c r="SX30" s="50"/>
      <c r="SY30" s="50">
        <f>0.020532+0.029136</f>
        <v>4.9668000000000004E-2</v>
      </c>
      <c r="SZ30" s="50">
        <v>2.60377E-3</v>
      </c>
      <c r="TA30" s="50"/>
      <c r="TB30" s="50">
        <v>2.60377E-3</v>
      </c>
      <c r="TC30" s="50">
        <v>8.0212999999999997E-4</v>
      </c>
      <c r="TD30" s="50"/>
      <c r="TE30" s="50">
        <v>8.0212999999999997E-4</v>
      </c>
      <c r="TF30" s="50">
        <v>8.2401000000000002E-4</v>
      </c>
      <c r="TG30" s="50"/>
      <c r="TH30" s="50">
        <v>8.2401000000000002E-4</v>
      </c>
      <c r="TI30" s="50">
        <v>4.6599E-4</v>
      </c>
      <c r="TJ30" s="50"/>
      <c r="TK30" s="50">
        <v>4.6599E-4</v>
      </c>
      <c r="TL30" s="50">
        <v>-1E-8</v>
      </c>
      <c r="TM30" s="50"/>
      <c r="TN30" s="50">
        <v>-1E-8</v>
      </c>
      <c r="TO30" s="50">
        <v>6.4099999999999997E-4</v>
      </c>
      <c r="TP30" s="50"/>
      <c r="TQ30" s="50">
        <v>6.4099999999999997E-4</v>
      </c>
      <c r="TR30" s="50">
        <v>4.1102000000000001E-4</v>
      </c>
      <c r="TS30" s="50"/>
      <c r="TT30" s="50">
        <v>4.1102000000000001E-4</v>
      </c>
      <c r="TU30" s="50">
        <v>2.9498000000000003E-4</v>
      </c>
      <c r="TV30" s="50"/>
      <c r="TW30" s="50">
        <v>2.9498000000000003E-4</v>
      </c>
      <c r="TX30" s="50">
        <v>-5.1960000000000004E-5</v>
      </c>
      <c r="TY30" s="50"/>
      <c r="TZ30" s="50">
        <v>-5.1960000000000004E-5</v>
      </c>
      <c r="UA30" s="50">
        <v>7.6502000000000004E-4</v>
      </c>
      <c r="UB30" s="50"/>
      <c r="UC30" s="50">
        <v>7.6502000000000004E-4</v>
      </c>
      <c r="UD30" s="50">
        <v>1.8338199999999999E-3</v>
      </c>
      <c r="UE30" s="50"/>
      <c r="UF30" s="50">
        <v>1.8338199999999999E-3</v>
      </c>
      <c r="UG30" s="50">
        <v>8.9922300000000004E-3</v>
      </c>
      <c r="UH30" s="50"/>
      <c r="UI30" s="50">
        <v>8.9922300000000004E-3</v>
      </c>
      <c r="UJ30" s="50">
        <f t="shared" si="45"/>
        <v>1.7582E-2</v>
      </c>
      <c r="UK30" s="50">
        <f t="shared" si="15"/>
        <v>0</v>
      </c>
      <c r="UL30" s="50">
        <f t="shared" si="16"/>
        <v>1.7582E-2</v>
      </c>
      <c r="UM30" s="50">
        <v>-3.1729799999999997E-3</v>
      </c>
      <c r="UN30" s="50"/>
      <c r="UO30" s="50">
        <v>-3.1729799999999997E-3</v>
      </c>
      <c r="UP30" s="50">
        <v>6.3619899999999997E-3</v>
      </c>
      <c r="UQ30" s="50"/>
      <c r="UR30" s="50">
        <v>6.3619899999999997E-3</v>
      </c>
      <c r="US30" s="50">
        <v>5.7701000000000009E-4</v>
      </c>
      <c r="UT30" s="50"/>
      <c r="UU30" s="50">
        <v>5.7701000000000009E-4</v>
      </c>
      <c r="UV30" s="50">
        <v>4.4598000000000001E-4</v>
      </c>
      <c r="UW30" s="50"/>
      <c r="UX30" s="50">
        <v>4.4598000000000001E-4</v>
      </c>
      <c r="UY30" s="50"/>
      <c r="UZ30" s="50"/>
      <c r="VA30" s="50"/>
      <c r="VB30" s="50"/>
      <c r="VC30" s="50"/>
      <c r="VD30" s="50"/>
      <c r="VE30" s="50"/>
      <c r="VF30" s="50"/>
      <c r="VG30" s="50"/>
      <c r="VH30" s="50"/>
      <c r="VI30" s="50"/>
      <c r="VJ30" s="50"/>
      <c r="VK30" s="50"/>
      <c r="VL30" s="50"/>
      <c r="VM30" s="50"/>
      <c r="VN30" s="50"/>
      <c r="VO30" s="50"/>
      <c r="VP30" s="50"/>
      <c r="VQ30" s="50"/>
      <c r="VR30" s="50"/>
      <c r="VS30" s="50"/>
      <c r="VT30" s="50"/>
      <c r="VU30" s="50"/>
      <c r="VV30" s="50"/>
      <c r="VW30" s="276">
        <f t="shared" si="57"/>
        <v>4.6959999999999997E-3</v>
      </c>
      <c r="VX30" s="292">
        <f t="shared" si="58"/>
        <v>0</v>
      </c>
      <c r="VY30" s="292">
        <f t="shared" si="59"/>
        <v>4.6959999999999997E-3</v>
      </c>
      <c r="VZ30" s="276">
        <f t="shared" si="60"/>
        <v>4.2119999999999996E-3</v>
      </c>
      <c r="WA30" s="292">
        <f t="shared" si="61"/>
        <v>0</v>
      </c>
      <c r="WB30" s="292">
        <f t="shared" si="62"/>
        <v>4.2119999999999996E-3</v>
      </c>
      <c r="WC30" s="277">
        <f t="shared" si="63"/>
        <v>-4.8400000000000006E-4</v>
      </c>
      <c r="WD30" s="277">
        <f t="shared" ref="WD30:WD38" si="87">WB30/VY30*100-100</f>
        <v>-10.306643952299837</v>
      </c>
    </row>
    <row r="31" spans="1:602" s="12" customFormat="1" ht="20.5">
      <c r="A31" s="46" t="s">
        <v>88</v>
      </c>
      <c r="C31" s="46" t="s">
        <v>89</v>
      </c>
      <c r="D31" s="45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5"/>
      <c r="BD31" s="45"/>
      <c r="BE31" s="45"/>
      <c r="BF31" s="44"/>
      <c r="BG31" s="50"/>
      <c r="BH31" s="50"/>
      <c r="BI31" s="45"/>
      <c r="BJ31" s="45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45"/>
      <c r="CK31" s="45"/>
      <c r="CL31" s="50"/>
      <c r="CM31" s="42"/>
      <c r="CN31" s="45"/>
      <c r="CO31" s="50"/>
      <c r="CP31" s="50"/>
      <c r="CQ31" s="50"/>
      <c r="CR31" s="50"/>
      <c r="CS31" s="45"/>
      <c r="CT31" s="45"/>
      <c r="CU31" s="50"/>
      <c r="CV31" s="42"/>
      <c r="CW31" s="45"/>
      <c r="CX31" s="50"/>
      <c r="CY31" s="42"/>
      <c r="CZ31" s="45"/>
      <c r="DA31" s="50"/>
      <c r="DB31" s="42"/>
      <c r="DC31" s="45"/>
      <c r="DD31" s="50"/>
      <c r="DE31" s="42"/>
      <c r="DF31" s="45"/>
      <c r="DG31" s="50"/>
      <c r="DH31" s="42"/>
      <c r="DI31" s="45"/>
      <c r="DJ31" s="50"/>
      <c r="DK31" s="42"/>
      <c r="DL31" s="45"/>
      <c r="DM31" s="50"/>
      <c r="DN31" s="42"/>
      <c r="DO31" s="45"/>
      <c r="DP31" s="50"/>
      <c r="DQ31" s="42"/>
      <c r="DR31" s="45"/>
      <c r="DS31" s="50"/>
      <c r="DT31" s="42"/>
      <c r="DU31" s="45"/>
      <c r="DV31" s="50"/>
      <c r="DW31" s="42"/>
      <c r="DX31" s="45"/>
      <c r="DY31" s="50"/>
      <c r="DZ31" s="42"/>
      <c r="EA31" s="45"/>
      <c r="EB31" s="50"/>
      <c r="EC31" s="42"/>
      <c r="ED31" s="45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0"/>
      <c r="IV31" s="50"/>
      <c r="IW31" s="50"/>
      <c r="IX31" s="50"/>
      <c r="IY31" s="50"/>
      <c r="IZ31" s="50"/>
      <c r="JA31" s="50"/>
      <c r="JB31" s="50"/>
      <c r="JC31" s="50"/>
      <c r="JD31" s="50"/>
      <c r="JE31" s="50"/>
      <c r="JF31" s="50"/>
      <c r="JG31" s="50"/>
      <c r="JH31" s="50"/>
      <c r="JI31" s="50"/>
      <c r="JJ31" s="50"/>
      <c r="JK31" s="50"/>
      <c r="JL31" s="50"/>
      <c r="JM31" s="50"/>
      <c r="JN31" s="50"/>
      <c r="JO31" s="50"/>
      <c r="JP31" s="50"/>
      <c r="JQ31" s="50"/>
      <c r="JR31" s="50"/>
      <c r="JS31" s="50"/>
      <c r="JT31" s="50"/>
      <c r="JU31" s="50"/>
      <c r="JV31" s="50"/>
      <c r="JW31" s="50"/>
      <c r="JX31" s="50"/>
      <c r="JY31" s="50"/>
      <c r="JZ31" s="50"/>
      <c r="KA31" s="50"/>
      <c r="KB31" s="50"/>
      <c r="KC31" s="50"/>
      <c r="KD31" s="50"/>
      <c r="KE31" s="50"/>
      <c r="KF31" s="50"/>
      <c r="KG31" s="50"/>
      <c r="KH31" s="50"/>
      <c r="KI31" s="50"/>
      <c r="KJ31" s="50"/>
      <c r="KK31" s="50"/>
      <c r="KL31" s="50"/>
      <c r="KM31" s="50"/>
      <c r="KN31" s="50"/>
      <c r="KO31" s="50"/>
      <c r="KP31" s="50"/>
      <c r="KQ31" s="50"/>
      <c r="KR31" s="50"/>
      <c r="KS31" s="50"/>
      <c r="KT31" s="50"/>
      <c r="KU31" s="50"/>
      <c r="KV31" s="50"/>
      <c r="KW31" s="50"/>
      <c r="KX31" s="50"/>
      <c r="KY31" s="50"/>
      <c r="KZ31" s="50"/>
      <c r="LA31" s="50"/>
      <c r="LB31" s="50"/>
      <c r="LC31" s="50"/>
      <c r="LD31" s="50"/>
      <c r="LE31" s="50"/>
      <c r="LF31" s="50"/>
      <c r="LG31" s="50"/>
      <c r="LH31" s="50"/>
      <c r="LI31" s="174"/>
      <c r="LJ31" s="174"/>
      <c r="LK31" s="50"/>
      <c r="LL31" s="174"/>
      <c r="LM31" s="50"/>
      <c r="LN31" s="50"/>
      <c r="LO31" s="50"/>
      <c r="LP31" s="50"/>
      <c r="LQ31" s="44"/>
      <c r="LR31" s="44"/>
      <c r="LS31" s="50"/>
      <c r="LT31" s="50"/>
      <c r="LU31" s="52"/>
      <c r="LV31" s="44"/>
      <c r="LW31" s="50"/>
      <c r="LX31" s="50"/>
      <c r="LY31" s="50"/>
      <c r="LZ31" s="50"/>
      <c r="MA31" s="50"/>
      <c r="MB31" s="50"/>
      <c r="MC31" s="50"/>
      <c r="MD31" s="50"/>
      <c r="ME31" s="50"/>
      <c r="MF31" s="50"/>
      <c r="MG31" s="50"/>
      <c r="MH31" s="50">
        <f t="shared" si="66"/>
        <v>0</v>
      </c>
      <c r="MI31" s="50">
        <f t="shared" si="50"/>
        <v>0</v>
      </c>
      <c r="MJ31" s="50">
        <f t="shared" si="51"/>
        <v>0</v>
      </c>
      <c r="MK31" s="50"/>
      <c r="ML31" s="50"/>
      <c r="MM31" s="50"/>
      <c r="MN31" s="50">
        <v>108.444799</v>
      </c>
      <c r="MO31" s="50"/>
      <c r="MP31" s="50">
        <v>108.444799</v>
      </c>
      <c r="MQ31" s="50">
        <v>16.010897029999999</v>
      </c>
      <c r="MR31" s="50">
        <v>0</v>
      </c>
      <c r="MS31" s="50">
        <v>16.010897029999999</v>
      </c>
      <c r="MT31" s="50">
        <v>46.653340319999998</v>
      </c>
      <c r="MU31" s="50">
        <v>0</v>
      </c>
      <c r="MV31" s="50">
        <v>46.653340319999998</v>
      </c>
      <c r="MW31" s="50">
        <v>57.285141270000004</v>
      </c>
      <c r="MX31" s="50">
        <v>0</v>
      </c>
      <c r="MY31" s="50">
        <v>57.285141270000004</v>
      </c>
      <c r="MZ31" s="50">
        <v>74.044946999999993</v>
      </c>
      <c r="NA31" s="50">
        <v>0</v>
      </c>
      <c r="NB31" s="50">
        <v>74.044946999999993</v>
      </c>
      <c r="NC31" s="50">
        <v>-38.021982999999999</v>
      </c>
      <c r="ND31" s="50">
        <v>0</v>
      </c>
      <c r="NE31" s="50">
        <v>-38.021982999999999</v>
      </c>
      <c r="NF31" s="50">
        <v>6.8669710000000004</v>
      </c>
      <c r="NG31" s="50">
        <v>0</v>
      </c>
      <c r="NH31" s="50">
        <v>6.8669710000000004</v>
      </c>
      <c r="NI31" s="50">
        <v>4.1647904499999999</v>
      </c>
      <c r="NJ31" s="50">
        <v>0</v>
      </c>
      <c r="NK31" s="50">
        <v>4.1647904499999999</v>
      </c>
      <c r="NL31" s="50">
        <v>15.1746669</v>
      </c>
      <c r="NM31" s="50">
        <v>0</v>
      </c>
      <c r="NN31" s="50">
        <v>15.1746669</v>
      </c>
      <c r="NO31" s="50">
        <v>-78.06193193</v>
      </c>
      <c r="NP31" s="50">
        <v>0</v>
      </c>
      <c r="NQ31" s="50">
        <v>-78.06193193</v>
      </c>
      <c r="NR31" s="50">
        <v>43.919421</v>
      </c>
      <c r="NS31" s="50">
        <v>0</v>
      </c>
      <c r="NT31" s="50">
        <v>43.919421</v>
      </c>
      <c r="NU31" s="50">
        <v>89.553413580000012</v>
      </c>
      <c r="NV31" s="50">
        <v>0</v>
      </c>
      <c r="NW31" s="50">
        <v>89.553413580000012</v>
      </c>
      <c r="NX31" s="50">
        <f>MN31+MQ31+MT31+MW31+MZ31+NC31+NF31+NI31+NL31+NO31+NR31+NU31</f>
        <v>346.03447261999997</v>
      </c>
      <c r="NY31" s="50">
        <f t="shared" si="40"/>
        <v>0</v>
      </c>
      <c r="NZ31" s="50">
        <f t="shared" si="41"/>
        <v>346.03447261999997</v>
      </c>
      <c r="OA31" s="50">
        <f t="shared" si="8"/>
        <v>346.03446100000002</v>
      </c>
      <c r="OB31" s="50"/>
      <c r="OC31" s="50">
        <v>346.03446100000002</v>
      </c>
      <c r="OD31" s="50">
        <v>-100.50582699999997</v>
      </c>
      <c r="OE31" s="50"/>
      <c r="OF31" s="50">
        <v>-100.50582699999997</v>
      </c>
      <c r="OG31" s="50">
        <v>9.4563140000000004E-2</v>
      </c>
      <c r="OH31" s="50"/>
      <c r="OI31" s="50">
        <v>9.4563140000000004E-2</v>
      </c>
      <c r="OJ31" s="50">
        <v>39.035239429999997</v>
      </c>
      <c r="OK31" s="50"/>
      <c r="OL31" s="50">
        <v>39.035239429999997</v>
      </c>
      <c r="OM31" s="50">
        <v>4.7994269200000002</v>
      </c>
      <c r="ON31" s="50"/>
      <c r="OO31" s="50">
        <v>4.7994269200000002</v>
      </c>
      <c r="OP31" s="50">
        <v>59.771283740000001</v>
      </c>
      <c r="OQ31" s="50"/>
      <c r="OR31" s="50">
        <v>59.771283740000001</v>
      </c>
      <c r="OS31" s="50">
        <v>-106.98573773000001</v>
      </c>
      <c r="OT31" s="50"/>
      <c r="OU31" s="50">
        <v>-106.98573773000001</v>
      </c>
      <c r="OV31" s="50">
        <v>10.1221838</v>
      </c>
      <c r="OW31" s="50"/>
      <c r="OX31" s="50">
        <v>10.1221838</v>
      </c>
      <c r="OY31" s="94">
        <v>-22.73803946</v>
      </c>
      <c r="OZ31" s="50"/>
      <c r="PA31" s="94">
        <v>-22.73803946</v>
      </c>
      <c r="PB31" s="50">
        <v>16.212695960000001</v>
      </c>
      <c r="PC31" s="50"/>
      <c r="PD31" s="50">
        <v>16.212695960000001</v>
      </c>
      <c r="PE31" s="50">
        <v>-26.931324750000002</v>
      </c>
      <c r="PF31" s="50"/>
      <c r="PG31" s="50">
        <v>-26.931324750000002</v>
      </c>
      <c r="PH31" s="50">
        <v>5.1394456399999999</v>
      </c>
      <c r="PI31" s="50"/>
      <c r="PJ31" s="50">
        <v>5.1394456399999999</v>
      </c>
      <c r="PK31" s="50">
        <v>139.84237862000001</v>
      </c>
      <c r="PL31" s="50"/>
      <c r="PM31" s="50">
        <v>139.84237862000001</v>
      </c>
      <c r="PN31" s="50">
        <f>OD31+OG31+OJ31+OM31+OP31+OS31+OV31+OY31+PB31+PE31+PH31+PK31</f>
        <v>17.856288310000039</v>
      </c>
      <c r="PO31" s="50">
        <f t="shared" si="42"/>
        <v>0</v>
      </c>
      <c r="PP31" s="50">
        <f t="shared" si="43"/>
        <v>17.856288310000039</v>
      </c>
      <c r="PQ31" s="50">
        <f t="shared" si="9"/>
        <v>17.856287999999999</v>
      </c>
      <c r="PR31" s="50"/>
      <c r="PS31" s="50">
        <v>17.856287999999999</v>
      </c>
      <c r="PT31" s="50">
        <v>-129.65501176999999</v>
      </c>
      <c r="PU31" s="50"/>
      <c r="PV31" s="50">
        <v>-129.65501176999999</v>
      </c>
      <c r="PW31" s="50">
        <v>6.4317831200000004</v>
      </c>
      <c r="PX31" s="50"/>
      <c r="PY31" s="50">
        <v>6.4317831200000004</v>
      </c>
      <c r="PZ31" s="50">
        <v>-11.924212610000001</v>
      </c>
      <c r="QA31" s="50"/>
      <c r="QB31" s="50">
        <v>-11.924212610000001</v>
      </c>
      <c r="QC31" s="50">
        <v>18.271030469999999</v>
      </c>
      <c r="QD31" s="50"/>
      <c r="QE31" s="50">
        <v>18.271030469999999</v>
      </c>
      <c r="QF31" s="50">
        <v>73.487500209999993</v>
      </c>
      <c r="QG31" s="50"/>
      <c r="QH31" s="50">
        <v>73.487500209999993</v>
      </c>
      <c r="QI31" s="50">
        <v>-108.10106795</v>
      </c>
      <c r="QJ31" s="50"/>
      <c r="QK31" s="50">
        <v>-108.10106795</v>
      </c>
      <c r="QL31" s="50">
        <v>-6.3888475300000005</v>
      </c>
      <c r="QM31" s="50"/>
      <c r="QN31" s="50">
        <v>-6.3888475300000005</v>
      </c>
      <c r="QO31" s="50">
        <v>-6.7772362299999998</v>
      </c>
      <c r="QP31" s="50"/>
      <c r="QQ31" s="50">
        <v>-6.7772362299999998</v>
      </c>
      <c r="QR31" s="50">
        <v>-15.61334416</v>
      </c>
      <c r="QS31" s="50"/>
      <c r="QT31" s="50">
        <v>-15.61334416</v>
      </c>
      <c r="QU31" s="50">
        <v>26.04573744</v>
      </c>
      <c r="QV31" s="50"/>
      <c r="QW31" s="50">
        <v>26.04573744</v>
      </c>
      <c r="QX31" s="50">
        <v>-18.672512879999999</v>
      </c>
      <c r="QY31" s="50"/>
      <c r="QZ31" s="50">
        <v>-18.672512879999999</v>
      </c>
      <c r="RA31" s="50">
        <v>134.08311295999999</v>
      </c>
      <c r="RB31" s="50"/>
      <c r="RC31" s="50">
        <v>134.08311295999999</v>
      </c>
      <c r="RD31" s="50">
        <f t="shared" si="52"/>
        <v>-38.813068929999986</v>
      </c>
      <c r="RE31" s="50">
        <f t="shared" si="53"/>
        <v>0</v>
      </c>
      <c r="RF31" s="50">
        <f t="shared" si="54"/>
        <v>-38.813068929999986</v>
      </c>
      <c r="RG31" s="50">
        <f t="shared" si="11"/>
        <v>-38.813068999999999</v>
      </c>
      <c r="RH31" s="50"/>
      <c r="RI31" s="50">
        <v>-38.813068999999999</v>
      </c>
      <c r="RJ31" s="50">
        <v>-144.84002692999999</v>
      </c>
      <c r="RK31" s="50"/>
      <c r="RL31" s="50">
        <v>-144.84002692999999</v>
      </c>
      <c r="RM31" s="50">
        <v>-7.8529006500000005</v>
      </c>
      <c r="RN31" s="50"/>
      <c r="RO31" s="50">
        <v>-7.8529006500000005</v>
      </c>
      <c r="RP31" s="50">
        <v>80.096921949999995</v>
      </c>
      <c r="RQ31" s="50"/>
      <c r="RR31" s="50">
        <v>80.096921949999995</v>
      </c>
      <c r="RS31" s="50">
        <v>-43.489684559999993</v>
      </c>
      <c r="RT31" s="50"/>
      <c r="RU31" s="50">
        <v>-43.489684559999993</v>
      </c>
      <c r="RV31" s="50">
        <v>53.921879650000001</v>
      </c>
      <c r="RW31" s="50"/>
      <c r="RX31" s="50">
        <v>53.921879650000001</v>
      </c>
      <c r="RY31" s="50">
        <v>-38.914134019999999</v>
      </c>
      <c r="RZ31" s="50"/>
      <c r="SA31" s="50">
        <v>-38.914134019999999</v>
      </c>
      <c r="SB31" s="50">
        <v>-3.3675344700000003</v>
      </c>
      <c r="SC31" s="50"/>
      <c r="SD31" s="50">
        <v>-3.3675344700000003</v>
      </c>
      <c r="SE31" s="50">
        <v>-11.24128499</v>
      </c>
      <c r="SF31" s="50"/>
      <c r="SG31" s="50">
        <v>-11.24128499</v>
      </c>
      <c r="SH31" s="50">
        <v>-6.6318157199999996</v>
      </c>
      <c r="SI31" s="50"/>
      <c r="SJ31" s="50">
        <v>-6.6318157199999996</v>
      </c>
      <c r="SK31" s="50">
        <v>-10.398508150000001</v>
      </c>
      <c r="SL31" s="50"/>
      <c r="SM31" s="50">
        <v>-10.398508150000001</v>
      </c>
      <c r="SN31" s="50">
        <v>8.2443690400000005</v>
      </c>
      <c r="SO31" s="50"/>
      <c r="SP31" s="50">
        <v>8.2443690400000005</v>
      </c>
      <c r="SQ31" s="50">
        <v>150.36969403000001</v>
      </c>
      <c r="SR31" s="50"/>
      <c r="SS31" s="50">
        <v>150.36969403000001</v>
      </c>
      <c r="ST31" s="50">
        <f t="shared" si="55"/>
        <v>25.896975179999984</v>
      </c>
      <c r="SU31" s="50">
        <f t="shared" si="65"/>
        <v>0</v>
      </c>
      <c r="SV31" s="50">
        <f t="shared" si="56"/>
        <v>25.896975179999984</v>
      </c>
      <c r="SW31" s="50">
        <f t="shared" si="44"/>
        <v>25.896975000000001</v>
      </c>
      <c r="SX31" s="50"/>
      <c r="SY31" s="50">
        <v>25.896975000000001</v>
      </c>
      <c r="SZ31" s="50">
        <v>-167.33376544999999</v>
      </c>
      <c r="TA31" s="50"/>
      <c r="TB31" s="50">
        <v>-167.33376544999999</v>
      </c>
      <c r="TC31" s="50">
        <v>-5.837085769999999</v>
      </c>
      <c r="TD31" s="50"/>
      <c r="TE31" s="50">
        <v>-5.837085769999999</v>
      </c>
      <c r="TF31" s="50">
        <v>72.739804839999991</v>
      </c>
      <c r="TG31" s="50"/>
      <c r="TH31" s="50">
        <v>72.739804839999991</v>
      </c>
      <c r="TI31" s="50">
        <v>-27.10248614</v>
      </c>
      <c r="TJ31" s="50"/>
      <c r="TK31" s="50">
        <v>-27.10248614</v>
      </c>
      <c r="TL31" s="50">
        <v>-1.3178509199999999</v>
      </c>
      <c r="TM31" s="50"/>
      <c r="TN31" s="50">
        <v>-1.3178509199999999</v>
      </c>
      <c r="TO31" s="50">
        <v>26.463781940000001</v>
      </c>
      <c r="TP31" s="50"/>
      <c r="TQ31" s="50">
        <v>26.463781940000001</v>
      </c>
      <c r="TR31" s="50">
        <v>-3.9396755099999998</v>
      </c>
      <c r="TS31" s="50"/>
      <c r="TT31" s="50">
        <v>-3.9396755099999998</v>
      </c>
      <c r="TU31" s="50">
        <v>-1.2945258100000001</v>
      </c>
      <c r="TV31" s="50"/>
      <c r="TW31" s="50">
        <v>-1.2945258100000001</v>
      </c>
      <c r="TX31" s="50">
        <v>-42.40067449</v>
      </c>
      <c r="TY31" s="50"/>
      <c r="TZ31" s="50">
        <v>-42.40067449</v>
      </c>
      <c r="UA31" s="50">
        <v>-0.68301065000000005</v>
      </c>
      <c r="UB31" s="50"/>
      <c r="UC31" s="50">
        <v>-0.68301065000000005</v>
      </c>
      <c r="UD31" s="50">
        <v>-2.3671898700000003</v>
      </c>
      <c r="UE31" s="50"/>
      <c r="UF31" s="50">
        <v>-2.3671898700000003</v>
      </c>
      <c r="UG31" s="50">
        <v>122.42129473999999</v>
      </c>
      <c r="UH31" s="50"/>
      <c r="UI31" s="50">
        <v>122.42129473999999</v>
      </c>
      <c r="UJ31" s="50">
        <f t="shared" si="45"/>
        <v>-30.651383089999982</v>
      </c>
      <c r="UK31" s="50">
        <f t="shared" si="15"/>
        <v>0</v>
      </c>
      <c r="UL31" s="50">
        <f t="shared" si="16"/>
        <v>-30.651383089999982</v>
      </c>
      <c r="UM31" s="50">
        <v>-131.96988658000001</v>
      </c>
      <c r="UN31" s="50"/>
      <c r="UO31" s="50">
        <v>-131.96988658000001</v>
      </c>
      <c r="UP31" s="50">
        <v>9.9572780899999991</v>
      </c>
      <c r="UQ31" s="50"/>
      <c r="UR31" s="50">
        <v>9.9572780899999991</v>
      </c>
      <c r="US31" s="50">
        <v>67.716127540000002</v>
      </c>
      <c r="UT31" s="50"/>
      <c r="UU31" s="50">
        <v>67.716127540000002</v>
      </c>
      <c r="UV31" s="50">
        <v>-27.697971800000001</v>
      </c>
      <c r="UW31" s="50"/>
      <c r="UX31" s="50">
        <v>-27.697971800000001</v>
      </c>
      <c r="UY31" s="50"/>
      <c r="UZ31" s="50"/>
      <c r="VA31" s="50"/>
      <c r="VB31" s="50"/>
      <c r="VC31" s="50"/>
      <c r="VD31" s="50"/>
      <c r="VE31" s="50"/>
      <c r="VF31" s="50"/>
      <c r="VG31" s="50"/>
      <c r="VH31" s="50"/>
      <c r="VI31" s="50"/>
      <c r="VJ31" s="50"/>
      <c r="VK31" s="50"/>
      <c r="VL31" s="50"/>
      <c r="VM31" s="50"/>
      <c r="VN31" s="50"/>
      <c r="VO31" s="50"/>
      <c r="VP31" s="50"/>
      <c r="VQ31" s="50"/>
      <c r="VR31" s="50"/>
      <c r="VS31" s="50"/>
      <c r="VT31" s="50"/>
      <c r="VU31" s="50"/>
      <c r="VV31" s="50"/>
      <c r="VW31" s="276">
        <f t="shared" si="57"/>
        <v>-127.53353300000001</v>
      </c>
      <c r="VX31" s="292">
        <f t="shared" si="58"/>
        <v>0</v>
      </c>
      <c r="VY31" s="292">
        <f t="shared" si="59"/>
        <v>-127.53353300000001</v>
      </c>
      <c r="VZ31" s="276">
        <f t="shared" si="60"/>
        <v>-81.994452999999993</v>
      </c>
      <c r="WA31" s="292">
        <f t="shared" si="61"/>
        <v>0</v>
      </c>
      <c r="WB31" s="292">
        <f t="shared" si="62"/>
        <v>-81.994452999999993</v>
      </c>
      <c r="WC31" s="277">
        <f>WB31-VY31</f>
        <v>45.539080000000013</v>
      </c>
      <c r="WD31" s="277">
        <f t="shared" si="87"/>
        <v>-35.707534268653887</v>
      </c>
    </row>
    <row r="32" spans="1:602" s="12" customFormat="1" ht="20.5">
      <c r="A32" s="42" t="s">
        <v>90</v>
      </c>
      <c r="B32" s="12" t="s">
        <v>91</v>
      </c>
      <c r="C32" s="42" t="s">
        <v>92</v>
      </c>
      <c r="D32" s="45">
        <v>319.27499558909744</v>
      </c>
      <c r="E32" s="42">
        <v>372.5245473844771</v>
      </c>
      <c r="F32" s="42">
        <v>581.28534555864792</v>
      </c>
      <c r="G32" s="42">
        <v>529.16859038935456</v>
      </c>
      <c r="H32" s="42">
        <v>27.136018007865633</v>
      </c>
      <c r="I32" s="42">
        <v>13.136537356076518</v>
      </c>
      <c r="J32" s="42">
        <v>16.175535426662343</v>
      </c>
      <c r="K32" s="42">
        <v>41.69910102959004</v>
      </c>
      <c r="L32" s="42">
        <v>25.633839591123554</v>
      </c>
      <c r="M32" s="42">
        <v>140.98425734628717</v>
      </c>
      <c r="N32" s="42">
        <v>29.775741173926161</v>
      </c>
      <c r="O32" s="42">
        <v>23.78326958867622</v>
      </c>
      <c r="P32" s="42">
        <v>50.29558738994087</v>
      </c>
      <c r="Q32" s="42">
        <v>21.058390390492939</v>
      </c>
      <c r="R32" s="42">
        <v>16.799311045469292</v>
      </c>
      <c r="S32" s="42">
        <v>35.650902669876665</v>
      </c>
      <c r="T32" s="42">
        <v>442.12849101598738</v>
      </c>
      <c r="U32" s="42">
        <v>0</v>
      </c>
      <c r="V32" s="42">
        <v>442.12849101598738</v>
      </c>
      <c r="W32" s="42">
        <v>441.57788942578588</v>
      </c>
      <c r="X32" s="42">
        <v>54.031227767627961</v>
      </c>
      <c r="Y32" s="42">
        <v>19.612194865140211</v>
      </c>
      <c r="Z32" s="42">
        <v>26.68718447817599</v>
      </c>
      <c r="AA32" s="42">
        <v>51.997961024695364</v>
      </c>
      <c r="AB32" s="42">
        <v>39.18611874718983</v>
      </c>
      <c r="AC32" s="42">
        <v>75.40336139236544</v>
      </c>
      <c r="AD32" s="42">
        <v>99.756967803256671</v>
      </c>
      <c r="AE32" s="42">
        <v>30.243074882897652</v>
      </c>
      <c r="AF32" s="42">
        <v>19.903816711344842</v>
      </c>
      <c r="AG32" s="42">
        <v>53.139139788618166</v>
      </c>
      <c r="AH32" s="42">
        <v>27.419445535312835</v>
      </c>
      <c r="AI32" s="42">
        <v>22.519315484829342</v>
      </c>
      <c r="AJ32" s="42">
        <f t="shared" si="46"/>
        <v>519.89980848145422</v>
      </c>
      <c r="AK32" s="42">
        <v>0</v>
      </c>
      <c r="AL32" s="42">
        <v>519.89980848145422</v>
      </c>
      <c r="AM32" s="42">
        <v>519.90859329201317</v>
      </c>
      <c r="AN32" s="42">
        <v>36.681665158422547</v>
      </c>
      <c r="AO32" s="42">
        <v>23.614524106294215</v>
      </c>
      <c r="AP32" s="42">
        <v>29.53167739512012</v>
      </c>
      <c r="AQ32" s="42">
        <v>55.470308933927527</v>
      </c>
      <c r="AR32" s="42">
        <v>68.185297750155101</v>
      </c>
      <c r="AS32" s="42">
        <v>30.672775055349714</v>
      </c>
      <c r="AT32" s="42">
        <v>80.163143636063538</v>
      </c>
      <c r="AU32" s="42">
        <v>44.447769221575292</v>
      </c>
      <c r="AV32" s="42">
        <v>26.583522575284146</v>
      </c>
      <c r="AW32" s="42">
        <v>29.640790319918498</v>
      </c>
      <c r="AX32" s="42">
        <v>20.508133135269578</v>
      </c>
      <c r="AY32" s="42">
        <v>24.360582751378764</v>
      </c>
      <c r="AZ32" s="42">
        <v>469.86019003875907</v>
      </c>
      <c r="BA32" s="42"/>
      <c r="BB32" s="42">
        <v>469.86019003875907</v>
      </c>
      <c r="BC32" s="45">
        <f t="shared" si="21"/>
        <v>469.75244733951428</v>
      </c>
      <c r="BD32" s="45"/>
      <c r="BE32" s="45">
        <v>469.75244733951428</v>
      </c>
      <c r="BF32" s="44">
        <v>21.662659999999999</v>
      </c>
      <c r="BG32" s="50"/>
      <c r="BH32" s="50">
        <f>BF32+BG32</f>
        <v>21.662659999999999</v>
      </c>
      <c r="BI32" s="45">
        <v>23.170815000000001</v>
      </c>
      <c r="BJ32" s="45"/>
      <c r="BK32" s="50">
        <f>BI32+BJ32</f>
        <v>23.170815000000001</v>
      </c>
      <c r="BL32" s="50">
        <v>18.638361</v>
      </c>
      <c r="BM32" s="50"/>
      <c r="BN32" s="50">
        <f>BL32+BM32</f>
        <v>18.638361</v>
      </c>
      <c r="BO32" s="50">
        <v>61.384554000000001</v>
      </c>
      <c r="BP32" s="50"/>
      <c r="BQ32" s="50">
        <f>BO32+BP32</f>
        <v>61.384554000000001</v>
      </c>
      <c r="BR32" s="50">
        <v>113.60826400000001</v>
      </c>
      <c r="BS32" s="50"/>
      <c r="BT32" s="50">
        <f>BR32+BS32</f>
        <v>113.60826400000001</v>
      </c>
      <c r="BU32" s="50">
        <v>25.50168</v>
      </c>
      <c r="BV32" s="50"/>
      <c r="BW32" s="50">
        <f>BU32+BV32</f>
        <v>25.50168</v>
      </c>
      <c r="BX32" s="50">
        <v>32.306075999999997</v>
      </c>
      <c r="BY32" s="50"/>
      <c r="BZ32" s="50">
        <f>BX32+BY32</f>
        <v>32.306075999999997</v>
      </c>
      <c r="CA32" s="50">
        <v>26.105989000000001</v>
      </c>
      <c r="CB32" s="50"/>
      <c r="CC32" s="50">
        <f>CA32+CB32</f>
        <v>26.105989000000001</v>
      </c>
      <c r="CD32" s="50">
        <v>18.207465070000008</v>
      </c>
      <c r="CE32" s="50"/>
      <c r="CF32" s="50">
        <f>CD32+CE32</f>
        <v>18.207465070000008</v>
      </c>
      <c r="CG32" s="50">
        <v>23.206956730000009</v>
      </c>
      <c r="CH32" s="50"/>
      <c r="CI32" s="50">
        <f>CG32+CH32</f>
        <v>23.206956730000009</v>
      </c>
      <c r="CJ32" s="45">
        <v>21.126941419999984</v>
      </c>
      <c r="CK32" s="45"/>
      <c r="CL32" s="50">
        <f>CJ32+CK32</f>
        <v>21.126941419999984</v>
      </c>
      <c r="CM32" s="42">
        <v>31.400993119999999</v>
      </c>
      <c r="CN32" s="45"/>
      <c r="CO32" s="50">
        <f>CM32+CN32</f>
        <v>31.400993119999999</v>
      </c>
      <c r="CP32" s="50">
        <f t="shared" si="24"/>
        <v>416.32075534000006</v>
      </c>
      <c r="CQ32" s="50">
        <f t="shared" si="25"/>
        <v>0</v>
      </c>
      <c r="CR32" s="50">
        <f t="shared" si="26"/>
        <v>416.32075534000006</v>
      </c>
      <c r="CS32" s="45">
        <f t="shared" si="2"/>
        <v>416.34553099999999</v>
      </c>
      <c r="CT32" s="45"/>
      <c r="CU32" s="45">
        <v>416.34553099999999</v>
      </c>
      <c r="CV32" s="42">
        <v>31.17233285999999</v>
      </c>
      <c r="CW32" s="45"/>
      <c r="CX32" s="50">
        <f>CV32+CW32</f>
        <v>31.17233285999999</v>
      </c>
      <c r="CY32" s="42">
        <v>23.841698799999996</v>
      </c>
      <c r="CZ32" s="45"/>
      <c r="DA32" s="50">
        <v>23.841698799999996</v>
      </c>
      <c r="DB32" s="42">
        <v>16.183289739999996</v>
      </c>
      <c r="DC32" s="45"/>
      <c r="DD32" s="50">
        <v>16.183289739999996</v>
      </c>
      <c r="DE32" s="42">
        <v>77.95701837</v>
      </c>
      <c r="DF32" s="45"/>
      <c r="DG32" s="50">
        <v>77.95701837</v>
      </c>
      <c r="DH32" s="42">
        <v>37.170960019999995</v>
      </c>
      <c r="DI32" s="45"/>
      <c r="DJ32" s="50">
        <v>37.170960019999995</v>
      </c>
      <c r="DK32" s="42">
        <v>71.627164539999995</v>
      </c>
      <c r="DL32" s="45"/>
      <c r="DM32" s="50">
        <v>71.627164539999995</v>
      </c>
      <c r="DN32" s="42">
        <v>32.477409010000002</v>
      </c>
      <c r="DO32" s="45"/>
      <c r="DP32" s="50">
        <v>32.477409010000002</v>
      </c>
      <c r="DQ32" s="42">
        <v>24.955101150000001</v>
      </c>
      <c r="DR32" s="45"/>
      <c r="DS32" s="50">
        <v>24.955101150000001</v>
      </c>
      <c r="DT32" s="42">
        <v>17.043261419999997</v>
      </c>
      <c r="DU32" s="45"/>
      <c r="DV32" s="50">
        <v>17.043261419999997</v>
      </c>
      <c r="DW32" s="42">
        <v>19.562437710000005</v>
      </c>
      <c r="DX32" s="45"/>
      <c r="DY32" s="50">
        <v>19.562437710000005</v>
      </c>
      <c r="DZ32" s="42">
        <v>20.668102409999999</v>
      </c>
      <c r="EA32" s="45"/>
      <c r="EB32" s="50">
        <v>20.668102409999999</v>
      </c>
      <c r="EC32" s="42">
        <v>51.171313490000003</v>
      </c>
      <c r="ED32" s="45"/>
      <c r="EE32" s="50">
        <v>51.171313490000003</v>
      </c>
      <c r="EF32" s="50">
        <f t="shared" si="27"/>
        <v>423.83008952</v>
      </c>
      <c r="EG32" s="50">
        <f t="shared" si="28"/>
        <v>0</v>
      </c>
      <c r="EH32" s="50">
        <f t="shared" si="29"/>
        <v>423.83008952</v>
      </c>
      <c r="EI32" s="50">
        <f t="shared" si="70"/>
        <v>424.11328600000002</v>
      </c>
      <c r="EJ32" s="50"/>
      <c r="EK32" s="50">
        <v>424.11328600000002</v>
      </c>
      <c r="EL32" s="50">
        <v>17.295381810000002</v>
      </c>
      <c r="EM32" s="50"/>
      <c r="EN32" s="50">
        <v>17.295381810000002</v>
      </c>
      <c r="EO32" s="50">
        <v>21.720692759999999</v>
      </c>
      <c r="EP32" s="50"/>
      <c r="EQ32" s="50">
        <v>21.720692759999999</v>
      </c>
      <c r="ER32" s="50">
        <v>18.01597164</v>
      </c>
      <c r="ES32" s="50"/>
      <c r="ET32" s="50">
        <v>18.01597164</v>
      </c>
      <c r="EU32" s="50">
        <v>58.484586610000008</v>
      </c>
      <c r="EV32" s="50"/>
      <c r="EW32" s="50">
        <v>58.484586610000008</v>
      </c>
      <c r="EX32" s="50">
        <v>112.14901920999999</v>
      </c>
      <c r="EY32" s="50"/>
      <c r="EZ32" s="50">
        <v>112.14901920999999</v>
      </c>
      <c r="FA32" s="50">
        <v>19.103300229999995</v>
      </c>
      <c r="FB32" s="50"/>
      <c r="FC32" s="50">
        <v>19.103300229999995</v>
      </c>
      <c r="FD32" s="50">
        <v>60.316499549999996</v>
      </c>
      <c r="FE32" s="50"/>
      <c r="FF32" s="50">
        <v>60.316499549999996</v>
      </c>
      <c r="FG32" s="50">
        <v>22.006211409999999</v>
      </c>
      <c r="FH32" s="50"/>
      <c r="FI32" s="50">
        <v>22.006211409999999</v>
      </c>
      <c r="FJ32" s="50">
        <v>69.563579700000048</v>
      </c>
      <c r="FK32" s="50"/>
      <c r="FL32" s="50">
        <v>69.563579700000048</v>
      </c>
      <c r="FM32" s="50">
        <v>19.078138539999994</v>
      </c>
      <c r="FN32" s="50"/>
      <c r="FO32" s="50">
        <v>19.078138539999994</v>
      </c>
      <c r="FP32" s="50">
        <v>22.65711117</v>
      </c>
      <c r="FQ32" s="50"/>
      <c r="FR32" s="50">
        <v>22.65711117</v>
      </c>
      <c r="FS32" s="50">
        <v>33.571830859999999</v>
      </c>
      <c r="FT32" s="50"/>
      <c r="FU32" s="50">
        <v>33.571830859999999</v>
      </c>
      <c r="FV32" s="50">
        <f t="shared" si="30"/>
        <v>473.96232349000002</v>
      </c>
      <c r="FW32" s="50">
        <f t="shared" si="31"/>
        <v>0</v>
      </c>
      <c r="FX32" s="50">
        <f t="shared" si="32"/>
        <v>473.96232349000002</v>
      </c>
      <c r="FY32" s="50">
        <f t="shared" si="71"/>
        <v>473.96232300000003</v>
      </c>
      <c r="FZ32" s="50"/>
      <c r="GA32" s="50">
        <v>473.96232300000003</v>
      </c>
      <c r="GB32" s="50">
        <v>18.816119950000012</v>
      </c>
      <c r="GC32" s="50"/>
      <c r="GD32" s="50">
        <v>18.816119950000012</v>
      </c>
      <c r="GE32" s="50">
        <v>23.761469529999992</v>
      </c>
      <c r="GF32" s="50"/>
      <c r="GG32" s="50">
        <v>23.761469529999992</v>
      </c>
      <c r="GH32" s="50">
        <v>18.186205889999993</v>
      </c>
      <c r="GI32" s="50"/>
      <c r="GJ32" s="50">
        <v>18.186205889999993</v>
      </c>
      <c r="GK32" s="50">
        <v>45.895055000000006</v>
      </c>
      <c r="GL32" s="50"/>
      <c r="GM32" s="50">
        <v>45.895055000000006</v>
      </c>
      <c r="GN32" s="50">
        <v>113.78840968999999</v>
      </c>
      <c r="GO32" s="50"/>
      <c r="GP32" s="50">
        <v>113.78840968999999</v>
      </c>
      <c r="GQ32" s="50">
        <v>60.861413299999995</v>
      </c>
      <c r="GR32" s="50"/>
      <c r="GS32" s="50">
        <v>60.861413299999995</v>
      </c>
      <c r="GT32" s="50">
        <v>23.317263369999992</v>
      </c>
      <c r="GU32" s="50"/>
      <c r="GV32" s="50">
        <v>23.317263369999992</v>
      </c>
      <c r="GW32" s="50">
        <v>23.480149619999988</v>
      </c>
      <c r="GX32" s="50"/>
      <c r="GY32" s="50">
        <v>23.480149619999988</v>
      </c>
      <c r="GZ32" s="50">
        <v>15.815822730000004</v>
      </c>
      <c r="HA32" s="50"/>
      <c r="HB32" s="50">
        <v>15.815822730000004</v>
      </c>
      <c r="HC32" s="50">
        <v>20.515559919999994</v>
      </c>
      <c r="HD32" s="50"/>
      <c r="HE32" s="50">
        <v>20.515559919999994</v>
      </c>
      <c r="HF32" s="50">
        <v>25.083618189999989</v>
      </c>
      <c r="HG32" s="50"/>
      <c r="HH32" s="50">
        <v>25.083618189999989</v>
      </c>
      <c r="HI32" s="50">
        <v>29.245323540000008</v>
      </c>
      <c r="HJ32" s="50"/>
      <c r="HK32" s="50">
        <v>29.245323540000008</v>
      </c>
      <c r="HL32" s="50">
        <f t="shared" si="33"/>
        <v>418.7664107299999</v>
      </c>
      <c r="HM32" s="50">
        <f t="shared" si="34"/>
        <v>0</v>
      </c>
      <c r="HN32" s="50">
        <f t="shared" si="35"/>
        <v>418.7664107299999</v>
      </c>
      <c r="HO32" s="50">
        <f t="shared" si="3"/>
        <v>418.76641100000001</v>
      </c>
      <c r="HP32" s="50"/>
      <c r="HQ32" s="50">
        <v>418.76641100000001</v>
      </c>
      <c r="HR32" s="50">
        <v>21.836707830000005</v>
      </c>
      <c r="HS32" s="50">
        <v>0</v>
      </c>
      <c r="HT32" s="50">
        <v>21.836707830000005</v>
      </c>
      <c r="HU32" s="50">
        <v>17.783058160000007</v>
      </c>
      <c r="HV32" s="50">
        <v>0</v>
      </c>
      <c r="HW32" s="50">
        <v>17.783058160000007</v>
      </c>
      <c r="HX32" s="50">
        <v>19.830971000000005</v>
      </c>
      <c r="HY32" s="50">
        <v>0</v>
      </c>
      <c r="HZ32" s="50">
        <v>19.830971000000005</v>
      </c>
      <c r="IA32" s="50">
        <v>59.700736320000004</v>
      </c>
      <c r="IB32" s="50">
        <v>0</v>
      </c>
      <c r="IC32" s="50">
        <v>59.700736320000004</v>
      </c>
      <c r="ID32" s="50">
        <v>200.42580547000003</v>
      </c>
      <c r="IE32" s="50">
        <v>0</v>
      </c>
      <c r="IF32" s="50">
        <v>200.42580547000003</v>
      </c>
      <c r="IG32" s="50">
        <v>65.626238459999996</v>
      </c>
      <c r="IH32" s="50">
        <v>0</v>
      </c>
      <c r="II32" s="50">
        <v>65.626238459999996</v>
      </c>
      <c r="IJ32" s="50">
        <v>26.178586760000005</v>
      </c>
      <c r="IK32" s="50">
        <v>0</v>
      </c>
      <c r="IL32" s="50">
        <v>26.178586760000005</v>
      </c>
      <c r="IM32" s="50">
        <v>21.310415450000004</v>
      </c>
      <c r="IN32" s="50">
        <v>0</v>
      </c>
      <c r="IO32" s="50">
        <v>21.310415450000004</v>
      </c>
      <c r="IP32" s="50">
        <v>43.112426329999984</v>
      </c>
      <c r="IQ32" s="50">
        <v>0</v>
      </c>
      <c r="IR32" s="50">
        <v>43.112426329999984</v>
      </c>
      <c r="IS32" s="50">
        <v>27.877720360000001</v>
      </c>
      <c r="IT32" s="50">
        <v>0</v>
      </c>
      <c r="IU32" s="50">
        <v>27.877720360000001</v>
      </c>
      <c r="IV32" s="50">
        <v>82.147117030000004</v>
      </c>
      <c r="IW32" s="50">
        <v>0</v>
      </c>
      <c r="IX32" s="50">
        <v>82.147117030000004</v>
      </c>
      <c r="IY32" s="50">
        <v>25.335884410000016</v>
      </c>
      <c r="IZ32" s="50">
        <v>0</v>
      </c>
      <c r="JA32" s="50">
        <v>25.335884410000016</v>
      </c>
      <c r="JB32" s="50">
        <f t="shared" si="36"/>
        <v>611.1656675800001</v>
      </c>
      <c r="JC32" s="50">
        <f t="shared" si="37"/>
        <v>0</v>
      </c>
      <c r="JD32" s="50">
        <f t="shared" si="38"/>
        <v>611.1656675800001</v>
      </c>
      <c r="JE32" s="50">
        <f t="shared" si="4"/>
        <v>611.18005100000005</v>
      </c>
      <c r="JF32" s="50"/>
      <c r="JG32" s="50">
        <v>611.18005100000005</v>
      </c>
      <c r="JH32" s="50">
        <v>21.350490230000009</v>
      </c>
      <c r="JI32" s="50">
        <v>0</v>
      </c>
      <c r="JJ32" s="50">
        <v>21.350490230000009</v>
      </c>
      <c r="JK32" s="50">
        <v>18.203983129999997</v>
      </c>
      <c r="JL32" s="50">
        <v>0</v>
      </c>
      <c r="JM32" s="50">
        <v>18.203983129999997</v>
      </c>
      <c r="JN32" s="50">
        <v>26.561380420000006</v>
      </c>
      <c r="JO32" s="50">
        <v>0</v>
      </c>
      <c r="JP32" s="50">
        <v>26.561380420000006</v>
      </c>
      <c r="JQ32" s="50">
        <v>51.182052290000009</v>
      </c>
      <c r="JR32" s="50">
        <v>0</v>
      </c>
      <c r="JS32" s="50">
        <v>51.182052290000009</v>
      </c>
      <c r="JT32" s="50">
        <v>227.63414256999999</v>
      </c>
      <c r="JU32" s="50">
        <v>0</v>
      </c>
      <c r="JV32" s="50">
        <v>227.63414256999999</v>
      </c>
      <c r="JW32" s="50">
        <v>33.57358983000001</v>
      </c>
      <c r="JX32" s="50">
        <v>0</v>
      </c>
      <c r="JY32" s="50">
        <v>33.57358983000001</v>
      </c>
      <c r="JZ32" s="50">
        <v>30.452371260000003</v>
      </c>
      <c r="KA32" s="50">
        <v>0</v>
      </c>
      <c r="KB32" s="50">
        <v>30.452371260000003</v>
      </c>
      <c r="KC32" s="50">
        <v>22.369887509999998</v>
      </c>
      <c r="KD32" s="50">
        <v>0</v>
      </c>
      <c r="KE32" s="50">
        <v>22.369887509999998</v>
      </c>
      <c r="KF32" s="50">
        <v>21.659004939999999</v>
      </c>
      <c r="KG32" s="50">
        <v>0</v>
      </c>
      <c r="KH32" s="50">
        <v>21.659004939999999</v>
      </c>
      <c r="KI32" s="50">
        <v>24.040832669999997</v>
      </c>
      <c r="KJ32" s="50">
        <v>0</v>
      </c>
      <c r="KK32" s="50">
        <v>24.040832669999997</v>
      </c>
      <c r="KL32" s="50">
        <v>21.99849738</v>
      </c>
      <c r="KM32" s="50">
        <v>0</v>
      </c>
      <c r="KN32" s="50">
        <v>21.99849738</v>
      </c>
      <c r="KO32" s="50">
        <v>29.984680249999982</v>
      </c>
      <c r="KP32" s="50">
        <v>0</v>
      </c>
      <c r="KQ32" s="50">
        <v>29.984680249999982</v>
      </c>
      <c r="KR32" s="50">
        <f t="shared" si="48"/>
        <v>529.01091248</v>
      </c>
      <c r="KS32" s="50">
        <f t="shared" si="39"/>
        <v>0</v>
      </c>
      <c r="KT32" s="50">
        <f t="shared" si="49"/>
        <v>529.01091248</v>
      </c>
      <c r="KU32" s="50">
        <f t="shared" si="5"/>
        <v>529.01091199999996</v>
      </c>
      <c r="KV32" s="50"/>
      <c r="KW32" s="50">
        <v>529.01091199999996</v>
      </c>
      <c r="KX32" s="50">
        <v>29.550463849999996</v>
      </c>
      <c r="KY32" s="50">
        <v>0</v>
      </c>
      <c r="KZ32" s="50">
        <v>29.550463849999996</v>
      </c>
      <c r="LA32" s="50">
        <v>23.004786899999999</v>
      </c>
      <c r="LB32" s="50">
        <v>0</v>
      </c>
      <c r="LC32" s="50">
        <v>23.004786899999999</v>
      </c>
      <c r="LD32" s="50">
        <v>38.548250820000014</v>
      </c>
      <c r="LE32" s="50"/>
      <c r="LF32" s="50">
        <v>38.548250820000014</v>
      </c>
      <c r="LG32" s="50">
        <v>60.150465800000013</v>
      </c>
      <c r="LH32" s="50">
        <v>0</v>
      </c>
      <c r="LI32" s="174">
        <v>60.150465800000013</v>
      </c>
      <c r="LJ32" s="174">
        <v>161.05034852</v>
      </c>
      <c r="LK32" s="50">
        <v>0</v>
      </c>
      <c r="LL32" s="174">
        <v>161.05034852</v>
      </c>
      <c r="LM32" s="50">
        <v>84.252197590000009</v>
      </c>
      <c r="LN32" s="50">
        <v>0</v>
      </c>
      <c r="LO32" s="50">
        <v>84.252197590000009</v>
      </c>
      <c r="LP32" s="50">
        <v>23.10885528</v>
      </c>
      <c r="LQ32" s="44">
        <v>0</v>
      </c>
      <c r="LR32" s="44">
        <v>23.10885528</v>
      </c>
      <c r="LS32" s="50">
        <v>18.85106785</v>
      </c>
      <c r="LT32" s="50">
        <v>0</v>
      </c>
      <c r="LU32" s="52">
        <v>18.85106785</v>
      </c>
      <c r="LV32" s="44">
        <v>22.738049100000001</v>
      </c>
      <c r="LW32" s="50">
        <v>0</v>
      </c>
      <c r="LX32" s="50">
        <v>22.738049100000001</v>
      </c>
      <c r="LY32" s="50">
        <v>29.181256420000008</v>
      </c>
      <c r="LZ32" s="50">
        <v>0</v>
      </c>
      <c r="MA32" s="50">
        <v>29.181256420000008</v>
      </c>
      <c r="MB32" s="50">
        <v>33.695280600000011</v>
      </c>
      <c r="MC32" s="50">
        <v>0</v>
      </c>
      <c r="MD32" s="50">
        <v>33.695280600000011</v>
      </c>
      <c r="ME32" s="50">
        <v>30.601515370000005</v>
      </c>
      <c r="MF32" s="50">
        <v>0</v>
      </c>
      <c r="MG32" s="50">
        <v>30.601515370000005</v>
      </c>
      <c r="MH32" s="50">
        <f t="shared" si="66"/>
        <v>554.73253810000006</v>
      </c>
      <c r="MI32" s="50">
        <f t="shared" si="50"/>
        <v>0</v>
      </c>
      <c r="MJ32" s="50">
        <f t="shared" si="51"/>
        <v>554.73253810000006</v>
      </c>
      <c r="MK32" s="50">
        <f t="shared" si="7"/>
        <v>547.98486300000002</v>
      </c>
      <c r="ML32" s="50"/>
      <c r="MM32" s="50">
        <v>547.98486300000002</v>
      </c>
      <c r="MN32" s="50">
        <v>24.986643999999998</v>
      </c>
      <c r="MO32" s="50">
        <v>0</v>
      </c>
      <c r="MP32" s="50">
        <v>24.986643999999998</v>
      </c>
      <c r="MQ32" s="50">
        <v>34.286614</v>
      </c>
      <c r="MR32" s="50">
        <v>0</v>
      </c>
      <c r="MS32" s="50">
        <v>34.286614</v>
      </c>
      <c r="MT32" s="50">
        <v>27.073335000000004</v>
      </c>
      <c r="MU32" s="50">
        <v>0</v>
      </c>
      <c r="MV32" s="50">
        <v>27.073335000000004</v>
      </c>
      <c r="MW32" s="50">
        <v>33.433427000000002</v>
      </c>
      <c r="MX32" s="50">
        <v>0</v>
      </c>
      <c r="MY32" s="50">
        <v>33.433427000000002</v>
      </c>
      <c r="MZ32" s="50">
        <v>170.00129699999994</v>
      </c>
      <c r="NA32" s="50">
        <v>0</v>
      </c>
      <c r="NB32" s="50">
        <v>170.00129699999994</v>
      </c>
      <c r="NC32" s="50">
        <v>121.41255100000005</v>
      </c>
      <c r="ND32" s="50">
        <v>0</v>
      </c>
      <c r="NE32" s="50">
        <v>121.41255100000005</v>
      </c>
      <c r="NF32" s="50">
        <v>36.21750500000001</v>
      </c>
      <c r="NG32" s="50">
        <v>0</v>
      </c>
      <c r="NH32" s="50">
        <v>36.21750500000001</v>
      </c>
      <c r="NI32" s="50">
        <v>24.119845999999999</v>
      </c>
      <c r="NJ32" s="50">
        <v>0</v>
      </c>
      <c r="NK32" s="50">
        <v>24.119845999999999</v>
      </c>
      <c r="NL32" s="50">
        <v>47.668253</v>
      </c>
      <c r="NM32" s="50">
        <v>0</v>
      </c>
      <c r="NN32" s="50">
        <v>47.668253</v>
      </c>
      <c r="NO32" s="50">
        <v>37.942748999999992</v>
      </c>
      <c r="NP32" s="50">
        <v>0</v>
      </c>
      <c r="NQ32" s="50">
        <v>37.942748999999992</v>
      </c>
      <c r="NR32" s="50">
        <v>32.586820660000001</v>
      </c>
      <c r="NS32" s="50">
        <v>0</v>
      </c>
      <c r="NT32" s="50">
        <v>32.586820660000001</v>
      </c>
      <c r="NU32" s="50">
        <v>40.32472099999999</v>
      </c>
      <c r="NV32" s="50">
        <v>0</v>
      </c>
      <c r="NW32" s="50">
        <v>40.32472099999999</v>
      </c>
      <c r="NX32" s="50">
        <f t="shared" si="67"/>
        <v>630.05376266000007</v>
      </c>
      <c r="NY32" s="50">
        <f t="shared" si="40"/>
        <v>0</v>
      </c>
      <c r="NZ32" s="50">
        <f t="shared" si="41"/>
        <v>630.05376266000007</v>
      </c>
      <c r="OA32" s="50">
        <f t="shared" si="8"/>
        <v>620.43193399999996</v>
      </c>
      <c r="OB32" s="50"/>
      <c r="OC32" s="50">
        <v>620.43193399999996</v>
      </c>
      <c r="OD32" s="50">
        <v>24.18813152000001</v>
      </c>
      <c r="OE32" s="50"/>
      <c r="OF32" s="50">
        <v>24.18813152000001</v>
      </c>
      <c r="OG32" s="50">
        <v>36.221069469999996</v>
      </c>
      <c r="OH32" s="50"/>
      <c r="OI32" s="50">
        <v>36.221069469999996</v>
      </c>
      <c r="OJ32" s="50">
        <v>55.480207369999981</v>
      </c>
      <c r="OK32" s="50"/>
      <c r="OL32" s="50">
        <v>55.480207369999981</v>
      </c>
      <c r="OM32" s="50">
        <v>60.669548139999996</v>
      </c>
      <c r="ON32" s="50"/>
      <c r="OO32" s="50">
        <v>60.669548139999996</v>
      </c>
      <c r="OP32" s="50">
        <v>73.783366960000009</v>
      </c>
      <c r="OQ32" s="50"/>
      <c r="OR32" s="50">
        <v>73.783366960000009</v>
      </c>
      <c r="OS32" s="50">
        <v>116.03427526</v>
      </c>
      <c r="OT32" s="50"/>
      <c r="OU32" s="50">
        <v>116.03427526</v>
      </c>
      <c r="OV32" s="50">
        <v>122.67075562000004</v>
      </c>
      <c r="OW32" s="50"/>
      <c r="OX32" s="50">
        <v>122.67075562000004</v>
      </c>
      <c r="OY32" s="94">
        <v>37.435241900000008</v>
      </c>
      <c r="OZ32" s="50"/>
      <c r="PA32" s="94">
        <v>37.435241900000008</v>
      </c>
      <c r="PB32" s="50">
        <v>28.919452360000001</v>
      </c>
      <c r="PC32" s="50"/>
      <c r="PD32" s="50">
        <v>28.919452360000001</v>
      </c>
      <c r="PE32" s="50">
        <v>38.383778509999978</v>
      </c>
      <c r="PF32" s="50"/>
      <c r="PG32" s="50">
        <v>38.383778509999978</v>
      </c>
      <c r="PH32" s="50">
        <v>39.52784848999999</v>
      </c>
      <c r="PI32" s="50"/>
      <c r="PJ32" s="50">
        <v>39.52784848999999</v>
      </c>
      <c r="PK32" s="50">
        <v>39.890020220000004</v>
      </c>
      <c r="PL32" s="50"/>
      <c r="PM32" s="50">
        <v>39.890020220000004</v>
      </c>
      <c r="PN32" s="50">
        <f t="shared" ref="PN32:PN43" si="88">OD32+OG32+OJ32+OM32+OP32+OS32+OV32+OY32+PB32+PE32+PH32+PK32</f>
        <v>673.20369582000001</v>
      </c>
      <c r="PO32" s="50">
        <f t="shared" si="42"/>
        <v>0</v>
      </c>
      <c r="PP32" s="50">
        <f t="shared" si="43"/>
        <v>673.20369582000001</v>
      </c>
      <c r="PQ32" s="50">
        <f t="shared" si="9"/>
        <v>668.80128200000001</v>
      </c>
      <c r="PR32" s="50"/>
      <c r="PS32" s="50">
        <v>668.80128200000001</v>
      </c>
      <c r="PT32" s="50">
        <v>42.740543099999989</v>
      </c>
      <c r="PU32" s="50"/>
      <c r="PV32" s="50">
        <v>42.740543099999989</v>
      </c>
      <c r="PW32" s="50">
        <v>39.877345699999999</v>
      </c>
      <c r="PX32" s="50"/>
      <c r="PY32" s="50">
        <v>39.877345699999999</v>
      </c>
      <c r="PZ32" s="50">
        <v>41.344606599999992</v>
      </c>
      <c r="QA32" s="50"/>
      <c r="QB32" s="50">
        <v>41.344606599999992</v>
      </c>
      <c r="QC32" s="50">
        <v>73.083824910000004</v>
      </c>
      <c r="QD32" s="50"/>
      <c r="QE32" s="50">
        <v>73.083824910000004</v>
      </c>
      <c r="QF32" s="50">
        <v>177.11566382999999</v>
      </c>
      <c r="QG32" s="50"/>
      <c r="QH32" s="50">
        <v>177.11566382999999</v>
      </c>
      <c r="QI32" s="50">
        <v>220.53585587000001</v>
      </c>
      <c r="QJ32" s="50"/>
      <c r="QK32" s="50">
        <v>220.53585587000001</v>
      </c>
      <c r="QL32" s="50">
        <v>82.638550010000031</v>
      </c>
      <c r="QM32" s="50"/>
      <c r="QN32" s="50">
        <v>82.638550010000031</v>
      </c>
      <c r="QO32" s="50">
        <v>65.676552010000023</v>
      </c>
      <c r="QP32" s="50"/>
      <c r="QQ32" s="50">
        <v>65.676552010000023</v>
      </c>
      <c r="QR32" s="50">
        <v>41.666245999999987</v>
      </c>
      <c r="QS32" s="50"/>
      <c r="QT32" s="50">
        <v>41.666245999999987</v>
      </c>
      <c r="QU32" s="50">
        <v>62.535995090000036</v>
      </c>
      <c r="QV32" s="50"/>
      <c r="QW32" s="50">
        <v>62.535995090000036</v>
      </c>
      <c r="QX32" s="50">
        <v>67.190936180000023</v>
      </c>
      <c r="QY32" s="50"/>
      <c r="QZ32" s="50">
        <v>67.190936180000023</v>
      </c>
      <c r="RA32" s="50">
        <v>43.978732579999999</v>
      </c>
      <c r="RB32" s="50"/>
      <c r="RC32" s="50">
        <v>43.978732579999999</v>
      </c>
      <c r="RD32" s="50">
        <f t="shared" si="52"/>
        <v>958.38485188000004</v>
      </c>
      <c r="RE32" s="50">
        <f t="shared" si="53"/>
        <v>0</v>
      </c>
      <c r="RF32" s="50">
        <f t="shared" si="54"/>
        <v>958.38485188000004</v>
      </c>
      <c r="RG32" s="50">
        <f t="shared" si="11"/>
        <v>955.64419099999998</v>
      </c>
      <c r="RH32" s="50"/>
      <c r="RI32" s="50">
        <v>955.64419099999998</v>
      </c>
      <c r="RJ32" s="50">
        <v>92.587119670000021</v>
      </c>
      <c r="RK32" s="50"/>
      <c r="RL32" s="50">
        <v>92.587119670000021</v>
      </c>
      <c r="RM32" s="50">
        <v>47.037821410000021</v>
      </c>
      <c r="RN32" s="50"/>
      <c r="RO32" s="50">
        <v>47.037821410000021</v>
      </c>
      <c r="RP32" s="50">
        <v>35.645376739999982</v>
      </c>
      <c r="RQ32" s="50"/>
      <c r="RR32" s="50">
        <v>35.645376739999982</v>
      </c>
      <c r="RS32" s="50">
        <v>86.100425379999976</v>
      </c>
      <c r="RT32" s="50"/>
      <c r="RU32" s="50">
        <v>86.100425379999976</v>
      </c>
      <c r="RV32" s="50">
        <v>88.350336420000005</v>
      </c>
      <c r="RW32" s="50"/>
      <c r="RX32" s="50">
        <v>88.350336420000005</v>
      </c>
      <c r="RY32" s="50">
        <v>429.05593763000002</v>
      </c>
      <c r="RZ32" s="50"/>
      <c r="SA32" s="50">
        <v>429.05593763000002</v>
      </c>
      <c r="SB32" s="50">
        <v>80.558150339999997</v>
      </c>
      <c r="SC32" s="50"/>
      <c r="SD32" s="50">
        <v>80.558150339999997</v>
      </c>
      <c r="SE32" s="50">
        <v>38.088376149999988</v>
      </c>
      <c r="SF32" s="50"/>
      <c r="SG32" s="50">
        <v>38.088376149999988</v>
      </c>
      <c r="SH32" s="50">
        <v>41.380415270000007</v>
      </c>
      <c r="SI32" s="50"/>
      <c r="SJ32" s="50">
        <v>41.380415270000007</v>
      </c>
      <c r="SK32" s="50">
        <v>82.36213549</v>
      </c>
      <c r="SL32" s="50"/>
      <c r="SM32" s="50">
        <v>82.36213549</v>
      </c>
      <c r="SN32" s="50">
        <v>44.881120299999999</v>
      </c>
      <c r="SO32" s="50"/>
      <c r="SP32" s="50">
        <v>44.881120299999999</v>
      </c>
      <c r="SQ32" s="50">
        <v>36.629988999999995</v>
      </c>
      <c r="SR32" s="50"/>
      <c r="SS32" s="50">
        <v>36.629988999999995</v>
      </c>
      <c r="ST32" s="50">
        <f t="shared" si="55"/>
        <v>1102.6772037999999</v>
      </c>
      <c r="SU32" s="50">
        <f t="shared" si="65"/>
        <v>0</v>
      </c>
      <c r="SV32" s="50">
        <f t="shared" si="56"/>
        <v>1102.6772037999999</v>
      </c>
      <c r="SW32" s="50">
        <f t="shared" si="44"/>
        <v>1098.716355</v>
      </c>
      <c r="SX32" s="50"/>
      <c r="SY32" s="50">
        <v>1098.716355</v>
      </c>
      <c r="SZ32" s="50">
        <v>67.410482670000007</v>
      </c>
      <c r="TA32" s="50"/>
      <c r="TB32" s="50">
        <v>67.410482670000007</v>
      </c>
      <c r="TC32" s="50">
        <v>48.090805260000003</v>
      </c>
      <c r="TD32" s="50"/>
      <c r="TE32" s="50">
        <v>48.090805260000003</v>
      </c>
      <c r="TF32" s="50">
        <v>33.166701899999993</v>
      </c>
      <c r="TG32" s="50"/>
      <c r="TH32" s="50">
        <v>33.166701899999993</v>
      </c>
      <c r="TI32" s="50">
        <v>54.183602340000007</v>
      </c>
      <c r="TJ32" s="50"/>
      <c r="TK32" s="50">
        <v>54.183602340000007</v>
      </c>
      <c r="TL32" s="50">
        <v>42.998388720000008</v>
      </c>
      <c r="TM32" s="50"/>
      <c r="TN32" s="50">
        <v>42.998388720000008</v>
      </c>
      <c r="TO32" s="50">
        <v>356.43066906999996</v>
      </c>
      <c r="TP32" s="50"/>
      <c r="TQ32" s="50">
        <v>356.43066906999996</v>
      </c>
      <c r="TR32" s="50">
        <v>127.95270867999994</v>
      </c>
      <c r="TS32" s="50"/>
      <c r="TT32" s="50">
        <v>127.95270867999994</v>
      </c>
      <c r="TU32" s="50">
        <v>60.011896459999988</v>
      </c>
      <c r="TV32" s="50"/>
      <c r="TW32" s="50">
        <v>60.011896459999988</v>
      </c>
      <c r="TX32" s="50">
        <v>43.290985890000272</v>
      </c>
      <c r="TY32" s="50"/>
      <c r="TZ32" s="50">
        <v>43.290985890000272</v>
      </c>
      <c r="UA32" s="50">
        <v>55.888465090000025</v>
      </c>
      <c r="UB32" s="50"/>
      <c r="UC32" s="50">
        <v>55.888465090000025</v>
      </c>
      <c r="UD32" s="50">
        <v>43.564460219999994</v>
      </c>
      <c r="UE32" s="50"/>
      <c r="UF32" s="50">
        <v>43.564460219999994</v>
      </c>
      <c r="UG32" s="50">
        <v>40.571332469999994</v>
      </c>
      <c r="UH32" s="50"/>
      <c r="UI32" s="50">
        <v>40.571332469999994</v>
      </c>
      <c r="UJ32" s="50">
        <f t="shared" si="45"/>
        <v>973.56049877000032</v>
      </c>
      <c r="UK32" s="50">
        <f t="shared" si="15"/>
        <v>0</v>
      </c>
      <c r="UL32" s="50">
        <f t="shared" si="16"/>
        <v>973.56049877000032</v>
      </c>
      <c r="UM32" s="50">
        <v>56.277952519999999</v>
      </c>
      <c r="UN32" s="50"/>
      <c r="UO32" s="50">
        <v>56.277952519999999</v>
      </c>
      <c r="UP32" s="50">
        <v>53.715291590000028</v>
      </c>
      <c r="UQ32" s="50"/>
      <c r="UR32" s="50">
        <v>53.715291590000028</v>
      </c>
      <c r="US32" s="50">
        <v>32.835351969999991</v>
      </c>
      <c r="UT32" s="50"/>
      <c r="UU32" s="50">
        <v>32.835351969999991</v>
      </c>
      <c r="UV32" s="50">
        <v>73.297570469999968</v>
      </c>
      <c r="UW32" s="50"/>
      <c r="UX32" s="50">
        <v>73.297570469999968</v>
      </c>
      <c r="UY32" s="50"/>
      <c r="UZ32" s="50"/>
      <c r="VA32" s="50"/>
      <c r="VB32" s="50"/>
      <c r="VC32" s="50"/>
      <c r="VD32" s="50"/>
      <c r="VE32" s="50"/>
      <c r="VF32" s="50"/>
      <c r="VG32" s="50"/>
      <c r="VH32" s="50"/>
      <c r="VI32" s="50"/>
      <c r="VJ32" s="50"/>
      <c r="VK32" s="50"/>
      <c r="VL32" s="50"/>
      <c r="VM32" s="50"/>
      <c r="VN32" s="50"/>
      <c r="VO32" s="50"/>
      <c r="VP32" s="50"/>
      <c r="VQ32" s="50"/>
      <c r="VR32" s="50"/>
      <c r="VS32" s="50"/>
      <c r="VT32" s="50"/>
      <c r="VU32" s="50"/>
      <c r="VV32" s="50"/>
      <c r="VW32" s="276">
        <f t="shared" si="57"/>
        <v>202.85159200000001</v>
      </c>
      <c r="VX32" s="292">
        <f t="shared" si="58"/>
        <v>0</v>
      </c>
      <c r="VY32" s="292">
        <f t="shared" si="59"/>
        <v>202.85159200000001</v>
      </c>
      <c r="VZ32" s="276">
        <f t="shared" si="60"/>
        <v>216.12616700000001</v>
      </c>
      <c r="WA32" s="292">
        <f t="shared" si="61"/>
        <v>0</v>
      </c>
      <c r="WB32" s="292">
        <f t="shared" si="62"/>
        <v>216.12616700000001</v>
      </c>
      <c r="WC32" s="277">
        <f t="shared" si="63"/>
        <v>13.274574999999999</v>
      </c>
      <c r="WD32" s="277">
        <f t="shared" si="87"/>
        <v>6.5439836429777642</v>
      </c>
    </row>
    <row r="33" spans="1:602" s="12" customFormat="1" ht="20.5">
      <c r="A33" s="42" t="s">
        <v>93</v>
      </c>
      <c r="B33" s="12" t="s">
        <v>94</v>
      </c>
      <c r="C33" s="42" t="s">
        <v>206</v>
      </c>
      <c r="D33" s="45">
        <v>165.70041860888668</v>
      </c>
      <c r="E33" s="42">
        <v>177.11495239070922</v>
      </c>
      <c r="F33" s="42">
        <v>104.80373902254398</v>
      </c>
      <c r="G33" s="42">
        <v>78.897355450452764</v>
      </c>
      <c r="H33" s="42">
        <v>6.875844474419611</v>
      </c>
      <c r="I33" s="42">
        <v>5.788835863199413</v>
      </c>
      <c r="J33" s="42">
        <v>6.8556909180938073</v>
      </c>
      <c r="K33" s="42">
        <v>7.3819187141792026</v>
      </c>
      <c r="L33" s="42">
        <v>6.5678183391101932</v>
      </c>
      <c r="M33" s="42">
        <v>6.0621140460213656</v>
      </c>
      <c r="N33" s="42">
        <v>7.1032777275029746</v>
      </c>
      <c r="O33" s="42">
        <v>5.7053773171467439</v>
      </c>
      <c r="P33" s="42">
        <v>7.2161342280351279</v>
      </c>
      <c r="Q33" s="42">
        <v>6.794074877206163</v>
      </c>
      <c r="R33" s="42">
        <v>7.2390125838782939</v>
      </c>
      <c r="S33" s="42">
        <v>5.9312411426229792</v>
      </c>
      <c r="T33" s="42">
        <v>79.493392752460153</v>
      </c>
      <c r="U33" s="42">
        <v>2.7947478955725899E-2</v>
      </c>
      <c r="V33" s="42">
        <v>79.521340231415877</v>
      </c>
      <c r="W33" s="42">
        <v>79.585765021257714</v>
      </c>
      <c r="X33" s="42">
        <v>7.6217181461687762</v>
      </c>
      <c r="Y33" s="42">
        <v>7.508652483480458</v>
      </c>
      <c r="Z33" s="42">
        <v>6.1999447925737474</v>
      </c>
      <c r="AA33" s="42">
        <v>7.6645921195667643</v>
      </c>
      <c r="AB33" s="42">
        <v>6.4728046510833748</v>
      </c>
      <c r="AC33" s="42">
        <v>6.1556877877758236</v>
      </c>
      <c r="AD33" s="42">
        <v>8.1036135252502834</v>
      </c>
      <c r="AE33" s="42">
        <v>6.7415097239059545</v>
      </c>
      <c r="AF33" s="42">
        <v>6.3258860222764817</v>
      </c>
      <c r="AG33" s="42">
        <v>7.4600898685835606</v>
      </c>
      <c r="AH33" s="42">
        <v>7.1270254580224357</v>
      </c>
      <c r="AI33" s="42">
        <v>5.9931175690519689</v>
      </c>
      <c r="AJ33" s="42">
        <v>83.368856950159696</v>
      </c>
      <c r="AK33" s="42">
        <v>5.7846995748459E-3</v>
      </c>
      <c r="AL33" s="42">
        <v>83.374642147739635</v>
      </c>
      <c r="AM33" s="42">
        <v>83.521052811310128</v>
      </c>
      <c r="AN33" s="42">
        <v>9.3312488261307571</v>
      </c>
      <c r="AO33" s="42">
        <v>6.3461904030142122</v>
      </c>
      <c r="AP33" s="42">
        <v>5.5338245086823639</v>
      </c>
      <c r="AQ33" s="42">
        <v>8.4579982470219282</v>
      </c>
      <c r="AR33" s="42">
        <v>6.0665406002242444</v>
      </c>
      <c r="AS33" s="42">
        <v>5.6053764634236574</v>
      </c>
      <c r="AT33" s="42">
        <v>7.8903207722209894</v>
      </c>
      <c r="AU33" s="42">
        <v>5.2276267636496092</v>
      </c>
      <c r="AV33" s="42">
        <v>5.7902217403429699</v>
      </c>
      <c r="AW33" s="42">
        <v>6.9616692562933622</v>
      </c>
      <c r="AX33" s="42">
        <v>5.1369898293122978</v>
      </c>
      <c r="AY33" s="42">
        <v>5.9576226088639217</v>
      </c>
      <c r="AZ33" s="42">
        <v>78.298371239999938</v>
      </c>
      <c r="BA33" s="42">
        <v>7.257349999999896E-3</v>
      </c>
      <c r="BB33" s="42">
        <v>78.305630019180313</v>
      </c>
      <c r="BC33" s="45">
        <f t="shared" si="21"/>
        <v>78.421243341515705</v>
      </c>
      <c r="BD33" s="45">
        <v>7.257349999999896E-3</v>
      </c>
      <c r="BE33" s="45">
        <v>78.428500691515708</v>
      </c>
      <c r="BF33" s="44">
        <v>7.2205481000000002</v>
      </c>
      <c r="BG33" s="50">
        <v>0.24582337000000001</v>
      </c>
      <c r="BH33" s="50">
        <f>BF33+BG33</f>
        <v>7.4663714700000003</v>
      </c>
      <c r="BI33" s="45">
        <v>6.5375901299999999</v>
      </c>
      <c r="BJ33" s="45">
        <v>-0.21322585999999999</v>
      </c>
      <c r="BK33" s="50">
        <f>BI33+BJ33</f>
        <v>6.3243642700000002</v>
      </c>
      <c r="BL33" s="50">
        <v>4.28683426</v>
      </c>
      <c r="BM33" s="50">
        <v>-1.552427E-2</v>
      </c>
      <c r="BN33" s="50">
        <f>BL33+BM33</f>
        <v>4.2713099899999998</v>
      </c>
      <c r="BO33" s="50">
        <v>8.3689180099999998</v>
      </c>
      <c r="BP33" s="50">
        <v>-4.4256999999999999E-4</v>
      </c>
      <c r="BQ33" s="50">
        <f>BO33+BP33</f>
        <v>8.3684754399999992</v>
      </c>
      <c r="BR33" s="50">
        <v>5.3609104500000004</v>
      </c>
      <c r="BS33" s="50">
        <v>1.7904439999999997E-2</v>
      </c>
      <c r="BT33" s="50">
        <f>BR33+BS33</f>
        <v>5.3788148900000001</v>
      </c>
      <c r="BU33" s="50">
        <v>5.29933955</v>
      </c>
      <c r="BV33" s="50">
        <v>4.4369160000000005E-2</v>
      </c>
      <c r="BW33" s="50">
        <f>BU33+BV33</f>
        <v>5.3437087099999996</v>
      </c>
      <c r="BX33" s="50">
        <v>7.0422311799999999</v>
      </c>
      <c r="BY33" s="50">
        <v>5.0471290000000002E-2</v>
      </c>
      <c r="BZ33" s="50">
        <f>BX33+BY33</f>
        <v>7.0927024699999999</v>
      </c>
      <c r="CA33" s="50">
        <v>5.6655077599999997</v>
      </c>
      <c r="CB33" s="50">
        <v>-5.9833169999999998E-2</v>
      </c>
      <c r="CC33" s="50">
        <f>CA33+CB33</f>
        <v>5.6056745899999996</v>
      </c>
      <c r="CD33" s="50">
        <v>5.2526193399999981</v>
      </c>
      <c r="CE33" s="50">
        <v>4.60816E-3</v>
      </c>
      <c r="CF33" s="50">
        <f>CD33+CE33</f>
        <v>5.2572274999999982</v>
      </c>
      <c r="CG33" s="50">
        <v>6.9282115100000015</v>
      </c>
      <c r="CH33" s="50">
        <v>-6.4952600000000001E-3</v>
      </c>
      <c r="CI33" s="50">
        <f>CG33+CH33</f>
        <v>6.9217162500000011</v>
      </c>
      <c r="CJ33" s="45">
        <v>5.3665801100000001</v>
      </c>
      <c r="CK33" s="45">
        <v>2.4596969999999999E-2</v>
      </c>
      <c r="CL33" s="50">
        <f>CJ33+CK33</f>
        <v>5.3911770800000003</v>
      </c>
      <c r="CM33" s="42">
        <v>5.9897902000000078</v>
      </c>
      <c r="CN33" s="45">
        <v>1.6687150000000022E-2</v>
      </c>
      <c r="CO33" s="50">
        <f>CM33+CN33</f>
        <v>6.0064773500000079</v>
      </c>
      <c r="CP33" s="50">
        <f t="shared" si="24"/>
        <v>73.319080599999992</v>
      </c>
      <c r="CQ33" s="50">
        <f t="shared" si="25"/>
        <v>0.10893941000000006</v>
      </c>
      <c r="CR33" s="50">
        <f t="shared" si="26"/>
        <v>73.428020010000012</v>
      </c>
      <c r="CS33" s="45">
        <f t="shared" si="2"/>
        <v>73.945399999999992</v>
      </c>
      <c r="CT33" s="45">
        <v>0.10893899999999999</v>
      </c>
      <c r="CU33" s="45">
        <v>74.054338999999999</v>
      </c>
      <c r="CV33" s="42">
        <v>7.4692879100000029</v>
      </c>
      <c r="CW33" s="45">
        <v>4.4759030000000005E-2</v>
      </c>
      <c r="CX33" s="50">
        <f>CV33+CW33</f>
        <v>7.5140469400000027</v>
      </c>
      <c r="CY33" s="42">
        <v>5.8356251499999985</v>
      </c>
      <c r="CZ33" s="42">
        <v>-1.5098220000000002E-2</v>
      </c>
      <c r="DA33" s="50">
        <v>5.8205269299999989</v>
      </c>
      <c r="DB33" s="42">
        <v>5.9298061800000008</v>
      </c>
      <c r="DC33" s="42">
        <v>6.7010829999999993E-2</v>
      </c>
      <c r="DD33" s="50">
        <v>5.9968170100000009</v>
      </c>
      <c r="DE33" s="42">
        <v>8.9640922799999991</v>
      </c>
      <c r="DF33" s="42">
        <v>-1.941141E-2</v>
      </c>
      <c r="DG33" s="50">
        <v>8.9446808699999991</v>
      </c>
      <c r="DH33" s="42">
        <v>5.5069018899999955</v>
      </c>
      <c r="DI33" s="42">
        <v>9.0449980000000013E-2</v>
      </c>
      <c r="DJ33" s="50">
        <v>5.5973518699999953</v>
      </c>
      <c r="DK33" s="42">
        <v>5.6817166000000006</v>
      </c>
      <c r="DL33" s="42">
        <v>-0.12717817000000001</v>
      </c>
      <c r="DM33" s="50">
        <v>5.5545384300000009</v>
      </c>
      <c r="DN33" s="42">
        <v>9.1126299399999979</v>
      </c>
      <c r="DO33" s="42">
        <v>4.1187750000000002E-2</v>
      </c>
      <c r="DP33" s="50">
        <v>9.1538176899999986</v>
      </c>
      <c r="DQ33" s="42">
        <v>6.8722411500000078</v>
      </c>
      <c r="DR33" s="42">
        <v>-3.3935629999999994E-2</v>
      </c>
      <c r="DS33" s="50">
        <v>6.8383055200000076</v>
      </c>
      <c r="DT33" s="42">
        <v>6.7651870899999969</v>
      </c>
      <c r="DU33" s="42">
        <v>0.12221391000000001</v>
      </c>
      <c r="DV33" s="50">
        <v>6.887400999999997</v>
      </c>
      <c r="DW33" s="42">
        <v>7.6097622000000031</v>
      </c>
      <c r="DX33" s="42">
        <v>-6.5997249999999993E-2</v>
      </c>
      <c r="DY33" s="50">
        <v>7.5437649500000035</v>
      </c>
      <c r="DZ33" s="42">
        <v>5.9622146700000034</v>
      </c>
      <c r="EA33" s="42">
        <v>1.2836101200000001</v>
      </c>
      <c r="EB33" s="50">
        <v>7.2458247900000039</v>
      </c>
      <c r="EC33" s="42">
        <v>6.2328886699999986</v>
      </c>
      <c r="ED33" s="42">
        <v>-1.0554422100000003</v>
      </c>
      <c r="EE33" s="50">
        <v>5.1774464599999988</v>
      </c>
      <c r="EF33" s="50">
        <f t="shared" si="27"/>
        <v>81.942353730000008</v>
      </c>
      <c r="EG33" s="50">
        <f t="shared" si="28"/>
        <v>0.3321687299999998</v>
      </c>
      <c r="EH33" s="50">
        <f t="shared" si="29"/>
        <v>82.27452246</v>
      </c>
      <c r="EI33" s="50">
        <f t="shared" si="70"/>
        <v>82.394920999999997</v>
      </c>
      <c r="EJ33" s="50">
        <v>9.6659999999999996E-2</v>
      </c>
      <c r="EK33" s="50">
        <v>82.491580999999996</v>
      </c>
      <c r="EL33" s="50">
        <v>7.2675914999999982</v>
      </c>
      <c r="EM33" s="50">
        <v>0.17858211999999998</v>
      </c>
      <c r="EN33" s="50">
        <v>7.4461736199999979</v>
      </c>
      <c r="EO33" s="50">
        <v>6.5617454400000055</v>
      </c>
      <c r="EP33" s="50">
        <v>0.10430409</v>
      </c>
      <c r="EQ33" s="50">
        <v>6.6660495300000058</v>
      </c>
      <c r="ER33" s="50">
        <v>6.815761059999998</v>
      </c>
      <c r="ES33" s="50">
        <v>-7.8705490000000003E-2</v>
      </c>
      <c r="ET33" s="50">
        <v>6.7370555699999981</v>
      </c>
      <c r="EU33" s="50">
        <v>9.9101725700000038</v>
      </c>
      <c r="EV33" s="50">
        <v>0.15216101000000001</v>
      </c>
      <c r="EW33" s="50">
        <v>10.062333580000004</v>
      </c>
      <c r="EX33" s="50">
        <v>6.683522110000002</v>
      </c>
      <c r="EY33" s="50">
        <v>-1.6193110000000004E-2</v>
      </c>
      <c r="EZ33" s="50">
        <v>6.6673290000000023</v>
      </c>
      <c r="FA33" s="50">
        <v>6.593384129999996</v>
      </c>
      <c r="FB33" s="50">
        <v>0.43513225</v>
      </c>
      <c r="FC33" s="50">
        <v>7.0285163799999957</v>
      </c>
      <c r="FD33" s="50">
        <v>12.260378110000001</v>
      </c>
      <c r="FE33" s="50">
        <v>0.31755983999999993</v>
      </c>
      <c r="FF33" s="50">
        <v>12.577937950000001</v>
      </c>
      <c r="FG33" s="50">
        <v>6.7895564399999984</v>
      </c>
      <c r="FH33" s="50">
        <v>0.10474964000000002</v>
      </c>
      <c r="FI33" s="50">
        <v>6.894306079999998</v>
      </c>
      <c r="FJ33" s="50">
        <v>6.5559388300000014</v>
      </c>
      <c r="FK33" s="50">
        <v>0.2913704700000001</v>
      </c>
      <c r="FL33" s="50">
        <v>6.8473093000000018</v>
      </c>
      <c r="FM33" s="50">
        <v>11.597877189999998</v>
      </c>
      <c r="FN33" s="50">
        <v>4.3397710000000006E-2</v>
      </c>
      <c r="FO33" s="50">
        <v>11.641274899999999</v>
      </c>
      <c r="FP33" s="50">
        <v>6.718458510000004</v>
      </c>
      <c r="FQ33" s="50">
        <v>-1.4997187200000002</v>
      </c>
      <c r="FR33" s="50">
        <v>5.2187397900000043</v>
      </c>
      <c r="FS33" s="50">
        <v>7.5095451299999967</v>
      </c>
      <c r="FT33" s="50">
        <v>-3.2639810000000005E-2</v>
      </c>
      <c r="FU33" s="50">
        <v>7.4769053199999966</v>
      </c>
      <c r="FV33" s="50">
        <f t="shared" si="30"/>
        <v>95.263931020000001</v>
      </c>
      <c r="FW33" s="50">
        <f t="shared" si="31"/>
        <v>0</v>
      </c>
      <c r="FX33" s="50">
        <f t="shared" si="32"/>
        <v>95.263931020000015</v>
      </c>
      <c r="FY33" s="50">
        <f t="shared" si="71"/>
        <v>95.380335000000002</v>
      </c>
      <c r="FZ33" s="50"/>
      <c r="GA33" s="50">
        <v>95.380335000000002</v>
      </c>
      <c r="GB33" s="50">
        <v>9.3757630599999953</v>
      </c>
      <c r="GC33" s="50">
        <v>0.12966620000000001</v>
      </c>
      <c r="GD33" s="50">
        <v>9.5054292599999961</v>
      </c>
      <c r="GE33" s="50">
        <v>5.8583113699999974</v>
      </c>
      <c r="GF33" s="50">
        <v>2.176589E-2</v>
      </c>
      <c r="GG33" s="50">
        <v>5.8800772599999975</v>
      </c>
      <c r="GH33" s="50">
        <v>7.1942976899999991</v>
      </c>
      <c r="GI33" s="50">
        <v>8.7461399999999995E-3</v>
      </c>
      <c r="GJ33" s="50">
        <v>7.2030438299999995</v>
      </c>
      <c r="GK33" s="50">
        <v>10.206150439999991</v>
      </c>
      <c r="GL33" s="50">
        <v>-0.14404454</v>
      </c>
      <c r="GM33" s="50">
        <v>10.062105899999992</v>
      </c>
      <c r="GN33" s="50">
        <v>6.8080544900000008</v>
      </c>
      <c r="GO33" s="50">
        <v>3.4469140000000009E-2</v>
      </c>
      <c r="GP33" s="50">
        <v>6.8425236300000005</v>
      </c>
      <c r="GQ33" s="50">
        <v>6.3822045199999993</v>
      </c>
      <c r="GR33" s="50">
        <v>-9.386160000000001E-3</v>
      </c>
      <c r="GS33" s="50">
        <v>6.3728183599999992</v>
      </c>
      <c r="GT33" s="50">
        <v>9.8463406100000039</v>
      </c>
      <c r="GU33" s="50">
        <v>-3.1665270000000002E-2</v>
      </c>
      <c r="GV33" s="50">
        <v>9.8146753400000044</v>
      </c>
      <c r="GW33" s="50">
        <v>6.2606670999999965</v>
      </c>
      <c r="GX33" s="50">
        <v>1.076128E-2</v>
      </c>
      <c r="GY33" s="50">
        <v>6.2714283799999961</v>
      </c>
      <c r="GZ33" s="50">
        <v>6.4407260000000051</v>
      </c>
      <c r="HA33" s="50">
        <v>1.0700360000000001E-2</v>
      </c>
      <c r="HB33" s="50">
        <v>6.4514263600000055</v>
      </c>
      <c r="HC33" s="50">
        <v>10.810596289999998</v>
      </c>
      <c r="HD33" s="50">
        <v>-1.2751220000000001E-2</v>
      </c>
      <c r="HE33" s="50">
        <v>10.797845069999997</v>
      </c>
      <c r="HF33" s="50">
        <v>6.9920745699999998</v>
      </c>
      <c r="HG33" s="50">
        <v>0.13769809</v>
      </c>
      <c r="HH33" s="50">
        <v>7.1297726599999995</v>
      </c>
      <c r="HI33" s="50">
        <v>7.224620339999996</v>
      </c>
      <c r="HJ33" s="50">
        <v>-0.15548669999999998</v>
      </c>
      <c r="HK33" s="50">
        <v>7.069133639999996</v>
      </c>
      <c r="HL33" s="50">
        <f t="shared" si="33"/>
        <v>93.399806479999981</v>
      </c>
      <c r="HM33" s="50">
        <f t="shared" si="34"/>
        <v>4.732100000000572E-4</v>
      </c>
      <c r="HN33" s="50">
        <f t="shared" si="35"/>
        <v>93.400279689999977</v>
      </c>
      <c r="HO33" s="50">
        <f t="shared" si="3"/>
        <v>93.712010000000006</v>
      </c>
      <c r="HP33" s="50">
        <v>4.73E-4</v>
      </c>
      <c r="HQ33" s="50">
        <v>93.712483000000006</v>
      </c>
      <c r="HR33" s="50">
        <v>9.6441722599999888</v>
      </c>
      <c r="HS33" s="50">
        <v>3.3814360000000002E-2</v>
      </c>
      <c r="HT33" s="50">
        <v>9.677986619999988</v>
      </c>
      <c r="HU33" s="50">
        <v>6.7238526700000056</v>
      </c>
      <c r="HV33" s="50">
        <v>-2.5598339999999997E-2</v>
      </c>
      <c r="HW33" s="50">
        <v>6.6982543300000055</v>
      </c>
      <c r="HX33" s="50">
        <v>9.2951683900000006</v>
      </c>
      <c r="HY33" s="50">
        <v>1.4591159999999999E-2</v>
      </c>
      <c r="HZ33" s="50">
        <v>9.3097595500000025</v>
      </c>
      <c r="IA33" s="50">
        <v>9.720863969999991</v>
      </c>
      <c r="IB33" s="50">
        <v>1.94411E-3</v>
      </c>
      <c r="IC33" s="50">
        <v>9.7228080799999912</v>
      </c>
      <c r="ID33" s="50">
        <v>8.7162529200000058</v>
      </c>
      <c r="IE33" s="50">
        <v>-6.0357200000000005E-3</v>
      </c>
      <c r="IF33" s="50">
        <v>8.7102172000000042</v>
      </c>
      <c r="IG33" s="50">
        <v>7.6430514100000053</v>
      </c>
      <c r="IH33" s="50">
        <v>0.39846910999999996</v>
      </c>
      <c r="II33" s="50">
        <v>8.0415205200000059</v>
      </c>
      <c r="IJ33" s="50">
        <v>12.723858509999998</v>
      </c>
      <c r="IK33" s="50">
        <v>1.1447250000000001E-2</v>
      </c>
      <c r="IL33" s="50">
        <v>12.735305759999997</v>
      </c>
      <c r="IM33" s="50">
        <v>8.9250846199999998</v>
      </c>
      <c r="IN33" s="50">
        <v>5.7036500000000002E-3</v>
      </c>
      <c r="IO33" s="50">
        <v>8.9307882699999954</v>
      </c>
      <c r="IP33" s="50">
        <v>7.3461109200000001</v>
      </c>
      <c r="IQ33" s="50">
        <v>0.54950067000000014</v>
      </c>
      <c r="IR33" s="50">
        <v>7.8956115899999988</v>
      </c>
      <c r="IS33" s="50">
        <v>11.076237810000007</v>
      </c>
      <c r="IT33" s="50">
        <v>0.2421065</v>
      </c>
      <c r="IU33" s="50">
        <v>11.318344310000011</v>
      </c>
      <c r="IV33" s="50">
        <v>15.154549720000004</v>
      </c>
      <c r="IW33" s="50">
        <v>9.7283930000000005E-2</v>
      </c>
      <c r="IX33" s="50">
        <v>15.25183365</v>
      </c>
      <c r="IY33" s="50">
        <v>7.306610260000002</v>
      </c>
      <c r="IZ33" s="50">
        <v>2.7575199999999998E-3</v>
      </c>
      <c r="JA33" s="50">
        <v>7.3093677800000014</v>
      </c>
      <c r="JB33" s="50">
        <f t="shared" si="36"/>
        <v>114.27581346000001</v>
      </c>
      <c r="JC33" s="50">
        <f t="shared" si="37"/>
        <v>1.3259842000000002</v>
      </c>
      <c r="JD33" s="50">
        <f t="shared" si="38"/>
        <v>115.60179766</v>
      </c>
      <c r="JE33" s="50">
        <f t="shared" si="4"/>
        <v>114.52932800000001</v>
      </c>
      <c r="JF33" s="50">
        <v>1.3224469999999999</v>
      </c>
      <c r="JG33" s="50">
        <v>115.851775</v>
      </c>
      <c r="JH33" s="50">
        <v>10.896715130000011</v>
      </c>
      <c r="JI33" s="50">
        <v>0.35589063999999998</v>
      </c>
      <c r="JJ33" s="50">
        <v>11.252605770000015</v>
      </c>
      <c r="JK33" s="50">
        <v>10.809076309999998</v>
      </c>
      <c r="JL33" s="50">
        <v>7.7222762299999994</v>
      </c>
      <c r="JM33" s="50">
        <v>18.531352539999997</v>
      </c>
      <c r="JN33" s="50">
        <v>8.2579312700000003</v>
      </c>
      <c r="JO33" s="50">
        <v>1.7388250000000001E-2</v>
      </c>
      <c r="JP33" s="50">
        <v>8.2753195200000018</v>
      </c>
      <c r="JQ33" s="50">
        <v>15.01253129</v>
      </c>
      <c r="JR33" s="50">
        <v>2.7117180000000001E-2</v>
      </c>
      <c r="JS33" s="50">
        <v>15.039648470000003</v>
      </c>
      <c r="JT33" s="50">
        <v>11.283650470000001</v>
      </c>
      <c r="JU33" s="50">
        <v>6.1674929999999996E-2</v>
      </c>
      <c r="JV33" s="50">
        <v>11.3453254</v>
      </c>
      <c r="JW33" s="50">
        <v>7.5004082100000016</v>
      </c>
      <c r="JX33" s="50">
        <v>1.1391680000000001E-2</v>
      </c>
      <c r="JY33" s="50">
        <v>7.5117998900000016</v>
      </c>
      <c r="JZ33" s="50">
        <v>12.841471549999994</v>
      </c>
      <c r="KA33" s="50">
        <v>1.7182520000000003E-2</v>
      </c>
      <c r="KB33" s="50">
        <v>12.858654069999998</v>
      </c>
      <c r="KC33" s="50">
        <v>9.1630542700000071</v>
      </c>
      <c r="KD33" s="50">
        <v>3.1706409999999997E-2</v>
      </c>
      <c r="KE33" s="50">
        <v>9.194760680000007</v>
      </c>
      <c r="KF33" s="50">
        <v>7.4101697200000016</v>
      </c>
      <c r="KG33" s="50">
        <v>-1.4015600000000003E-3</v>
      </c>
      <c r="KH33" s="50">
        <v>7.4087681600000002</v>
      </c>
      <c r="KI33" s="50">
        <v>9.6449466299999997</v>
      </c>
      <c r="KJ33" s="50">
        <v>0.44929170000000002</v>
      </c>
      <c r="KK33" s="50">
        <v>10.094238329999998</v>
      </c>
      <c r="KL33" s="50">
        <v>8.7884823699999988</v>
      </c>
      <c r="KM33" s="50">
        <v>-0.54226955000000021</v>
      </c>
      <c r="KN33" s="50">
        <v>8.2462128199999984</v>
      </c>
      <c r="KO33" s="50">
        <v>7.5404587100000002</v>
      </c>
      <c r="KP33" s="50">
        <v>1.9222544000000001</v>
      </c>
      <c r="KQ33" s="50">
        <v>9.462713110000001</v>
      </c>
      <c r="KR33" s="50">
        <f t="shared" si="48"/>
        <v>119.14889593000001</v>
      </c>
      <c r="KS33" s="50">
        <f t="shared" si="39"/>
        <v>10.072502829999998</v>
      </c>
      <c r="KT33" s="50">
        <f t="shared" si="49"/>
        <v>129.22139876000003</v>
      </c>
      <c r="KU33" s="50">
        <f t="shared" si="5"/>
        <v>120.04431700000001</v>
      </c>
      <c r="KV33" s="50">
        <v>8.0483639999999994</v>
      </c>
      <c r="KW33" s="50">
        <v>128.092681</v>
      </c>
      <c r="KX33" s="50">
        <v>8.8226231199999976</v>
      </c>
      <c r="KY33" s="50">
        <v>1.1100549999999999E-2</v>
      </c>
      <c r="KZ33" s="50">
        <v>8.8337236699999977</v>
      </c>
      <c r="LA33" s="50">
        <v>8.2530528800000038</v>
      </c>
      <c r="LB33" s="50">
        <v>3.3534000000000011E-4</v>
      </c>
      <c r="LC33" s="50">
        <v>8.2533882200000033</v>
      </c>
      <c r="LD33" s="50">
        <v>8.3622650300000032</v>
      </c>
      <c r="LE33" s="50">
        <v>-1.8177799999999991E-3</v>
      </c>
      <c r="LF33" s="50">
        <v>8.3604472500000035</v>
      </c>
      <c r="LG33" s="50">
        <v>14.817552700000004</v>
      </c>
      <c r="LH33" s="50">
        <v>4.0718450000000003E-2</v>
      </c>
      <c r="LI33" s="174">
        <v>14.858271150000002</v>
      </c>
      <c r="LJ33" s="174">
        <v>6.8811203600000033</v>
      </c>
      <c r="LK33" s="50">
        <v>0</v>
      </c>
      <c r="LL33" s="174">
        <v>6.8791707900000043</v>
      </c>
      <c r="LM33" s="50">
        <v>6.5554878500000022</v>
      </c>
      <c r="LN33" s="50">
        <v>0.15656926999999998</v>
      </c>
      <c r="LO33" s="50">
        <v>6.7120571200000025</v>
      </c>
      <c r="LP33" s="50">
        <v>12.349008909999998</v>
      </c>
      <c r="LQ33" s="44">
        <v>-0.19204183000000002</v>
      </c>
      <c r="LR33" s="44">
        <v>12.156967079999998</v>
      </c>
      <c r="LS33" s="50">
        <v>8.0325249000000056</v>
      </c>
      <c r="LT33" s="50">
        <v>-5.8645299999999997E-3</v>
      </c>
      <c r="LU33" s="52">
        <v>8.0266603700000054</v>
      </c>
      <c r="LV33" s="44">
        <v>6.5518740700000038</v>
      </c>
      <c r="LW33" s="50">
        <v>6.8086000000000004E-4</v>
      </c>
      <c r="LX33" s="50">
        <v>6.552554930000003</v>
      </c>
      <c r="LY33" s="50">
        <v>11.416103630000002</v>
      </c>
      <c r="LZ33" s="50">
        <v>2.7039610000000002E-2</v>
      </c>
      <c r="MA33" s="50">
        <v>11.443143240000001</v>
      </c>
      <c r="MB33" s="50">
        <v>11.296946520000013</v>
      </c>
      <c r="MC33" s="50">
        <v>4.569496E-2</v>
      </c>
      <c r="MD33" s="50">
        <v>11.342641480000012</v>
      </c>
      <c r="ME33" s="50">
        <v>4.5954394099999938</v>
      </c>
      <c r="MF33" s="50">
        <v>-8.0365329999999999E-2</v>
      </c>
      <c r="MG33" s="50">
        <v>4.5150740799999936</v>
      </c>
      <c r="MH33" s="50">
        <f t="shared" si="66"/>
        <v>107.93399938000003</v>
      </c>
      <c r="MI33" s="50">
        <f t="shared" si="50"/>
        <v>2.0495699999999589E-3</v>
      </c>
      <c r="MJ33" s="50">
        <f t="shared" si="51"/>
        <v>107.93409938000002</v>
      </c>
      <c r="MK33" s="50">
        <f t="shared" si="7"/>
        <v>106.40454</v>
      </c>
      <c r="ML33" s="50"/>
      <c r="MM33" s="50">
        <v>106.40454</v>
      </c>
      <c r="MN33" s="50">
        <v>9.5755013000000027</v>
      </c>
      <c r="MO33" s="179"/>
      <c r="MP33" s="50">
        <v>9.5925871500000017</v>
      </c>
      <c r="MQ33" s="50">
        <v>6.8353838999999992</v>
      </c>
      <c r="MR33" s="50">
        <v>9.4411400000000024E-3</v>
      </c>
      <c r="MS33" s="50">
        <v>6.8448250400000008</v>
      </c>
      <c r="MT33" s="50">
        <v>10.081411539999998</v>
      </c>
      <c r="MU33" s="50">
        <v>6.2806620000000007E-2</v>
      </c>
      <c r="MV33" s="50">
        <v>10.144218159999998</v>
      </c>
      <c r="MW33" s="50">
        <v>17.053735100000001</v>
      </c>
      <c r="MX33" s="50">
        <v>2.3658459999999999E-2</v>
      </c>
      <c r="MY33" s="50">
        <v>17.077393560000004</v>
      </c>
      <c r="MZ33" s="50">
        <v>7.2753929699999995</v>
      </c>
      <c r="NA33" s="50">
        <v>3.4163490000000005E-2</v>
      </c>
      <c r="NB33" s="50">
        <v>7.3095564600000005</v>
      </c>
      <c r="NC33" s="50">
        <v>9.1524679300000074</v>
      </c>
      <c r="ND33" s="50">
        <v>2.3259950000000001E-2</v>
      </c>
      <c r="NE33" s="50">
        <v>9.1757278800000073</v>
      </c>
      <c r="NF33" s="50">
        <v>11.18239022</v>
      </c>
      <c r="NG33" s="50">
        <v>-2.6056060000000009E-2</v>
      </c>
      <c r="NH33" s="50">
        <v>11.156334160000002</v>
      </c>
      <c r="NI33" s="50">
        <v>9.096940199999997</v>
      </c>
      <c r="NJ33" s="50">
        <v>2.4404172099999997</v>
      </c>
      <c r="NK33" s="50">
        <v>11.537357409999998</v>
      </c>
      <c r="NL33" s="50">
        <v>8.0479732900000034</v>
      </c>
      <c r="NM33" s="50">
        <v>-2.5733849999999999E-2</v>
      </c>
      <c r="NN33" s="50">
        <v>8.0222394400000034</v>
      </c>
      <c r="NO33" s="50">
        <v>10.793594769999995</v>
      </c>
      <c r="NP33" s="50">
        <v>-1.6777130000000001E-2</v>
      </c>
      <c r="NQ33" s="50">
        <v>10.776817639999999</v>
      </c>
      <c r="NR33" s="50">
        <v>7.7922864000000098</v>
      </c>
      <c r="NS33" s="50">
        <v>3.3748210000000001E-2</v>
      </c>
      <c r="NT33" s="50">
        <v>7.8260346100000104</v>
      </c>
      <c r="NU33" s="50">
        <v>8.639777950000024</v>
      </c>
      <c r="NV33" s="50">
        <v>-9.0975109999999998E-2</v>
      </c>
      <c r="NW33" s="50">
        <v>8.5488028400000236</v>
      </c>
      <c r="NX33" s="50">
        <f t="shared" si="67"/>
        <v>115.52685557000002</v>
      </c>
      <c r="NY33" s="50">
        <f t="shared" si="40"/>
        <v>2.46795293</v>
      </c>
      <c r="NZ33" s="50">
        <f t="shared" si="41"/>
        <v>118.01189435000005</v>
      </c>
      <c r="OA33" s="50">
        <f t="shared" si="8"/>
        <v>113.380126</v>
      </c>
      <c r="OB33" s="50">
        <v>2.4815450000000001</v>
      </c>
      <c r="OC33" s="50">
        <v>115.861671</v>
      </c>
      <c r="OD33" s="50">
        <v>13.47864384999999</v>
      </c>
      <c r="OE33" s="50">
        <v>2.4581469999999998E-2</v>
      </c>
      <c r="OF33" s="50">
        <v>13.503225319999995</v>
      </c>
      <c r="OG33" s="50">
        <v>7.5904773200000015</v>
      </c>
      <c r="OH33" s="50"/>
      <c r="OI33" s="50">
        <v>7.5904773200000015</v>
      </c>
      <c r="OJ33" s="50">
        <v>9.5862250300000014</v>
      </c>
      <c r="OK33" s="50">
        <v>6.4497560000000009E-2</v>
      </c>
      <c r="OL33" s="50">
        <v>9.6507225900000009</v>
      </c>
      <c r="OM33" s="50">
        <v>20.035287360000002</v>
      </c>
      <c r="ON33" s="50">
        <v>-2.1384730000000005E-2</v>
      </c>
      <c r="OO33" s="50">
        <v>20.01390263</v>
      </c>
      <c r="OP33" s="50">
        <v>9.536849569999994</v>
      </c>
      <c r="OQ33" s="50">
        <v>4.973E-4</v>
      </c>
      <c r="OR33" s="50">
        <v>9.5373468699999968</v>
      </c>
      <c r="OS33" s="50">
        <v>5.6750080499999971</v>
      </c>
      <c r="OT33" s="50">
        <v>7.6260839999999983E-2</v>
      </c>
      <c r="OU33" s="50">
        <v>5.7512688899999969</v>
      </c>
      <c r="OV33" s="50">
        <v>11.296639260000006</v>
      </c>
      <c r="OW33" s="50">
        <v>-7.4462569999999992E-2</v>
      </c>
      <c r="OX33" s="50">
        <v>11.222176690000003</v>
      </c>
      <c r="OY33" s="94">
        <v>10.530150149999997</v>
      </c>
      <c r="OZ33" s="94">
        <v>-4.588971E-2</v>
      </c>
      <c r="PA33" s="94">
        <v>10.48426044</v>
      </c>
      <c r="PB33" s="50">
        <v>9.5864848000000009</v>
      </c>
      <c r="PC33" s="50">
        <v>1.0078629999999998E-2</v>
      </c>
      <c r="PD33" s="50">
        <v>9.5965634300000033</v>
      </c>
      <c r="PE33" s="50">
        <v>13.038608490000009</v>
      </c>
      <c r="PF33" s="50">
        <v>-3.3406850000000002E-2</v>
      </c>
      <c r="PG33" s="50">
        <v>13.005201640000008</v>
      </c>
      <c r="PH33" s="50">
        <v>7.1708470500000008</v>
      </c>
      <c r="PI33" s="50">
        <v>3.1552130000000012E-2</v>
      </c>
      <c r="PJ33" s="50">
        <v>7.2023991800000013</v>
      </c>
      <c r="PK33" s="50">
        <v>6.7328696600000022</v>
      </c>
      <c r="PL33" s="50">
        <v>-3.3577580000000003E-2</v>
      </c>
      <c r="PM33" s="50">
        <v>6.6992920800000011</v>
      </c>
      <c r="PN33" s="50">
        <f t="shared" si="88"/>
        <v>124.25809059000001</v>
      </c>
      <c r="PO33" s="50">
        <f t="shared" si="42"/>
        <v>-1.2535099999999993E-3</v>
      </c>
      <c r="PP33" s="50">
        <f t="shared" si="43"/>
        <v>124.25683708</v>
      </c>
      <c r="PQ33" s="50">
        <f t="shared" si="9"/>
        <v>122.234858</v>
      </c>
      <c r="PR33" s="50">
        <v>1.4045920000000001</v>
      </c>
      <c r="PS33" s="50">
        <v>123.63945</v>
      </c>
      <c r="PT33" s="50">
        <v>13.190880409999998</v>
      </c>
      <c r="PU33" s="50">
        <v>1.844459E-2</v>
      </c>
      <c r="PV33" s="50">
        <v>13.209325</v>
      </c>
      <c r="PW33" s="50">
        <v>9.4819732600000037</v>
      </c>
      <c r="PX33" s="50">
        <v>1.1073739999999995E-2</v>
      </c>
      <c r="PY33" s="50">
        <v>9.4930470000000007</v>
      </c>
      <c r="PZ33" s="50">
        <v>11.492584569999998</v>
      </c>
      <c r="QA33" s="50">
        <v>-1.1620510000000001E-2</v>
      </c>
      <c r="QB33" s="50">
        <v>11.480964059999996</v>
      </c>
      <c r="QC33" s="50">
        <v>15.838828779999995</v>
      </c>
      <c r="QD33" s="50">
        <v>2.7981610000000001E-2</v>
      </c>
      <c r="QE33" s="50">
        <v>15.866810389999994</v>
      </c>
      <c r="QF33" s="50">
        <v>17.185782989999993</v>
      </c>
      <c r="QG33" s="50">
        <v>9.1060699999999991E-3</v>
      </c>
      <c r="QH33" s="50">
        <v>17.194889059999994</v>
      </c>
      <c r="QI33" s="50">
        <v>13.643627020000006</v>
      </c>
      <c r="QJ33" s="50">
        <v>7.3501109999999995E-2</v>
      </c>
      <c r="QK33" s="50">
        <v>13.717128130000006</v>
      </c>
      <c r="QL33" s="50">
        <v>13.222295149999997</v>
      </c>
      <c r="QM33" s="50">
        <v>2.2089609999999999E-2</v>
      </c>
      <c r="QN33" s="50">
        <v>13.244384759999997</v>
      </c>
      <c r="QO33" s="50">
        <v>10.902790400000001</v>
      </c>
      <c r="QP33" s="50">
        <v>3.8643920000000005E-2</v>
      </c>
      <c r="QQ33" s="50">
        <v>10.941434320000001</v>
      </c>
      <c r="QR33" s="50">
        <v>10.564341760000003</v>
      </c>
      <c r="QS33" s="50">
        <v>-0.18147750999999998</v>
      </c>
      <c r="QT33" s="50">
        <v>10.382864250000001</v>
      </c>
      <c r="QU33" s="50">
        <v>13.58749877</v>
      </c>
      <c r="QV33" s="50">
        <v>1.6993980000000002E-2</v>
      </c>
      <c r="QW33" s="50">
        <v>13.60449275</v>
      </c>
      <c r="QX33" s="50">
        <v>9.3157100300000035</v>
      </c>
      <c r="QY33" s="50">
        <v>1.711176E-2</v>
      </c>
      <c r="QZ33" s="50">
        <v>9.3328217900000041</v>
      </c>
      <c r="RA33" s="50">
        <v>8.468242370000004</v>
      </c>
      <c r="RB33" s="50">
        <v>-4.0848369999999995E-2</v>
      </c>
      <c r="RC33" s="50">
        <v>8.4273940000000032</v>
      </c>
      <c r="RD33" s="50">
        <f t="shared" si="52"/>
        <v>146.89455551</v>
      </c>
      <c r="RE33" s="50">
        <f t="shared" si="53"/>
        <v>1.0000000000000356E-3</v>
      </c>
      <c r="RF33" s="50">
        <f t="shared" si="54"/>
        <v>146.89555550999998</v>
      </c>
      <c r="RG33" s="50">
        <f t="shared" si="11"/>
        <v>145.040819</v>
      </c>
      <c r="RH33" s="50">
        <v>1.684E-3</v>
      </c>
      <c r="RI33" s="50">
        <v>145.04250300000001</v>
      </c>
      <c r="RJ33" s="50">
        <v>18.086463720000001</v>
      </c>
      <c r="RK33" s="50">
        <v>8.2355399999999995E-3</v>
      </c>
      <c r="RL33" s="50">
        <v>18.094699260000002</v>
      </c>
      <c r="RM33" s="50">
        <v>22.568172269999991</v>
      </c>
      <c r="RN33" s="50">
        <v>0.10380690000000001</v>
      </c>
      <c r="RO33" s="50">
        <v>22.67197916999999</v>
      </c>
      <c r="RP33" s="50">
        <v>10.8229173</v>
      </c>
      <c r="RQ33" s="50">
        <v>-3.2951799999999996E-3</v>
      </c>
      <c r="RR33" s="50">
        <v>10.819622119999998</v>
      </c>
      <c r="RS33" s="50">
        <v>19.098684589999984</v>
      </c>
      <c r="RT33" s="50">
        <v>2.5672310000000004E-2</v>
      </c>
      <c r="RU33" s="50">
        <v>19.124356899999984</v>
      </c>
      <c r="RV33" s="50">
        <v>10.079672180000003</v>
      </c>
      <c r="RW33" s="50">
        <v>2.7054980000000003E-2</v>
      </c>
      <c r="RX33" s="50">
        <v>10.106727160000004</v>
      </c>
      <c r="RY33" s="50">
        <v>18.668197190000004</v>
      </c>
      <c r="RZ33" s="50">
        <v>-2.1294170000000005E-2</v>
      </c>
      <c r="SA33" s="50">
        <v>18.646903020000003</v>
      </c>
      <c r="SB33" s="50">
        <v>11.336219490000003</v>
      </c>
      <c r="SC33" s="50">
        <v>1.676339E-2</v>
      </c>
      <c r="SD33" s="50">
        <v>11.352982880000003</v>
      </c>
      <c r="SE33" s="50">
        <v>14.121427889999993</v>
      </c>
      <c r="SF33" s="50">
        <v>-0.15500088999999997</v>
      </c>
      <c r="SG33" s="50">
        <v>13.966426999999992</v>
      </c>
      <c r="SH33" s="50">
        <v>12.082576939999996</v>
      </c>
      <c r="SI33" s="50">
        <v>3.3623880000000009E-2</v>
      </c>
      <c r="SJ33" s="50">
        <v>12.116200819999996</v>
      </c>
      <c r="SK33" s="50">
        <v>19.531347719999996</v>
      </c>
      <c r="SL33" s="50">
        <v>-1.3109910000000001E-2</v>
      </c>
      <c r="SM33" s="50">
        <v>19.518237809999999</v>
      </c>
      <c r="SN33" s="50">
        <v>9.9509098899999966</v>
      </c>
      <c r="SO33" s="50">
        <v>3.2878619999999997E-2</v>
      </c>
      <c r="SP33" s="50">
        <v>9.9837885099999966</v>
      </c>
      <c r="SQ33" s="50">
        <v>11.883084860000004</v>
      </c>
      <c r="SR33" s="50">
        <v>-3.500985999999999E-2</v>
      </c>
      <c r="SS33" s="50">
        <v>11.848075000000003</v>
      </c>
      <c r="ST33" s="50">
        <f t="shared" si="55"/>
        <v>178.22967403999996</v>
      </c>
      <c r="SU33" s="50">
        <f t="shared" si="65"/>
        <v>2.0325610000000049E-2</v>
      </c>
      <c r="SV33" s="50">
        <f t="shared" si="56"/>
        <v>178.24999964999995</v>
      </c>
      <c r="SW33" s="50">
        <f t="shared" si="44"/>
        <v>175.57435000000001</v>
      </c>
      <c r="SX33" s="50">
        <v>1.8464000000000001E-2</v>
      </c>
      <c r="SY33" s="50">
        <v>175.592814</v>
      </c>
      <c r="SZ33" s="50">
        <v>19.770222580000002</v>
      </c>
      <c r="TA33" s="50">
        <v>9.7047499999999998E-3</v>
      </c>
      <c r="TB33" s="50">
        <v>19.77992733</v>
      </c>
      <c r="TC33" s="50">
        <v>6.2983233600000004</v>
      </c>
      <c r="TD33" s="50">
        <v>3.6880000000000003E-2</v>
      </c>
      <c r="TE33" s="50">
        <v>6.3352033600000004</v>
      </c>
      <c r="TF33" s="50">
        <v>11.810105289999999</v>
      </c>
      <c r="TG33" s="50">
        <v>-2.9266779999999999E-2</v>
      </c>
      <c r="TH33" s="50">
        <v>11.780838509999999</v>
      </c>
      <c r="TI33" s="50">
        <v>24.640513090000013</v>
      </c>
      <c r="TJ33" s="50">
        <v>1.1587600000000002E-3</v>
      </c>
      <c r="TK33" s="50">
        <v>24.641671850000012</v>
      </c>
      <c r="TL33" s="50">
        <v>33.518660499999996</v>
      </c>
      <c r="TM33" s="50">
        <v>4.6123089999999992E-2</v>
      </c>
      <c r="TN33" s="50">
        <v>33.564783589999998</v>
      </c>
      <c r="TO33" s="50">
        <v>12.018517150000001</v>
      </c>
      <c r="TP33" s="50">
        <v>-3.4944100000000007E-3</v>
      </c>
      <c r="TQ33" s="50">
        <v>12.015022740000001</v>
      </c>
      <c r="TR33" s="50">
        <v>16.237165910000005</v>
      </c>
      <c r="TS33" s="50">
        <v>0.19713204000000004</v>
      </c>
      <c r="TT33" s="50">
        <v>16.434297950000005</v>
      </c>
      <c r="TU33" s="50">
        <v>26.395346489999998</v>
      </c>
      <c r="TV33" s="50">
        <v>-0.25206964000000004</v>
      </c>
      <c r="TW33" s="50">
        <v>26.143276849999999</v>
      </c>
      <c r="TX33" s="50">
        <v>8.8682875799999987</v>
      </c>
      <c r="TY33" s="50">
        <v>1.2232670000000001E-2</v>
      </c>
      <c r="TZ33" s="50">
        <v>8.8805202499999982</v>
      </c>
      <c r="UA33" s="50">
        <v>14.53169708000001</v>
      </c>
      <c r="UB33" s="50">
        <v>9.9882000000000117E-4</v>
      </c>
      <c r="UC33" s="50">
        <v>14.532695900000009</v>
      </c>
      <c r="UD33" s="50">
        <v>9.0074531399999973</v>
      </c>
      <c r="UE33" s="50">
        <v>8.2029060000000001E-2</v>
      </c>
      <c r="UF33" s="50">
        <v>9.0894821999999973</v>
      </c>
      <c r="UG33" s="50">
        <v>10.364375550000002</v>
      </c>
      <c r="UH33" s="50">
        <v>8.9404589999999992E-2</v>
      </c>
      <c r="UI33" s="50">
        <v>10.453780140000001</v>
      </c>
      <c r="UJ33" s="50">
        <f t="shared" si="45"/>
        <v>193.46066772</v>
      </c>
      <c r="UK33" s="50">
        <f t="shared" si="15"/>
        <v>0.19083295</v>
      </c>
      <c r="UL33" s="50">
        <f t="shared" si="16"/>
        <v>193.65150067000002</v>
      </c>
      <c r="UM33" s="50">
        <v>17.802329500000013</v>
      </c>
      <c r="UN33" s="50">
        <v>1.136095E-2</v>
      </c>
      <c r="UO33" s="50">
        <v>17.813690450000013</v>
      </c>
      <c r="UP33" s="50">
        <v>19.756567850000003</v>
      </c>
      <c r="UQ33" s="50">
        <v>1.9625520000000004E-2</v>
      </c>
      <c r="UR33" s="50">
        <v>19.776193370000005</v>
      </c>
      <c r="US33" s="50">
        <v>14.859224480000011</v>
      </c>
      <c r="UT33" s="50">
        <v>-1.2098600000000003E-2</v>
      </c>
      <c r="UU33" s="50">
        <v>14.847125880000011</v>
      </c>
      <c r="UV33" s="50">
        <v>24.679778649999992</v>
      </c>
      <c r="UW33" s="50">
        <v>3.3952880000000005E-2</v>
      </c>
      <c r="UX33" s="50">
        <v>24.713731529999993</v>
      </c>
      <c r="UY33" s="50"/>
      <c r="UZ33" s="50"/>
      <c r="VA33" s="50"/>
      <c r="VB33" s="50"/>
      <c r="VC33" s="50"/>
      <c r="VD33" s="50"/>
      <c r="VE33" s="50"/>
      <c r="VF33" s="50"/>
      <c r="VG33" s="50"/>
      <c r="VH33" s="50"/>
      <c r="VI33" s="50"/>
      <c r="VJ33" s="50"/>
      <c r="VK33" s="50"/>
      <c r="VL33" s="50"/>
      <c r="VM33" s="50"/>
      <c r="VN33" s="50"/>
      <c r="VO33" s="50"/>
      <c r="VP33" s="50"/>
      <c r="VQ33" s="50"/>
      <c r="VR33" s="50"/>
      <c r="VS33" s="50"/>
      <c r="VT33" s="50"/>
      <c r="VU33" s="50"/>
      <c r="VV33" s="50"/>
      <c r="VW33" s="276">
        <f t="shared" si="57"/>
        <v>62.519164000000004</v>
      </c>
      <c r="VX33" s="292">
        <f t="shared" si="58"/>
        <v>1.8477E-2</v>
      </c>
      <c r="VY33" s="292">
        <f t="shared" si="59"/>
        <v>62.537641000000001</v>
      </c>
      <c r="VZ33" s="276">
        <f t="shared" si="60"/>
        <v>77.097899999999996</v>
      </c>
      <c r="WA33" s="292">
        <f t="shared" si="61"/>
        <v>5.2840999999999999E-2</v>
      </c>
      <c r="WB33" s="292">
        <f t="shared" si="62"/>
        <v>77.150740999999996</v>
      </c>
      <c r="WC33" s="277">
        <f t="shared" si="63"/>
        <v>14.613099999999996</v>
      </c>
      <c r="WD33" s="277">
        <f t="shared" si="87"/>
        <v>23.366887152011358</v>
      </c>
    </row>
    <row r="34" spans="1:602" s="12" customFormat="1" ht="20.5">
      <c r="A34" s="42" t="s">
        <v>99</v>
      </c>
      <c r="B34" s="12" t="s">
        <v>100</v>
      </c>
      <c r="C34" s="42" t="s">
        <v>101</v>
      </c>
      <c r="D34" s="45">
        <v>0</v>
      </c>
      <c r="E34" s="42">
        <v>0</v>
      </c>
      <c r="F34" s="42">
        <v>0</v>
      </c>
      <c r="G34" s="42">
        <v>10.318090107626023</v>
      </c>
      <c r="H34" s="42">
        <v>0</v>
      </c>
      <c r="I34" s="42">
        <v>2.4185975037136955E-2</v>
      </c>
      <c r="J34" s="42">
        <v>1.9874673000000074E-4</v>
      </c>
      <c r="K34" s="42">
        <v>9.7395575437817655E-2</v>
      </c>
      <c r="L34" s="42">
        <v>0.1734921827422724</v>
      </c>
      <c r="M34" s="42">
        <v>-5.1239036772699094E-2</v>
      </c>
      <c r="N34" s="42">
        <v>0</v>
      </c>
      <c r="O34" s="42">
        <v>3.3401915754605833E-2</v>
      </c>
      <c r="P34" s="42">
        <v>1.7505591886215789E-2</v>
      </c>
      <c r="Q34" s="42">
        <v>0.24263806125178569</v>
      </c>
      <c r="R34" s="42">
        <v>-3.9456235308848522E-3</v>
      </c>
      <c r="S34" s="42">
        <v>9.6561772556786801E-2</v>
      </c>
      <c r="T34" s="42">
        <v>0.61650958161877267</v>
      </c>
      <c r="U34" s="42">
        <v>2.6333942322468301E-2</v>
      </c>
      <c r="V34" s="42">
        <v>0.642843523941241</v>
      </c>
      <c r="W34" s="42">
        <v>0.63019561641652577</v>
      </c>
      <c r="X34" s="42">
        <v>0.56422843353196628</v>
      </c>
      <c r="Y34" s="42">
        <v>-0.35150909784235718</v>
      </c>
      <c r="Z34" s="42">
        <v>7.0113431340743645E-2</v>
      </c>
      <c r="AA34" s="42">
        <v>0.38995367129384578</v>
      </c>
      <c r="AB34" s="42">
        <v>0.24902817855333778</v>
      </c>
      <c r="AC34" s="42">
        <v>0.27317573605158768</v>
      </c>
      <c r="AD34" s="42">
        <v>0.39430196754713975</v>
      </c>
      <c r="AE34" s="42">
        <v>0.17194552108411451</v>
      </c>
      <c r="AF34" s="42">
        <v>0.29986169686000647</v>
      </c>
      <c r="AG34" s="42">
        <v>0.30759442177335361</v>
      </c>
      <c r="AH34" s="42">
        <v>0.25068297846910376</v>
      </c>
      <c r="AI34" s="42">
        <v>0.32023152970102614</v>
      </c>
      <c r="AJ34" s="42">
        <f>AJ35+AJ36+AJ37</f>
        <v>3.7883947729381126E-2</v>
      </c>
      <c r="AK34" s="42">
        <f>AK35+AK36+AK37</f>
        <v>2.9017250613257763</v>
      </c>
      <c r="AL34" s="42">
        <v>2.9396084683638684</v>
      </c>
      <c r="AM34" s="42">
        <v>2.9531163738396482</v>
      </c>
      <c r="AN34" s="42">
        <v>0.29803046083972207</v>
      </c>
      <c r="AO34" s="42">
        <v>0.21154831218945824</v>
      </c>
      <c r="AP34" s="42">
        <v>0.23997871383771294</v>
      </c>
      <c r="AQ34" s="42">
        <v>0.25547805647093641</v>
      </c>
      <c r="AR34" s="42">
        <v>0.5036083886830468</v>
      </c>
      <c r="AS34" s="42">
        <v>0.56502630889977867</v>
      </c>
      <c r="AT34" s="42">
        <v>0.60479166310948718</v>
      </c>
      <c r="AU34" s="42">
        <v>0.76286702978355281</v>
      </c>
      <c r="AV34" s="42">
        <v>0.55964963204534968</v>
      </c>
      <c r="AW34" s="42">
        <v>0.45359019015258878</v>
      </c>
      <c r="AX34" s="42">
        <v>0.36635676518631077</v>
      </c>
      <c r="AY34" s="42">
        <v>0.66389491237955389</v>
      </c>
      <c r="AZ34" s="42">
        <v>1.1890484971627928</v>
      </c>
      <c r="BA34" s="42">
        <v>4.2957719364147051</v>
      </c>
      <c r="BB34" s="42">
        <v>5.4848204335774975</v>
      </c>
      <c r="BC34" s="45">
        <f t="shared" si="21"/>
        <v>1.1978381515778507</v>
      </c>
      <c r="BD34" s="45">
        <v>4.3295464392895893</v>
      </c>
      <c r="BE34" s="45">
        <v>5.5273845908674399</v>
      </c>
      <c r="BF34" s="44">
        <f t="shared" ref="BF34:CI34" si="89">BF35+BF36+BF37</f>
        <v>1.2338E-4</v>
      </c>
      <c r="BG34" s="50">
        <f t="shared" si="89"/>
        <v>0.49439112000000002</v>
      </c>
      <c r="BH34" s="50">
        <f t="shared" si="89"/>
        <v>0.49451450000000002</v>
      </c>
      <c r="BI34" s="45">
        <f t="shared" si="89"/>
        <v>2.3294600000000002E-3</v>
      </c>
      <c r="BJ34" s="45">
        <f t="shared" si="89"/>
        <v>0.53624066999999997</v>
      </c>
      <c r="BK34" s="50">
        <f t="shared" si="89"/>
        <v>0.53857012999999998</v>
      </c>
      <c r="BL34" s="50">
        <f t="shared" si="89"/>
        <v>1.7613170000000001E-2</v>
      </c>
      <c r="BM34" s="50">
        <f t="shared" si="89"/>
        <v>0.55304971999999997</v>
      </c>
      <c r="BN34" s="50">
        <f t="shared" si="89"/>
        <v>0.57066289000000003</v>
      </c>
      <c r="BO34" s="50">
        <f t="shared" si="89"/>
        <v>-1.055261E-2</v>
      </c>
      <c r="BP34" s="50">
        <f t="shared" si="89"/>
        <v>0.53378241999999998</v>
      </c>
      <c r="BQ34" s="50">
        <f t="shared" si="89"/>
        <v>0.52322980999999991</v>
      </c>
      <c r="BR34" s="50">
        <f t="shared" si="89"/>
        <v>-9.1315999999999999E-4</v>
      </c>
      <c r="BS34" s="50">
        <f t="shared" si="89"/>
        <v>0.19363348999999999</v>
      </c>
      <c r="BT34" s="50">
        <f t="shared" si="89"/>
        <v>0.19272033</v>
      </c>
      <c r="BU34" s="50">
        <f t="shared" si="89"/>
        <v>7.6441399999999998E-3</v>
      </c>
      <c r="BV34" s="50">
        <f t="shared" si="89"/>
        <v>0.75693748999999999</v>
      </c>
      <c r="BW34" s="50">
        <f t="shared" si="89"/>
        <v>0.76458163000000001</v>
      </c>
      <c r="BX34" s="50">
        <f t="shared" si="89"/>
        <v>-2.9407199999999987E-3</v>
      </c>
      <c r="BY34" s="50">
        <f t="shared" si="89"/>
        <v>0.33273042000000003</v>
      </c>
      <c r="BZ34" s="50">
        <f t="shared" si="89"/>
        <v>0.32978970000000002</v>
      </c>
      <c r="CA34" s="50">
        <f t="shared" si="89"/>
        <v>1.1467000000000001E-3</v>
      </c>
      <c r="CB34" s="50">
        <f t="shared" si="89"/>
        <v>0.13215981000000002</v>
      </c>
      <c r="CC34" s="50">
        <f t="shared" si="89"/>
        <v>0.13330651000000002</v>
      </c>
      <c r="CD34" s="50">
        <f t="shared" si="89"/>
        <v>3.8415070000000003E-2</v>
      </c>
      <c r="CE34" s="50">
        <f t="shared" si="89"/>
        <v>0.34392528999999994</v>
      </c>
      <c r="CF34" s="50">
        <f t="shared" si="89"/>
        <v>0.38234035999999999</v>
      </c>
      <c r="CG34" s="50">
        <f t="shared" si="89"/>
        <v>0.30031194999999999</v>
      </c>
      <c r="CH34" s="50">
        <f t="shared" si="89"/>
        <v>0.43303218999999998</v>
      </c>
      <c r="CI34" s="50">
        <f t="shared" si="89"/>
        <v>0.73334414000000003</v>
      </c>
      <c r="CJ34" s="45">
        <f t="shared" ref="CJ34:CO34" si="90">CJ35+CJ36+CJ37</f>
        <v>7.8852829999999999E-2</v>
      </c>
      <c r="CK34" s="45">
        <f t="shared" si="90"/>
        <v>0.48003980000000007</v>
      </c>
      <c r="CL34" s="50">
        <f t="shared" si="90"/>
        <v>0.55889263</v>
      </c>
      <c r="CM34" s="42">
        <f t="shared" si="90"/>
        <v>0.24871148000000001</v>
      </c>
      <c r="CN34" s="45">
        <f t="shared" si="90"/>
        <v>0.39662083999999997</v>
      </c>
      <c r="CO34" s="50">
        <f t="shared" si="90"/>
        <v>0.64533232000000007</v>
      </c>
      <c r="CP34" s="50">
        <f t="shared" si="24"/>
        <v>0.68074168999999995</v>
      </c>
      <c r="CQ34" s="50">
        <f t="shared" si="25"/>
        <v>5.1865432599999997</v>
      </c>
      <c r="CR34" s="50">
        <f t="shared" si="26"/>
        <v>5.8672849500000002</v>
      </c>
      <c r="CS34" s="45">
        <f t="shared" si="2"/>
        <v>0.69060099999999913</v>
      </c>
      <c r="CT34" s="45">
        <f>CT35+CT36+CT37</f>
        <v>5.1822350000000004</v>
      </c>
      <c r="CU34" s="45">
        <f>CU35+CU36+CU37</f>
        <v>5.8728359999999995</v>
      </c>
      <c r="CV34" s="42">
        <f>CV35+CV36+CV37</f>
        <v>2.2874000000000002E-3</v>
      </c>
      <c r="CW34" s="45">
        <f>CW35+CW36+CW37</f>
        <v>0.37409163000000001</v>
      </c>
      <c r="CX34" s="50">
        <f>CX35+CX36+CX37</f>
        <v>0.37637902999999995</v>
      </c>
      <c r="CY34" s="42">
        <v>6.1642999999999984E-4</v>
      </c>
      <c r="CZ34" s="42">
        <v>0.26797274999999993</v>
      </c>
      <c r="DA34" s="50">
        <v>0.26858917999999993</v>
      </c>
      <c r="DB34" s="42">
        <v>2.1890039999999999E-2</v>
      </c>
      <c r="DC34" s="42">
        <v>0.43534201</v>
      </c>
      <c r="DD34" s="50">
        <v>0.45723205</v>
      </c>
      <c r="DE34" s="42">
        <v>1.334631E-2</v>
      </c>
      <c r="DF34" s="42">
        <v>0.10276313000000001</v>
      </c>
      <c r="DG34" s="50">
        <v>0.11610944000000001</v>
      </c>
      <c r="DH34" s="42">
        <v>1.0278450000000001E-2</v>
      </c>
      <c r="DI34" s="42">
        <v>0.27834185</v>
      </c>
      <c r="DJ34" s="50">
        <v>0.2886203</v>
      </c>
      <c r="DK34" s="42">
        <v>1.5871909999999999E-2</v>
      </c>
      <c r="DL34" s="42">
        <v>9.4303759999999986E-2</v>
      </c>
      <c r="DM34" s="50">
        <v>0.11017566999999999</v>
      </c>
      <c r="DN34" s="42">
        <v>1.4181829999999999E-2</v>
      </c>
      <c r="DO34" s="42">
        <v>0.31892347999999998</v>
      </c>
      <c r="DP34" s="50">
        <v>0.33310530999999999</v>
      </c>
      <c r="DQ34" s="42">
        <v>9.6362500000000007E-3</v>
      </c>
      <c r="DR34" s="42">
        <v>0.101507</v>
      </c>
      <c r="DS34" s="50">
        <v>0.11114325</v>
      </c>
      <c r="DT34" s="42">
        <v>8.5173499999999999E-3</v>
      </c>
      <c r="DU34" s="42">
        <v>0.76755969999999996</v>
      </c>
      <c r="DV34" s="50">
        <v>0.77607704999999994</v>
      </c>
      <c r="DW34" s="42">
        <v>1.1900790000000001E-2</v>
      </c>
      <c r="DX34" s="42">
        <v>0.41709414</v>
      </c>
      <c r="DY34" s="50">
        <v>0.42899493</v>
      </c>
      <c r="DZ34" s="42">
        <v>3.3302659999999998E-2</v>
      </c>
      <c r="EA34" s="42">
        <v>0.16376517999999998</v>
      </c>
      <c r="EB34" s="50">
        <v>0.19706783999999999</v>
      </c>
      <c r="EC34" s="42">
        <v>4.789830000000001E-3</v>
      </c>
      <c r="ED34" s="42">
        <v>0.18809247999999998</v>
      </c>
      <c r="EE34" s="50">
        <v>0.19288231</v>
      </c>
      <c r="EF34" s="50">
        <f t="shared" si="27"/>
        <v>0.14661924999999998</v>
      </c>
      <c r="EG34" s="50">
        <f t="shared" si="28"/>
        <v>3.5097571100000002</v>
      </c>
      <c r="EH34" s="50">
        <f t="shared" si="29"/>
        <v>3.6563763599999999</v>
      </c>
      <c r="EI34" s="50">
        <f t="shared" si="70"/>
        <v>0.14730989000000028</v>
      </c>
      <c r="EJ34" s="50">
        <f>EJ35+EJ36+EJ37</f>
        <v>3.5097571099999998</v>
      </c>
      <c r="EK34" s="50">
        <f>EK35+EK36+EK37</f>
        <v>3.6570670000000001</v>
      </c>
      <c r="EL34" s="50">
        <v>9.5359999999999987E-4</v>
      </c>
      <c r="EM34" s="50">
        <v>0.50444257000000003</v>
      </c>
      <c r="EN34" s="50">
        <v>0.50539617000000003</v>
      </c>
      <c r="EO34" s="50">
        <v>5.2113899999999998E-3</v>
      </c>
      <c r="EP34" s="50">
        <v>7.5242429999999999E-2</v>
      </c>
      <c r="EQ34" s="50">
        <v>8.0453819999999995E-2</v>
      </c>
      <c r="ER34" s="50">
        <v>8.7818209999999994E-2</v>
      </c>
      <c r="ES34" s="50">
        <v>8.3829709999999988E-2</v>
      </c>
      <c r="ET34" s="50">
        <v>0.17164791999999998</v>
      </c>
      <c r="EU34" s="50">
        <v>3.739058E-2</v>
      </c>
      <c r="EV34" s="50">
        <v>0.10021314000000001</v>
      </c>
      <c r="EW34" s="50">
        <v>0.13760372000000001</v>
      </c>
      <c r="EX34" s="50">
        <v>6.5159090000000003E-2</v>
      </c>
      <c r="EY34" s="50">
        <v>9.4427199999999999E-3</v>
      </c>
      <c r="EZ34" s="50">
        <v>7.4601809999999991E-2</v>
      </c>
      <c r="FA34" s="50">
        <v>2.5504560000000003E-2</v>
      </c>
      <c r="FB34" s="50">
        <v>1.7327180000000001E-2</v>
      </c>
      <c r="FC34" s="50">
        <v>4.2831740000000007E-2</v>
      </c>
      <c r="FD34" s="50">
        <v>3.7695279999999998E-2</v>
      </c>
      <c r="FE34" s="50">
        <v>0.33409169</v>
      </c>
      <c r="FF34" s="50">
        <v>0.37178696999999999</v>
      </c>
      <c r="FG34" s="50">
        <v>5.8163109999999997E-2</v>
      </c>
      <c r="FH34" s="50">
        <v>1.5747529999999999E-2</v>
      </c>
      <c r="FI34" s="50">
        <v>7.391064E-2</v>
      </c>
      <c r="FJ34" s="50">
        <v>3.7532949999999995E-2</v>
      </c>
      <c r="FK34" s="50">
        <v>5.0148139999999994E-2</v>
      </c>
      <c r="FL34" s="50">
        <v>8.7681089999999989E-2</v>
      </c>
      <c r="FM34" s="50">
        <v>3.4625999999999997E-2</v>
      </c>
      <c r="FN34" s="50">
        <v>6.3299100000000002E-3</v>
      </c>
      <c r="FO34" s="50">
        <v>5.1892519999999998E-2</v>
      </c>
      <c r="FP34" s="50">
        <v>3.2317600000000002E-2</v>
      </c>
      <c r="FQ34" s="50">
        <v>8.3125789999999991E-2</v>
      </c>
      <c r="FR34" s="50">
        <v>0.12565957999999999</v>
      </c>
      <c r="FS34" s="50">
        <v>3.2478310999999995</v>
      </c>
      <c r="FT34" s="50">
        <v>2.176313999999999E-2</v>
      </c>
      <c r="FU34" s="50">
        <v>1.6660343099999997</v>
      </c>
      <c r="FV34" s="50">
        <f t="shared" si="30"/>
        <v>3.6702034699999997</v>
      </c>
      <c r="FW34" s="50">
        <f t="shared" si="31"/>
        <v>1.3017039500000001</v>
      </c>
      <c r="FX34" s="50">
        <f t="shared" si="32"/>
        <v>3.38950029</v>
      </c>
      <c r="FY34" s="50">
        <f t="shared" si="71"/>
        <v>2.0912220000000001</v>
      </c>
      <c r="FZ34" s="50">
        <f>FZ35+FZ36+FZ37</f>
        <v>1.301704</v>
      </c>
      <c r="GA34" s="50">
        <f>GA35+GA36+GA37</f>
        <v>3.3929260000000001</v>
      </c>
      <c r="GB34" s="50">
        <v>0</v>
      </c>
      <c r="GC34" s="50">
        <v>5.8635699999999999E-2</v>
      </c>
      <c r="GD34" s="50">
        <v>7.5567350000000005E-2</v>
      </c>
      <c r="GE34" s="50">
        <v>8.8599999999999996E-4</v>
      </c>
      <c r="GF34" s="50">
        <v>0.26805718000000001</v>
      </c>
      <c r="GG34" s="50">
        <v>0.29521182000000001</v>
      </c>
      <c r="GH34" s="50">
        <v>4.8248000000000003E-4</v>
      </c>
      <c r="GI34" s="50">
        <v>-2.0477980000000003E-2</v>
      </c>
      <c r="GJ34" s="50">
        <v>1.8129840000000001E-2</v>
      </c>
      <c r="GK34" s="50">
        <v>0.10342946</v>
      </c>
      <c r="GL34" s="50">
        <v>0.27471348000000001</v>
      </c>
      <c r="GM34" s="50">
        <v>0.37036705999999997</v>
      </c>
      <c r="GN34" s="50">
        <v>3.8309979999999993E-2</v>
      </c>
      <c r="GO34" s="50">
        <v>6.1373840000000006E-2</v>
      </c>
      <c r="GP34" s="50">
        <v>0.11206104</v>
      </c>
      <c r="GQ34" s="50">
        <v>3.0000000000000001E-3</v>
      </c>
      <c r="GR34" s="50">
        <v>0.25601757000000003</v>
      </c>
      <c r="GS34" s="50">
        <v>0.29261135999999999</v>
      </c>
      <c r="GT34" s="50">
        <v>6.4397960000000004E-2</v>
      </c>
      <c r="GU34" s="50">
        <v>4.9799760000000005E-2</v>
      </c>
      <c r="GV34" s="50">
        <v>0.13672790000000001</v>
      </c>
      <c r="GW34" s="50">
        <v>3.3919979999999995E-2</v>
      </c>
      <c r="GX34" s="50">
        <v>-3.4958699999999999E-3</v>
      </c>
      <c r="GY34" s="50">
        <v>0.10397325999999998</v>
      </c>
      <c r="GZ34" s="50">
        <v>3.4420000000000002E-3</v>
      </c>
      <c r="HA34" s="50">
        <v>0.19072675</v>
      </c>
      <c r="HB34" s="50">
        <v>0.17852933000000001</v>
      </c>
      <c r="HC34" s="50">
        <v>6.2071500000000002E-2</v>
      </c>
      <c r="HD34" s="50">
        <v>0.29523616999999996</v>
      </c>
      <c r="HE34" s="50">
        <v>0.37166814999999997</v>
      </c>
      <c r="HF34" s="50">
        <v>0.10502192</v>
      </c>
      <c r="HG34" s="50">
        <v>0.26169566</v>
      </c>
      <c r="HH34" s="50">
        <v>0.37330934999999998</v>
      </c>
      <c r="HI34" s="50">
        <v>-3.7344559999999999E-2</v>
      </c>
      <c r="HJ34" s="50">
        <v>0.26902859000000001</v>
      </c>
      <c r="HK34" s="50">
        <v>0.43042390000000008</v>
      </c>
      <c r="HL34" s="50">
        <f t="shared" si="33"/>
        <v>0.37761672000000002</v>
      </c>
      <c r="HM34" s="50">
        <f t="shared" si="34"/>
        <v>1.9613108500000001</v>
      </c>
      <c r="HN34" s="50">
        <f t="shared" si="35"/>
        <v>2.7585803600000003</v>
      </c>
      <c r="HO34" s="50">
        <f t="shared" si="3"/>
        <v>0.79758899999999966</v>
      </c>
      <c r="HP34" s="50">
        <f>HP35+HP36+HP37</f>
        <v>1.961311</v>
      </c>
      <c r="HQ34" s="50">
        <f>HQ35+HQ36+HQ37</f>
        <v>2.7588999999999997</v>
      </c>
      <c r="HR34" s="50">
        <v>3.97659E-2</v>
      </c>
      <c r="HS34" s="50">
        <v>3.3122740000000005E-2</v>
      </c>
      <c r="HT34" s="50">
        <v>7.2888639999999991E-2</v>
      </c>
      <c r="HU34" s="50">
        <v>4.3094100000000003E-2</v>
      </c>
      <c r="HV34" s="50">
        <v>0.18771565000000001</v>
      </c>
      <c r="HW34" s="50">
        <v>0.23080975000000001</v>
      </c>
      <c r="HX34" s="50">
        <v>6.0861240000000004E-2</v>
      </c>
      <c r="HY34" s="50">
        <v>0.43193873000000005</v>
      </c>
      <c r="HZ34" s="50">
        <v>0.49279996999999998</v>
      </c>
      <c r="IA34" s="50">
        <v>9.7053609999999971E-2</v>
      </c>
      <c r="IB34" s="50">
        <v>0.26119476999999997</v>
      </c>
      <c r="IC34" s="50">
        <v>0.35824837999999992</v>
      </c>
      <c r="ID34" s="50">
        <v>5.9792870000000005E-2</v>
      </c>
      <c r="IE34" s="50">
        <v>0.27313345999999994</v>
      </c>
      <c r="IF34" s="50">
        <v>0.33292632999999994</v>
      </c>
      <c r="IG34" s="50">
        <v>8.0244499999999996E-2</v>
      </c>
      <c r="IH34" s="50">
        <v>0.23807802</v>
      </c>
      <c r="II34" s="50">
        <v>0.31832251999999994</v>
      </c>
      <c r="IJ34" s="50">
        <v>5.9330719999999997E-2</v>
      </c>
      <c r="IK34" s="50">
        <v>0.23908305000000002</v>
      </c>
      <c r="IL34" s="50">
        <v>0.29841376999999997</v>
      </c>
      <c r="IM34" s="50">
        <v>0.10504392</v>
      </c>
      <c r="IN34" s="50">
        <v>0.28557956999999995</v>
      </c>
      <c r="IO34" s="50">
        <v>0.39062348999999991</v>
      </c>
      <c r="IP34" s="50">
        <v>0.25922432000000001</v>
      </c>
      <c r="IQ34" s="50">
        <v>0.38678679000000005</v>
      </c>
      <c r="IR34" s="50">
        <v>0.64601111000000011</v>
      </c>
      <c r="IS34" s="50">
        <v>0.42916876000000009</v>
      </c>
      <c r="IT34" s="50">
        <v>0.22908657000000002</v>
      </c>
      <c r="IU34" s="50">
        <v>0.65825532999999992</v>
      </c>
      <c r="IV34" s="50">
        <v>0.33020072999999994</v>
      </c>
      <c r="IW34" s="50">
        <v>0.30227947999999999</v>
      </c>
      <c r="IX34" s="50">
        <v>0.63248020999999999</v>
      </c>
      <c r="IY34" s="50">
        <v>0.34501854999999992</v>
      </c>
      <c r="IZ34" s="50">
        <v>0.69553977</v>
      </c>
      <c r="JA34" s="50">
        <v>1.0405583199999999</v>
      </c>
      <c r="JB34" s="50">
        <f t="shared" si="36"/>
        <v>1.9087992199999997</v>
      </c>
      <c r="JC34" s="50">
        <f t="shared" si="37"/>
        <v>3.5635386000000002</v>
      </c>
      <c r="JD34" s="50">
        <f t="shared" si="38"/>
        <v>5.472337819999999</v>
      </c>
      <c r="JE34" s="50">
        <f t="shared" si="4"/>
        <v>1.9498579999999999</v>
      </c>
      <c r="JF34" s="50">
        <f>JF35+JF36+JF37</f>
        <v>3.5184980000000001</v>
      </c>
      <c r="JG34" s="50">
        <f>JG35+JG36+JG37</f>
        <v>5.468356</v>
      </c>
      <c r="JH34" s="50">
        <v>0.13944346000000002</v>
      </c>
      <c r="JI34" s="50">
        <v>9.5646519999999985E-2</v>
      </c>
      <c r="JJ34" s="50">
        <v>0.23508998</v>
      </c>
      <c r="JK34" s="50">
        <v>0.10236611000000001</v>
      </c>
      <c r="JL34" s="50">
        <v>0.56085501999999998</v>
      </c>
      <c r="JM34" s="50">
        <v>0.66322113000000005</v>
      </c>
      <c r="JN34" s="50">
        <v>-9.042184999999997E-2</v>
      </c>
      <c r="JO34" s="50">
        <v>0.72122349000000008</v>
      </c>
      <c r="JP34" s="50">
        <v>0.63080163999999994</v>
      </c>
      <c r="JQ34" s="50">
        <v>4.3468670000000001E-2</v>
      </c>
      <c r="JR34" s="50">
        <v>0.30165426999999995</v>
      </c>
      <c r="JS34" s="50">
        <v>0.34512293999999999</v>
      </c>
      <c r="JT34" s="50">
        <v>5.9965119999999997E-2</v>
      </c>
      <c r="JU34" s="50">
        <v>0.31787940000000009</v>
      </c>
      <c r="JV34" s="50">
        <v>0.37784452000000007</v>
      </c>
      <c r="JW34" s="50">
        <v>6.2239369999999995E-2</v>
      </c>
      <c r="JX34" s="50">
        <v>0.63024930000000001</v>
      </c>
      <c r="JY34" s="50">
        <v>0.69248866999999992</v>
      </c>
      <c r="JZ34" s="50">
        <v>0.17537204000000001</v>
      </c>
      <c r="KA34" s="50">
        <v>0.90157781000000004</v>
      </c>
      <c r="KB34" s="50">
        <v>1.0769498500000001</v>
      </c>
      <c r="KC34" s="50">
        <v>2.1531910000000001E-2</v>
      </c>
      <c r="KD34" s="50">
        <v>9.1336940000000005E-2</v>
      </c>
      <c r="KE34" s="50">
        <v>0.11286885000000001</v>
      </c>
      <c r="KF34" s="50">
        <v>0.26731435999999997</v>
      </c>
      <c r="KG34" s="50">
        <v>0.41882040999999992</v>
      </c>
      <c r="KH34" s="50">
        <v>0.68613477</v>
      </c>
      <c r="KI34" s="50">
        <v>6.2850320000000001E-2</v>
      </c>
      <c r="KJ34" s="50">
        <v>0.47215555000000009</v>
      </c>
      <c r="KK34" s="50">
        <v>0.53500586999999999</v>
      </c>
      <c r="KL34" s="50">
        <v>4.3700999999999997E-2</v>
      </c>
      <c r="KM34" s="50">
        <v>0.55728234999999993</v>
      </c>
      <c r="KN34" s="50">
        <v>0.60098335000000003</v>
      </c>
      <c r="KO34" s="50">
        <v>4.8433589999999999E-2</v>
      </c>
      <c r="KP34" s="50">
        <v>1.1120700100000003</v>
      </c>
      <c r="KQ34" s="50">
        <v>1.1605036000000002</v>
      </c>
      <c r="KR34" s="50">
        <f t="shared" si="48"/>
        <v>0.93626410000000004</v>
      </c>
      <c r="KS34" s="50">
        <f t="shared" si="39"/>
        <v>6.1807510699999995</v>
      </c>
      <c r="KT34" s="50">
        <f t="shared" si="49"/>
        <v>7.1170151700000002</v>
      </c>
      <c r="KU34" s="50">
        <f t="shared" si="5"/>
        <v>0.9659810000000002</v>
      </c>
      <c r="KV34" s="50">
        <f>KV35+KV36+KV37</f>
        <v>6.5259130000000001</v>
      </c>
      <c r="KW34" s="50">
        <f>KW35+KW36+KW37</f>
        <v>7.4918940000000003</v>
      </c>
      <c r="KX34" s="50">
        <v>4.9630800000000003E-2</v>
      </c>
      <c r="KY34" s="50">
        <v>0.67686999000000003</v>
      </c>
      <c r="KZ34" s="50">
        <v>0.72650079000000001</v>
      </c>
      <c r="LA34" s="50">
        <v>5.8326099999999999E-2</v>
      </c>
      <c r="LB34" s="50">
        <v>0.11729279000000001</v>
      </c>
      <c r="LC34" s="50">
        <v>0.17561888999999997</v>
      </c>
      <c r="LD34" s="50">
        <v>1.2666099999999998E-2</v>
      </c>
      <c r="LE34" s="50">
        <v>0.28911179000000004</v>
      </c>
      <c r="LF34" s="50">
        <v>0.30177788999999999</v>
      </c>
      <c r="LG34" s="50">
        <v>5.2576699999999997E-2</v>
      </c>
      <c r="LH34" s="50">
        <v>0.58122425</v>
      </c>
      <c r="LI34" s="174">
        <v>0.63380094999999992</v>
      </c>
      <c r="LJ34" s="174">
        <v>2.1038739999999997E-2</v>
      </c>
      <c r="LK34" s="50">
        <v>0.39341528000000003</v>
      </c>
      <c r="LL34" s="174">
        <v>0.41445402000000003</v>
      </c>
      <c r="LM34" s="50">
        <v>0.15729460999999997</v>
      </c>
      <c r="LN34" s="50">
        <v>0.33730184999999996</v>
      </c>
      <c r="LO34" s="50">
        <v>0.49459645999999996</v>
      </c>
      <c r="LP34" s="50">
        <v>0.13065308</v>
      </c>
      <c r="LQ34" s="44">
        <v>0.35289127999999997</v>
      </c>
      <c r="LR34" s="44">
        <v>0.48387536000000003</v>
      </c>
      <c r="LS34" s="50">
        <v>8.2236459999999997E-2</v>
      </c>
      <c r="LT34" s="50">
        <v>0.23854000999999997</v>
      </c>
      <c r="LU34" s="52">
        <v>0.32077646999999998</v>
      </c>
      <c r="LV34" s="44">
        <v>4.344514E-2</v>
      </c>
      <c r="LW34" s="50">
        <v>0.25946488000000001</v>
      </c>
      <c r="LX34" s="50">
        <v>0.30291002</v>
      </c>
      <c r="LY34" s="50">
        <v>5.7613849999999966E-2</v>
      </c>
      <c r="LZ34" s="50">
        <v>0.43450074</v>
      </c>
      <c r="MA34" s="50">
        <v>0.49211458999999996</v>
      </c>
      <c r="MB34" s="50">
        <v>7.7649410000000002E-2</v>
      </c>
      <c r="MC34" s="50">
        <v>0.6452224299999999</v>
      </c>
      <c r="MD34" s="50">
        <v>0.72287183999999993</v>
      </c>
      <c r="ME34" s="50">
        <v>0.10370644</v>
      </c>
      <c r="MF34" s="50">
        <v>0.87172079000000002</v>
      </c>
      <c r="MG34" s="50">
        <v>0.97542722999999987</v>
      </c>
      <c r="MH34" s="50">
        <f t="shared" si="66"/>
        <v>0.84683742999999989</v>
      </c>
      <c r="MI34" s="50">
        <f t="shared" si="50"/>
        <v>5.19755608</v>
      </c>
      <c r="MJ34" s="50">
        <f t="shared" si="51"/>
        <v>6.04472451</v>
      </c>
      <c r="MK34" s="50">
        <f t="shared" si="7"/>
        <v>5.6287349999999998</v>
      </c>
      <c r="ML34" s="50">
        <v>0.15687200000000001</v>
      </c>
      <c r="MM34" s="50">
        <v>5.7856069999999997</v>
      </c>
      <c r="MN34" s="50">
        <v>0.13219898000000002</v>
      </c>
      <c r="MO34" s="50">
        <v>0.24779992000000001</v>
      </c>
      <c r="MP34" s="50">
        <v>0.37999889999999997</v>
      </c>
      <c r="MQ34" s="50">
        <v>6.9857010000000011E-2</v>
      </c>
      <c r="MR34" s="50">
        <v>0.35499702999999999</v>
      </c>
      <c r="MS34" s="50">
        <v>0.42485404000000004</v>
      </c>
      <c r="MT34" s="50">
        <v>0.21005964000000002</v>
      </c>
      <c r="MU34" s="50">
        <v>0.77242930999999992</v>
      </c>
      <c r="MV34" s="50">
        <v>0.98248894999999992</v>
      </c>
      <c r="MW34" s="50">
        <v>-4.8013629999999988E-2</v>
      </c>
      <c r="MX34" s="50">
        <v>0.37222873000000006</v>
      </c>
      <c r="MY34" s="50">
        <v>0.32421510000000003</v>
      </c>
      <c r="MZ34" s="50">
        <v>1.0836470000000001E-2</v>
      </c>
      <c r="NA34" s="50">
        <v>0.78039231000000009</v>
      </c>
      <c r="NB34" s="50">
        <v>0.79122878000000008</v>
      </c>
      <c r="NC34" s="50">
        <v>4.6245669999999996E-2</v>
      </c>
      <c r="ND34" s="50">
        <v>0.43602205000000005</v>
      </c>
      <c r="NE34" s="50">
        <v>0.48226772000000001</v>
      </c>
      <c r="NF34" s="50">
        <v>0.14948571999999999</v>
      </c>
      <c r="NG34" s="50">
        <v>0.42516391000000003</v>
      </c>
      <c r="NH34" s="50">
        <v>0.57464963000000002</v>
      </c>
      <c r="NI34" s="50">
        <v>3.1594609999999995E-2</v>
      </c>
      <c r="NJ34" s="50">
        <v>0.24893113</v>
      </c>
      <c r="NK34" s="50">
        <v>0.28052573999999997</v>
      </c>
      <c r="NL34" s="50">
        <v>5.2030430000000003E-2</v>
      </c>
      <c r="NM34" s="50">
        <v>0.51543640999999996</v>
      </c>
      <c r="NN34" s="50">
        <v>0.56746683999999992</v>
      </c>
      <c r="NO34" s="50">
        <v>0.11107141</v>
      </c>
      <c r="NP34" s="50">
        <v>0.58809438000000003</v>
      </c>
      <c r="NQ34" s="50">
        <v>0.69916579000000001</v>
      </c>
      <c r="NR34" s="50">
        <v>-1.8377140000000007E-2</v>
      </c>
      <c r="NS34" s="50">
        <v>0.41319225000000004</v>
      </c>
      <c r="NT34" s="50">
        <v>0.39481510999999997</v>
      </c>
      <c r="NU34" s="50">
        <v>5.9139330000000004E-2</v>
      </c>
      <c r="NV34" s="50">
        <v>1.1424893099999998</v>
      </c>
      <c r="NW34" s="50">
        <v>1.20162864</v>
      </c>
      <c r="NX34" s="50">
        <f t="shared" si="67"/>
        <v>0.80612850000000003</v>
      </c>
      <c r="NY34" s="50">
        <f t="shared" si="40"/>
        <v>6.2971767399999994</v>
      </c>
      <c r="NZ34" s="50">
        <f t="shared" si="41"/>
        <v>7.1033052400000001</v>
      </c>
      <c r="OA34" s="50">
        <f t="shared" si="8"/>
        <v>0.80612800000000018</v>
      </c>
      <c r="OB34" s="50">
        <f>OB35+OB36+OB37</f>
        <v>6.5136019999999997</v>
      </c>
      <c r="OC34" s="50">
        <v>7.3197299999999998</v>
      </c>
      <c r="OD34" s="50">
        <v>0.12829497000000001</v>
      </c>
      <c r="OE34" s="50">
        <v>0.14087901</v>
      </c>
      <c r="OF34" s="50">
        <v>0.26917397999999998</v>
      </c>
      <c r="OG34" s="50">
        <v>0.17253987999999998</v>
      </c>
      <c r="OH34" s="50">
        <v>0.71161843000000002</v>
      </c>
      <c r="OI34" s="50">
        <v>0.88415831</v>
      </c>
      <c r="OJ34" s="50">
        <v>-9.8987389999999953E-2</v>
      </c>
      <c r="OK34" s="50">
        <v>0.32174360000000002</v>
      </c>
      <c r="OL34" s="50">
        <v>0.22275621000000007</v>
      </c>
      <c r="OM34" s="50">
        <v>9.0244889999999994E-2</v>
      </c>
      <c r="ON34" s="50">
        <v>3.9471109999999997E-2</v>
      </c>
      <c r="OO34" s="50">
        <v>0.12971599999999997</v>
      </c>
      <c r="OP34" s="50">
        <v>0.34139907000000025</v>
      </c>
      <c r="OQ34" s="50">
        <v>0.77782511999999993</v>
      </c>
      <c r="OR34" s="50">
        <v>1.1192241900000002</v>
      </c>
      <c r="OS34" s="50">
        <v>-0.14474018999999999</v>
      </c>
      <c r="OT34" s="50">
        <v>0.12983631000000001</v>
      </c>
      <c r="OU34" s="50">
        <v>-1.4903879999999987E-2</v>
      </c>
      <c r="OV34" s="50">
        <v>0.29950286999999998</v>
      </c>
      <c r="OW34" s="50">
        <v>0.21201502999999999</v>
      </c>
      <c r="OX34" s="50">
        <v>0.51151790000000008</v>
      </c>
      <c r="OY34" s="94">
        <v>0.50512906000000002</v>
      </c>
      <c r="OZ34" s="94">
        <v>0.34109961</v>
      </c>
      <c r="PA34" s="94">
        <v>0.84622867000000013</v>
      </c>
      <c r="PB34" s="50">
        <v>-0.12194586</v>
      </c>
      <c r="PC34" s="50">
        <v>0.33293320000000004</v>
      </c>
      <c r="PD34" s="50">
        <v>0.21098734000000002</v>
      </c>
      <c r="PE34" s="50">
        <v>1.1689450000000004E-2</v>
      </c>
      <c r="PF34" s="50">
        <v>1.3363583800000001</v>
      </c>
      <c r="PG34" s="50">
        <v>1.3480478300000001</v>
      </c>
      <c r="PH34" s="50">
        <v>0.40937147000000007</v>
      </c>
      <c r="PI34" s="50">
        <v>-0.4054621300000002</v>
      </c>
      <c r="PJ34" s="50">
        <v>3.9093400000000667E-3</v>
      </c>
      <c r="PK34" s="50">
        <v>-4.634876000000001E-2</v>
      </c>
      <c r="PL34" s="50">
        <v>0.91830109000000004</v>
      </c>
      <c r="PM34" s="50">
        <v>0.87195233000000005</v>
      </c>
      <c r="PN34" s="50">
        <f t="shared" si="88"/>
        <v>1.5461494600000003</v>
      </c>
      <c r="PO34" s="50">
        <f t="shared" si="42"/>
        <v>4.8566187599999999</v>
      </c>
      <c r="PP34" s="50">
        <f t="shared" si="43"/>
        <v>6.4027682200000013</v>
      </c>
      <c r="PQ34" s="50">
        <f t="shared" si="9"/>
        <v>1.5141070000000001</v>
      </c>
      <c r="PR34" s="50">
        <f>PR35+PR36+PR37</f>
        <v>4.7346399999999997</v>
      </c>
      <c r="PS34" s="50">
        <v>6.2487469999999998</v>
      </c>
      <c r="PT34" s="50">
        <v>0.17956877999999998</v>
      </c>
      <c r="PU34" s="50">
        <v>0.42035730000000004</v>
      </c>
      <c r="PV34" s="50">
        <v>0.59992608000000003</v>
      </c>
      <c r="PW34" s="50">
        <v>-7.4784160000000002E-2</v>
      </c>
      <c r="PX34" s="50">
        <v>0.26031154000000001</v>
      </c>
      <c r="PY34" s="50">
        <v>0.18552738000000002</v>
      </c>
      <c r="PZ34" s="50">
        <v>6.5830389999999989E-2</v>
      </c>
      <c r="QA34" s="50">
        <v>0.15015486</v>
      </c>
      <c r="QB34" s="50">
        <v>0.21598524999999999</v>
      </c>
      <c r="QC34" s="50">
        <v>4.7647630000000031E-2</v>
      </c>
      <c r="QD34" s="50">
        <v>9.978627000000001E-2</v>
      </c>
      <c r="QE34" s="50">
        <v>0.14743390000000003</v>
      </c>
      <c r="QF34" s="50">
        <v>2.2455079999999961E-2</v>
      </c>
      <c r="QG34" s="50">
        <v>0.40184102999999999</v>
      </c>
      <c r="QH34" s="50">
        <v>0.42429610999999995</v>
      </c>
      <c r="QI34" s="50">
        <v>3.4946400000000044E-2</v>
      </c>
      <c r="QJ34" s="50">
        <v>0.29103763999999999</v>
      </c>
      <c r="QK34" s="50">
        <v>0.32598404000000003</v>
      </c>
      <c r="QL34" s="50">
        <v>0.16593779</v>
      </c>
      <c r="QM34" s="50">
        <v>0.18620719000000002</v>
      </c>
      <c r="QN34" s="50">
        <v>0.35214497999999994</v>
      </c>
      <c r="QO34" s="50">
        <v>-4.6092499999999995E-2</v>
      </c>
      <c r="QP34" s="50">
        <v>0.15641995</v>
      </c>
      <c r="QQ34" s="50">
        <v>0.11032745000000001</v>
      </c>
      <c r="QR34" s="50">
        <v>5.6498710000000008E-2</v>
      </c>
      <c r="QS34" s="50">
        <v>0.10853868999999999</v>
      </c>
      <c r="QT34" s="50">
        <v>0.16503739999999997</v>
      </c>
      <c r="QU34" s="50">
        <v>0.46983827999999983</v>
      </c>
      <c r="QV34" s="50">
        <v>0.16478498999999999</v>
      </c>
      <c r="QW34" s="50">
        <v>0.63462326999999985</v>
      </c>
      <c r="QX34" s="50">
        <v>0.11322512999997125</v>
      </c>
      <c r="QY34" s="50">
        <v>0.33209161000000009</v>
      </c>
      <c r="QZ34" s="50">
        <v>0.44531673999997134</v>
      </c>
      <c r="RA34" s="50">
        <v>3.6056860000000079E-2</v>
      </c>
      <c r="RB34" s="50">
        <v>0.32995967000000004</v>
      </c>
      <c r="RC34" s="50">
        <v>0.36601653000000012</v>
      </c>
      <c r="RD34" s="50">
        <f t="shared" si="52"/>
        <v>1.0711283899999708</v>
      </c>
      <c r="RE34" s="50">
        <f t="shared" si="53"/>
        <v>2.9014907399999998</v>
      </c>
      <c r="RF34" s="50">
        <f t="shared" si="54"/>
        <v>3.972619129999972</v>
      </c>
      <c r="RG34" s="50">
        <f t="shared" si="11"/>
        <v>1.0804900000000002</v>
      </c>
      <c r="RH34" s="50">
        <f>RH35+RH36+RH37</f>
        <v>2.8614609999999998</v>
      </c>
      <c r="RI34" s="50">
        <v>3.941951</v>
      </c>
      <c r="RJ34" s="50">
        <v>0.45875363999999996</v>
      </c>
      <c r="RK34" s="50">
        <v>0.32813639999999999</v>
      </c>
      <c r="RL34" s="50">
        <v>0.78689003999999996</v>
      </c>
      <c r="RM34" s="50">
        <v>-0.31779364999999998</v>
      </c>
      <c r="RN34" s="50">
        <v>0.54487414999999995</v>
      </c>
      <c r="RO34" s="50">
        <v>0.22708049999999996</v>
      </c>
      <c r="RP34" s="50">
        <v>0.10576814000000001</v>
      </c>
      <c r="RQ34" s="50">
        <v>1.0477840000000013E-2</v>
      </c>
      <c r="RR34" s="50">
        <v>0.11624598</v>
      </c>
      <c r="RS34" s="50">
        <v>-1.6780399999999918E-3</v>
      </c>
      <c r="RT34" s="50">
        <v>0.20135485</v>
      </c>
      <c r="RU34" s="50">
        <v>0.19967681000000001</v>
      </c>
      <c r="RV34" s="50">
        <v>3.6054990000000009E-2</v>
      </c>
      <c r="RW34" s="50">
        <v>0.45324394000000001</v>
      </c>
      <c r="RX34" s="50">
        <v>0.48929893000000002</v>
      </c>
      <c r="RY34" s="50">
        <v>3.999416999999994E-2</v>
      </c>
      <c r="RZ34" s="50">
        <v>0.28481881000000003</v>
      </c>
      <c r="SA34" s="50">
        <v>0.32481297999999997</v>
      </c>
      <c r="SB34" s="50">
        <v>5.4808739999999967E-2</v>
      </c>
      <c r="SC34" s="50">
        <v>0.26776929000000005</v>
      </c>
      <c r="SD34" s="50">
        <v>0.32257803000000002</v>
      </c>
      <c r="SE34" s="50">
        <v>0.7674521299999999</v>
      </c>
      <c r="SF34" s="50">
        <v>0.13394617</v>
      </c>
      <c r="SG34" s="50">
        <v>0.90139829999999987</v>
      </c>
      <c r="SH34" s="50">
        <v>-0.64219876999999992</v>
      </c>
      <c r="SI34" s="50">
        <v>0.45358870000000001</v>
      </c>
      <c r="SJ34" s="50">
        <v>-0.18861006999999991</v>
      </c>
      <c r="SK34" s="50">
        <v>4.7095959999999999E-2</v>
      </c>
      <c r="SL34" s="50">
        <v>0.55980772000000001</v>
      </c>
      <c r="SM34" s="50">
        <v>0.60690367999999995</v>
      </c>
      <c r="SN34" s="50">
        <v>3.8205910000162213E-2</v>
      </c>
      <c r="SO34" s="50">
        <v>0.14210381999999996</v>
      </c>
      <c r="SP34" s="50">
        <v>0.18030973000016218</v>
      </c>
      <c r="SQ34" s="50">
        <v>7.957886000000014E-2</v>
      </c>
      <c r="SR34" s="50">
        <v>0.67579812000000006</v>
      </c>
      <c r="SS34" s="50">
        <v>0.7553769800000002</v>
      </c>
      <c r="ST34" s="50">
        <f t="shared" si="55"/>
        <v>0.66604208000016241</v>
      </c>
      <c r="SU34" s="50">
        <f t="shared" si="65"/>
        <v>4.0559198100000007</v>
      </c>
      <c r="SV34" s="50">
        <f t="shared" si="56"/>
        <v>4.7219618900001619</v>
      </c>
      <c r="SW34" s="50">
        <f t="shared" si="44"/>
        <v>1.09354</v>
      </c>
      <c r="SX34" s="50">
        <f>SX35+SX36+SX37</f>
        <v>3.7292839999999998</v>
      </c>
      <c r="SY34" s="50">
        <v>4.8228239999999998</v>
      </c>
      <c r="SZ34" s="50">
        <v>2.2250060000000002E-2</v>
      </c>
      <c r="TA34" s="50">
        <v>0.19108924999999999</v>
      </c>
      <c r="TB34" s="50">
        <v>0.21333931</v>
      </c>
      <c r="TC34" s="50">
        <v>0.49087124999999987</v>
      </c>
      <c r="TD34" s="50">
        <v>0.23474587</v>
      </c>
      <c r="TE34" s="50">
        <v>0.72561711999999989</v>
      </c>
      <c r="TF34" s="50">
        <v>-0.34583291999999999</v>
      </c>
      <c r="TG34" s="50">
        <v>0.47330492999999996</v>
      </c>
      <c r="TH34" s="50">
        <v>0.12747200999999997</v>
      </c>
      <c r="TI34" s="50">
        <v>0.18125707999999985</v>
      </c>
      <c r="TJ34" s="50">
        <v>0.59582860999999998</v>
      </c>
      <c r="TK34" s="50">
        <v>0.77708568999999983</v>
      </c>
      <c r="TL34" s="50">
        <v>0.34696270999977386</v>
      </c>
      <c r="TM34" s="50">
        <v>0.33766830999999997</v>
      </c>
      <c r="TN34" s="50">
        <v>0.68463101999977383</v>
      </c>
      <c r="TO34" s="50">
        <v>0.12447475999999963</v>
      </c>
      <c r="TP34" s="50">
        <v>0.48800263999999999</v>
      </c>
      <c r="TQ34" s="50">
        <v>0.61247739999999962</v>
      </c>
      <c r="TR34" s="50">
        <v>-0.33979281</v>
      </c>
      <c r="TS34" s="50">
        <v>0.41444083000000004</v>
      </c>
      <c r="TT34" s="50">
        <v>7.4648020000000023E-2</v>
      </c>
      <c r="TU34" s="50">
        <v>4.6979339999999981E-2</v>
      </c>
      <c r="TV34" s="50">
        <v>0.35049479000000006</v>
      </c>
      <c r="TW34" s="50">
        <v>0.39747413000000004</v>
      </c>
      <c r="TX34" s="50">
        <v>4.955339000000003E-2</v>
      </c>
      <c r="TY34" s="50">
        <v>0.51165658000000003</v>
      </c>
      <c r="TZ34" s="50">
        <v>0.56120997000000006</v>
      </c>
      <c r="UA34" s="50">
        <v>0.16156284000000054</v>
      </c>
      <c r="UB34" s="50">
        <v>0.69376937000000005</v>
      </c>
      <c r="UC34" s="50">
        <v>0.85533221000000059</v>
      </c>
      <c r="UD34" s="50">
        <v>7.0816600000000063E-2</v>
      </c>
      <c r="UE34" s="50">
        <v>0.45746828</v>
      </c>
      <c r="UF34" s="50">
        <v>0.52828488000000007</v>
      </c>
      <c r="UG34" s="50">
        <v>8.8664920000000036E-2</v>
      </c>
      <c r="UH34" s="50">
        <v>0.92570110999999988</v>
      </c>
      <c r="UI34" s="50">
        <v>1.0143660299999999</v>
      </c>
      <c r="UJ34" s="50">
        <f t="shared" si="45"/>
        <v>0.89776721999977371</v>
      </c>
      <c r="UK34" s="50">
        <f t="shared" si="15"/>
        <v>5.6741705699999994</v>
      </c>
      <c r="UL34" s="50">
        <f t="shared" si="16"/>
        <v>6.5719377899997733</v>
      </c>
      <c r="UM34" s="50">
        <v>2.9138849999999994E-2</v>
      </c>
      <c r="UN34" s="50">
        <v>0.26546343</v>
      </c>
      <c r="UO34" s="50">
        <v>0.29460227999999999</v>
      </c>
      <c r="UP34" s="50">
        <v>0.27636280000000002</v>
      </c>
      <c r="UQ34" s="50">
        <v>0.55052276</v>
      </c>
      <c r="UR34" s="50">
        <v>0.82688556000000002</v>
      </c>
      <c r="US34" s="50">
        <v>6.0683390000000115E-2</v>
      </c>
      <c r="UT34" s="50">
        <v>0.54426412999999996</v>
      </c>
      <c r="UU34" s="50">
        <v>0.60494752000000007</v>
      </c>
      <c r="UV34" s="50">
        <v>0.35583301999999994</v>
      </c>
      <c r="UW34" s="50">
        <v>0.38641643000000003</v>
      </c>
      <c r="UX34" s="50">
        <v>0.74224944999999998</v>
      </c>
      <c r="UY34" s="50"/>
      <c r="UZ34" s="50"/>
      <c r="VA34" s="50"/>
      <c r="VB34" s="50"/>
      <c r="VC34" s="50"/>
      <c r="VD34" s="50"/>
      <c r="VE34" s="50"/>
      <c r="VF34" s="50"/>
      <c r="VG34" s="50"/>
      <c r="VH34" s="50"/>
      <c r="VI34" s="50"/>
      <c r="VJ34" s="50"/>
      <c r="VK34" s="50"/>
      <c r="VL34" s="50"/>
      <c r="VM34" s="50"/>
      <c r="VN34" s="50"/>
      <c r="VO34" s="50"/>
      <c r="VP34" s="50"/>
      <c r="VQ34" s="50"/>
      <c r="VR34" s="50"/>
      <c r="VS34" s="50"/>
      <c r="VT34" s="50"/>
      <c r="VU34" s="50"/>
      <c r="VV34" s="50"/>
      <c r="VW34" s="276">
        <f t="shared" si="57"/>
        <v>0.34854499999999999</v>
      </c>
      <c r="VX34" s="292">
        <f t="shared" si="58"/>
        <v>1.494969</v>
      </c>
      <c r="VY34" s="292">
        <f t="shared" si="59"/>
        <v>1.8435140000000001</v>
      </c>
      <c r="VZ34" s="276">
        <f t="shared" si="60"/>
        <v>0.72201800000000005</v>
      </c>
      <c r="WA34" s="292">
        <f t="shared" si="61"/>
        <v>1.746667</v>
      </c>
      <c r="WB34" s="292">
        <f t="shared" si="62"/>
        <v>2.4686849999999998</v>
      </c>
      <c r="WC34" s="277">
        <f t="shared" si="63"/>
        <v>0.6251709999999997</v>
      </c>
      <c r="WD34" s="277">
        <f t="shared" si="87"/>
        <v>33.911920386826438</v>
      </c>
    </row>
    <row r="35" spans="1:602" s="12" customFormat="1" ht="20.5">
      <c r="A35" s="46" t="s">
        <v>207</v>
      </c>
      <c r="B35" s="12" t="s">
        <v>103</v>
      </c>
      <c r="C35" s="46" t="s">
        <v>104</v>
      </c>
      <c r="D35" s="50" t="s">
        <v>46</v>
      </c>
      <c r="E35" s="50" t="s">
        <v>46</v>
      </c>
      <c r="F35" s="50" t="s">
        <v>46</v>
      </c>
      <c r="G35" s="50">
        <v>8.7538245513760238</v>
      </c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 t="s">
        <v>46</v>
      </c>
      <c r="U35" s="50" t="s">
        <v>46</v>
      </c>
      <c r="V35" s="50" t="s">
        <v>46</v>
      </c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>
        <v>0</v>
      </c>
      <c r="AK35" s="50">
        <v>0</v>
      </c>
      <c r="AL35" s="50">
        <v>0</v>
      </c>
      <c r="AM35" s="50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50"/>
      <c r="BA35" s="50"/>
      <c r="BB35" s="50"/>
      <c r="BC35" s="50"/>
      <c r="BD35" s="50"/>
      <c r="BE35" s="50"/>
      <c r="BF35" s="106"/>
      <c r="BG35" s="73"/>
      <c r="BH35" s="122">
        <f>BF35+BG35</f>
        <v>0</v>
      </c>
      <c r="BI35" s="73"/>
      <c r="BJ35" s="73"/>
      <c r="BK35" s="73">
        <f>BI35+BJ35</f>
        <v>0</v>
      </c>
      <c r="BL35" s="73"/>
      <c r="BM35" s="73"/>
      <c r="BN35" s="73">
        <f>BL35+BM35</f>
        <v>0</v>
      </c>
      <c r="BO35" s="73"/>
      <c r="BP35" s="73"/>
      <c r="BQ35" s="73">
        <f>BO35+BP35</f>
        <v>0</v>
      </c>
      <c r="BR35" s="73"/>
      <c r="BS35" s="73"/>
      <c r="BT35" s="73">
        <f>BR35+BS35</f>
        <v>0</v>
      </c>
      <c r="BU35" s="73"/>
      <c r="BV35" s="73"/>
      <c r="BW35" s="73">
        <f>BU35+BV35</f>
        <v>0</v>
      </c>
      <c r="BX35" s="73"/>
      <c r="BY35" s="73"/>
      <c r="BZ35" s="73">
        <f>BX35+BY35</f>
        <v>0</v>
      </c>
      <c r="CA35" s="73"/>
      <c r="CB35" s="73"/>
      <c r="CC35" s="73">
        <f>CA35+CB35</f>
        <v>0</v>
      </c>
      <c r="CD35" s="50">
        <v>2.6879999999999999E-3</v>
      </c>
      <c r="CE35" s="50"/>
      <c r="CF35" s="50">
        <f>CD35+CE35</f>
        <v>2.6879999999999999E-3</v>
      </c>
      <c r="CG35" s="50"/>
      <c r="CH35" s="50"/>
      <c r="CI35" s="50">
        <f>CG35+CH35</f>
        <v>0</v>
      </c>
      <c r="CJ35" s="50"/>
      <c r="CK35" s="50"/>
      <c r="CL35" s="50">
        <f>CJ35+CK35</f>
        <v>0</v>
      </c>
      <c r="CM35" s="44"/>
      <c r="CN35" s="50"/>
      <c r="CO35" s="50">
        <f>CM35+CN35</f>
        <v>0</v>
      </c>
      <c r="CP35" s="50">
        <f t="shared" si="24"/>
        <v>2.6879999999999999E-3</v>
      </c>
      <c r="CQ35" s="50">
        <f t="shared" si="25"/>
        <v>0</v>
      </c>
      <c r="CR35" s="50">
        <f t="shared" si="26"/>
        <v>2.6879999999999999E-3</v>
      </c>
      <c r="CS35" s="50"/>
      <c r="CT35" s="50"/>
      <c r="CU35" s="50">
        <v>2.6879999999999999E-3</v>
      </c>
      <c r="CV35" s="44"/>
      <c r="CW35" s="50"/>
      <c r="CX35" s="50">
        <f>CV35+CW35</f>
        <v>0</v>
      </c>
      <c r="CY35" s="42">
        <v>0</v>
      </c>
      <c r="CZ35" s="42">
        <v>0</v>
      </c>
      <c r="DA35" s="50">
        <v>0</v>
      </c>
      <c r="DB35" s="42">
        <v>0</v>
      </c>
      <c r="DC35" s="42">
        <v>0</v>
      </c>
      <c r="DD35" s="50">
        <v>0</v>
      </c>
      <c r="DE35" s="42">
        <v>0</v>
      </c>
      <c r="DF35" s="42">
        <v>0</v>
      </c>
      <c r="DG35" s="50">
        <v>0</v>
      </c>
      <c r="DH35" s="42">
        <v>0</v>
      </c>
      <c r="DI35" s="42">
        <v>0</v>
      </c>
      <c r="DJ35" s="50">
        <v>0</v>
      </c>
      <c r="DK35" s="42">
        <v>0</v>
      </c>
      <c r="DL35" s="42">
        <v>0</v>
      </c>
      <c r="DM35" s="50">
        <v>0</v>
      </c>
      <c r="DN35" s="42">
        <v>1.08E-3</v>
      </c>
      <c r="DO35" s="42">
        <v>0</v>
      </c>
      <c r="DP35" s="50">
        <v>1.08E-3</v>
      </c>
      <c r="DQ35" s="42">
        <v>1.08E-3</v>
      </c>
      <c r="DR35" s="42">
        <v>0</v>
      </c>
      <c r="DS35" s="50">
        <v>1.08E-3</v>
      </c>
      <c r="DT35" s="42">
        <v>1.08E-3</v>
      </c>
      <c r="DU35" s="42">
        <v>0</v>
      </c>
      <c r="DV35" s="50">
        <v>1.08E-3</v>
      </c>
      <c r="DW35" s="42">
        <v>0</v>
      </c>
      <c r="DX35" s="42">
        <v>0</v>
      </c>
      <c r="DY35" s="50">
        <v>0</v>
      </c>
      <c r="DZ35" s="42">
        <v>0</v>
      </c>
      <c r="EA35" s="42">
        <v>0</v>
      </c>
      <c r="EB35" s="50">
        <v>0</v>
      </c>
      <c r="EC35" s="42">
        <v>0</v>
      </c>
      <c r="ED35" s="42">
        <v>0</v>
      </c>
      <c r="EE35" s="50">
        <v>0</v>
      </c>
      <c r="EF35" s="50">
        <f t="shared" si="27"/>
        <v>3.2399999999999998E-3</v>
      </c>
      <c r="EG35" s="50">
        <f t="shared" si="28"/>
        <v>0</v>
      </c>
      <c r="EH35" s="50">
        <f t="shared" si="29"/>
        <v>3.2399999999999998E-3</v>
      </c>
      <c r="EI35" s="50"/>
      <c r="EJ35" s="50"/>
      <c r="EK35" s="50">
        <v>3.2399999999999998E-3</v>
      </c>
      <c r="EL35" s="50">
        <v>0</v>
      </c>
      <c r="EM35" s="50">
        <v>0</v>
      </c>
      <c r="EN35" s="50">
        <v>0</v>
      </c>
      <c r="EO35" s="50">
        <v>0</v>
      </c>
      <c r="EP35" s="50">
        <v>0</v>
      </c>
      <c r="EQ35" s="50">
        <v>0</v>
      </c>
      <c r="ER35" s="50">
        <v>0</v>
      </c>
      <c r="ES35" s="50">
        <v>0</v>
      </c>
      <c r="ET35" s="50">
        <v>0</v>
      </c>
      <c r="EU35" s="50">
        <v>0</v>
      </c>
      <c r="EV35" s="50">
        <v>0</v>
      </c>
      <c r="EW35" s="50">
        <v>0</v>
      </c>
      <c r="EX35" s="50">
        <v>0</v>
      </c>
      <c r="EY35" s="50">
        <v>0</v>
      </c>
      <c r="EZ35" s="50">
        <v>0</v>
      </c>
      <c r="FA35" s="50">
        <v>0</v>
      </c>
      <c r="FB35" s="50">
        <v>0</v>
      </c>
      <c r="FC35" s="50">
        <v>0</v>
      </c>
      <c r="FD35" s="50">
        <v>0</v>
      </c>
      <c r="FE35" s="50">
        <v>0</v>
      </c>
      <c r="FF35" s="50">
        <v>0</v>
      </c>
      <c r="FG35" s="50">
        <v>0</v>
      </c>
      <c r="FH35" s="50">
        <v>0</v>
      </c>
      <c r="FI35" s="50">
        <v>0</v>
      </c>
      <c r="FJ35" s="50">
        <v>3.56165E-3</v>
      </c>
      <c r="FK35" s="50">
        <v>0</v>
      </c>
      <c r="FL35" s="50">
        <v>3.56165E-3</v>
      </c>
      <c r="FM35" s="50">
        <v>0</v>
      </c>
      <c r="FN35" s="50">
        <v>0</v>
      </c>
      <c r="FO35" s="50">
        <v>0</v>
      </c>
      <c r="FP35" s="50">
        <v>0</v>
      </c>
      <c r="FQ35" s="50">
        <v>0</v>
      </c>
      <c r="FR35" s="50">
        <v>0</v>
      </c>
      <c r="FS35" s="50">
        <v>0</v>
      </c>
      <c r="FT35" s="50">
        <v>0</v>
      </c>
      <c r="FU35" s="50">
        <v>0</v>
      </c>
      <c r="FV35" s="50">
        <f t="shared" si="30"/>
        <v>3.56165E-3</v>
      </c>
      <c r="FW35" s="50">
        <f t="shared" si="31"/>
        <v>0</v>
      </c>
      <c r="FX35" s="50">
        <f t="shared" si="32"/>
        <v>3.56165E-3</v>
      </c>
      <c r="FY35" s="50"/>
      <c r="FZ35" s="50"/>
      <c r="GA35" s="50">
        <v>3.5620000000000001E-3</v>
      </c>
      <c r="GB35" s="50">
        <v>0</v>
      </c>
      <c r="GC35" s="50">
        <v>0</v>
      </c>
      <c r="GD35" s="50">
        <v>0</v>
      </c>
      <c r="GE35" s="50">
        <v>0</v>
      </c>
      <c r="GF35" s="50">
        <v>0</v>
      </c>
      <c r="GG35" s="50">
        <v>0</v>
      </c>
      <c r="GH35" s="50">
        <v>0</v>
      </c>
      <c r="GI35" s="50">
        <v>0</v>
      </c>
      <c r="GJ35" s="50">
        <v>0</v>
      </c>
      <c r="GK35" s="50">
        <v>0</v>
      </c>
      <c r="GL35" s="50">
        <v>0</v>
      </c>
      <c r="GM35" s="50">
        <v>0</v>
      </c>
      <c r="GN35" s="50">
        <v>0</v>
      </c>
      <c r="GO35" s="50">
        <v>0</v>
      </c>
      <c r="GP35" s="50">
        <v>0</v>
      </c>
      <c r="GQ35" s="50">
        <v>0</v>
      </c>
      <c r="GR35" s="50">
        <v>0</v>
      </c>
      <c r="GS35" s="50">
        <v>0</v>
      </c>
      <c r="GT35" s="50">
        <v>0</v>
      </c>
      <c r="GU35" s="50">
        <v>0</v>
      </c>
      <c r="GV35" s="50">
        <v>0</v>
      </c>
      <c r="GW35" s="50">
        <v>0</v>
      </c>
      <c r="GX35" s="50">
        <v>0</v>
      </c>
      <c r="GY35" s="50">
        <v>0</v>
      </c>
      <c r="GZ35" s="50">
        <v>0</v>
      </c>
      <c r="HA35" s="50">
        <v>0</v>
      </c>
      <c r="HB35" s="50">
        <v>0</v>
      </c>
      <c r="HC35" s="50">
        <v>0</v>
      </c>
      <c r="HD35" s="50">
        <v>0</v>
      </c>
      <c r="HE35" s="50">
        <v>0</v>
      </c>
      <c r="HF35" s="50">
        <v>1.596E-3</v>
      </c>
      <c r="HG35" s="50">
        <v>0</v>
      </c>
      <c r="HH35" s="50">
        <v>1.596E-3</v>
      </c>
      <c r="HI35" s="50">
        <v>0</v>
      </c>
      <c r="HJ35" s="50">
        <v>0</v>
      </c>
      <c r="HK35" s="50">
        <v>0</v>
      </c>
      <c r="HL35" s="50">
        <f t="shared" si="33"/>
        <v>1.596E-3</v>
      </c>
      <c r="HM35" s="50">
        <f t="shared" si="34"/>
        <v>0</v>
      </c>
      <c r="HN35" s="50">
        <f t="shared" si="35"/>
        <v>1.596E-3</v>
      </c>
      <c r="HO35" s="50">
        <f t="shared" si="3"/>
        <v>1.596E-3</v>
      </c>
      <c r="HP35" s="50"/>
      <c r="HQ35" s="50">
        <v>1.596E-3</v>
      </c>
      <c r="HR35" s="50">
        <v>0</v>
      </c>
      <c r="HS35" s="50">
        <v>0</v>
      </c>
      <c r="HT35" s="50">
        <v>0</v>
      </c>
      <c r="HU35" s="50">
        <v>0</v>
      </c>
      <c r="HV35" s="50">
        <v>0</v>
      </c>
      <c r="HW35" s="50">
        <v>0</v>
      </c>
      <c r="HX35" s="50">
        <v>0</v>
      </c>
      <c r="HY35" s="50">
        <v>0</v>
      </c>
      <c r="HZ35" s="50">
        <v>0</v>
      </c>
      <c r="IA35" s="50">
        <v>0</v>
      </c>
      <c r="IB35" s="50">
        <v>0</v>
      </c>
      <c r="IC35" s="50">
        <v>0</v>
      </c>
      <c r="ID35" s="50">
        <v>0</v>
      </c>
      <c r="IE35" s="50">
        <v>0</v>
      </c>
      <c r="IF35" s="50">
        <v>0</v>
      </c>
      <c r="IG35" s="50">
        <v>0</v>
      </c>
      <c r="IH35" s="50">
        <v>0</v>
      </c>
      <c r="II35" s="50">
        <v>0</v>
      </c>
      <c r="IJ35" s="50">
        <v>0</v>
      </c>
      <c r="IK35" s="50">
        <v>0</v>
      </c>
      <c r="IL35" s="50">
        <v>0</v>
      </c>
      <c r="IM35" s="50">
        <v>5.9217199999999992E-3</v>
      </c>
      <c r="IN35" s="50">
        <v>0</v>
      </c>
      <c r="IO35" s="50">
        <v>5.9217199999999992E-3</v>
      </c>
      <c r="IP35" s="50">
        <v>2.3219999999999998E-3</v>
      </c>
      <c r="IQ35" s="50">
        <v>0</v>
      </c>
      <c r="IR35" s="50">
        <v>2.3219999999999998E-3</v>
      </c>
      <c r="IS35" s="50">
        <v>0</v>
      </c>
      <c r="IT35" s="50">
        <v>0</v>
      </c>
      <c r="IU35" s="50">
        <v>0</v>
      </c>
      <c r="IV35" s="50">
        <v>0</v>
      </c>
      <c r="IW35" s="50">
        <v>0</v>
      </c>
      <c r="IX35" s="50">
        <v>0</v>
      </c>
      <c r="IY35" s="50">
        <v>0</v>
      </c>
      <c r="IZ35" s="50">
        <v>0</v>
      </c>
      <c r="JA35" s="50">
        <v>0</v>
      </c>
      <c r="JB35" s="50">
        <f t="shared" si="36"/>
        <v>8.2437199999999995E-3</v>
      </c>
      <c r="JC35" s="50">
        <f t="shared" si="37"/>
        <v>0</v>
      </c>
      <c r="JD35" s="50">
        <f t="shared" si="38"/>
        <v>8.2437199999999995E-3</v>
      </c>
      <c r="JE35" s="50">
        <f t="shared" si="4"/>
        <v>8.2439999999999996E-3</v>
      </c>
      <c r="JF35" s="50"/>
      <c r="JG35" s="50">
        <v>8.2439999999999996E-3</v>
      </c>
      <c r="JH35" s="50">
        <v>0</v>
      </c>
      <c r="JI35" s="50">
        <v>0</v>
      </c>
      <c r="JJ35" s="50">
        <v>0</v>
      </c>
      <c r="JK35" s="50">
        <v>0</v>
      </c>
      <c r="JL35" s="50">
        <v>0</v>
      </c>
      <c r="JM35" s="50">
        <v>0</v>
      </c>
      <c r="JN35" s="50">
        <v>0</v>
      </c>
      <c r="JO35" s="50">
        <v>0</v>
      </c>
      <c r="JP35" s="50">
        <v>0</v>
      </c>
      <c r="JQ35" s="50">
        <v>0</v>
      </c>
      <c r="JR35" s="50">
        <v>0</v>
      </c>
      <c r="JS35" s="50">
        <v>0</v>
      </c>
      <c r="JT35" s="50">
        <v>0</v>
      </c>
      <c r="JU35" s="50">
        <v>0</v>
      </c>
      <c r="JV35" s="50">
        <v>0</v>
      </c>
      <c r="JW35" s="50">
        <v>0</v>
      </c>
      <c r="JX35" s="50">
        <v>0</v>
      </c>
      <c r="JY35" s="50">
        <v>0</v>
      </c>
      <c r="JZ35" s="50">
        <v>2.0639999999999999E-3</v>
      </c>
      <c r="KA35" s="50">
        <v>0</v>
      </c>
      <c r="KB35" s="50">
        <v>2.0639999999999999E-3</v>
      </c>
      <c r="KC35" s="50">
        <v>3.6120000000000002E-3</v>
      </c>
      <c r="KD35" s="50">
        <v>0</v>
      </c>
      <c r="KE35" s="50">
        <v>3.6120000000000002E-3</v>
      </c>
      <c r="KF35" s="50">
        <v>0</v>
      </c>
      <c r="KG35" s="50">
        <v>0</v>
      </c>
      <c r="KH35" s="50">
        <v>0</v>
      </c>
      <c r="KI35" s="50">
        <v>3.5885399999999999E-3</v>
      </c>
      <c r="KJ35" s="50">
        <v>0</v>
      </c>
      <c r="KK35" s="50">
        <v>3.5885399999999999E-3</v>
      </c>
      <c r="KL35" s="50">
        <v>0</v>
      </c>
      <c r="KM35" s="50">
        <v>0</v>
      </c>
      <c r="KN35" s="50">
        <v>0</v>
      </c>
      <c r="KO35" s="50">
        <v>-7.6610000000000003E-3</v>
      </c>
      <c r="KP35" s="50">
        <v>0</v>
      </c>
      <c r="KQ35" s="50">
        <v>-7.6610000000000003E-3</v>
      </c>
      <c r="KR35" s="50">
        <f t="shared" si="48"/>
        <v>1.6035399999999997E-3</v>
      </c>
      <c r="KS35" s="50">
        <f t="shared" si="39"/>
        <v>0</v>
      </c>
      <c r="KT35" s="50">
        <f t="shared" si="49"/>
        <v>1.6035399999999997E-3</v>
      </c>
      <c r="KU35" s="50">
        <f t="shared" si="5"/>
        <v>9.2650000000000007E-3</v>
      </c>
      <c r="KV35" s="50"/>
      <c r="KW35" s="50">
        <v>9.2650000000000007E-3</v>
      </c>
      <c r="KX35" s="50">
        <v>0</v>
      </c>
      <c r="KY35" s="50">
        <v>0</v>
      </c>
      <c r="KZ35" s="50">
        <v>0</v>
      </c>
      <c r="LA35" s="50">
        <v>0</v>
      </c>
      <c r="LB35" s="50">
        <v>0</v>
      </c>
      <c r="LC35" s="50">
        <v>0</v>
      </c>
      <c r="LG35" s="50"/>
      <c r="LH35" s="50"/>
      <c r="LI35" s="50"/>
      <c r="LJ35" s="174">
        <v>0</v>
      </c>
      <c r="LK35" s="174"/>
      <c r="LL35" s="174">
        <v>0</v>
      </c>
      <c r="LM35" s="50">
        <v>0</v>
      </c>
      <c r="LN35" s="50"/>
      <c r="LO35" s="50">
        <v>0</v>
      </c>
      <c r="LP35" s="50">
        <v>0</v>
      </c>
      <c r="LQ35" s="183"/>
      <c r="LR35" s="179"/>
      <c r="LS35" s="50">
        <v>3.3100000000000002E-4</v>
      </c>
      <c r="LT35" s="97"/>
      <c r="LU35" s="52">
        <v>3.3100000000000002E-4</v>
      </c>
      <c r="LV35" s="44">
        <v>6.6350000000000003E-3</v>
      </c>
      <c r="LW35" s="50">
        <v>0</v>
      </c>
      <c r="LX35" s="50">
        <v>6.6350000000000003E-3</v>
      </c>
      <c r="LY35" s="50">
        <v>7.8040999999999994E-4</v>
      </c>
      <c r="LZ35" s="50">
        <v>0</v>
      </c>
      <c r="MA35" s="50">
        <v>7.8040999999999994E-4</v>
      </c>
      <c r="MB35" s="50">
        <v>0</v>
      </c>
      <c r="MC35" s="50">
        <v>0</v>
      </c>
      <c r="MD35" s="50">
        <v>0</v>
      </c>
      <c r="ME35" s="50">
        <v>5.1842900000000003E-3</v>
      </c>
      <c r="MF35" s="50">
        <v>0</v>
      </c>
      <c r="MG35" s="50">
        <v>5.1842900000000003E-3</v>
      </c>
      <c r="MH35" s="50">
        <f t="shared" si="66"/>
        <v>1.29307E-2</v>
      </c>
      <c r="MI35" s="50">
        <f t="shared" si="50"/>
        <v>0</v>
      </c>
      <c r="MJ35" s="50">
        <f t="shared" si="51"/>
        <v>1.29307E-2</v>
      </c>
      <c r="MK35" s="50">
        <f t="shared" si="7"/>
        <v>1.2930000000000001E-2</v>
      </c>
      <c r="ML35" s="50"/>
      <c r="MM35" s="50">
        <v>1.2930000000000001E-2</v>
      </c>
      <c r="MN35" s="50">
        <v>0</v>
      </c>
      <c r="MO35" s="50">
        <v>0</v>
      </c>
      <c r="MP35" s="50">
        <v>0</v>
      </c>
      <c r="MQ35" s="50"/>
      <c r="MR35" s="50"/>
      <c r="MS35" s="50"/>
      <c r="MT35" s="50">
        <v>0</v>
      </c>
      <c r="MU35" s="50">
        <v>0</v>
      </c>
      <c r="MV35" s="50">
        <v>0</v>
      </c>
      <c r="MW35" s="50">
        <v>0</v>
      </c>
      <c r="MX35" s="50">
        <v>0</v>
      </c>
      <c r="MY35" s="50">
        <v>0</v>
      </c>
      <c r="MZ35" s="50">
        <v>0</v>
      </c>
      <c r="NA35" s="50">
        <v>0</v>
      </c>
      <c r="NB35" s="50">
        <v>0</v>
      </c>
      <c r="NC35" s="50"/>
      <c r="ND35" s="50"/>
      <c r="NE35" s="50"/>
      <c r="NF35" s="50"/>
      <c r="NG35" s="50"/>
      <c r="NH35" s="50"/>
      <c r="NI35" s="50">
        <v>5.9863699999999995E-3</v>
      </c>
      <c r="NJ35" s="50">
        <v>0</v>
      </c>
      <c r="NK35" s="50">
        <v>5.9863699999999995E-3</v>
      </c>
      <c r="NL35" s="50">
        <v>8.3679500000000007E-3</v>
      </c>
      <c r="NM35" s="50">
        <v>0</v>
      </c>
      <c r="NN35" s="50">
        <v>8.3679500000000007E-3</v>
      </c>
      <c r="NO35" s="50">
        <v>0</v>
      </c>
      <c r="NP35" s="50">
        <v>0</v>
      </c>
      <c r="NQ35" s="50">
        <v>0</v>
      </c>
      <c r="NR35" s="50">
        <v>0</v>
      </c>
      <c r="NS35" s="50">
        <v>0</v>
      </c>
      <c r="NT35" s="50">
        <v>0</v>
      </c>
      <c r="NU35" s="50">
        <v>0</v>
      </c>
      <c r="NV35" s="50">
        <v>0</v>
      </c>
      <c r="NW35" s="50">
        <v>0</v>
      </c>
      <c r="NX35" s="50">
        <f t="shared" si="67"/>
        <v>1.435432E-2</v>
      </c>
      <c r="NY35" s="50">
        <f t="shared" si="40"/>
        <v>0</v>
      </c>
      <c r="NZ35" s="50">
        <f t="shared" si="41"/>
        <v>1.435432E-2</v>
      </c>
      <c r="OA35" s="50">
        <f t="shared" si="8"/>
        <v>1.8404E-2</v>
      </c>
      <c r="OB35" s="50">
        <v>0</v>
      </c>
      <c r="OC35" s="50">
        <v>1.8404E-2</v>
      </c>
      <c r="OD35" s="50">
        <v>0</v>
      </c>
      <c r="OE35" s="50">
        <v>0</v>
      </c>
      <c r="OF35" s="50">
        <v>0</v>
      </c>
      <c r="OG35" s="50"/>
      <c r="OH35" s="50">
        <v>0</v>
      </c>
      <c r="OI35" s="50">
        <v>0</v>
      </c>
      <c r="OJ35" s="50">
        <v>0</v>
      </c>
      <c r="OK35" s="50"/>
      <c r="OL35" s="50"/>
      <c r="OM35" s="50"/>
      <c r="ON35" s="50"/>
      <c r="OO35" s="50"/>
      <c r="OP35" s="50"/>
      <c r="OQ35" s="50"/>
      <c r="OR35" s="50"/>
      <c r="OS35" s="50"/>
      <c r="OT35" s="50"/>
      <c r="OU35" s="50"/>
      <c r="OV35" s="50"/>
      <c r="OW35" s="50"/>
      <c r="OX35" s="50"/>
      <c r="OY35" s="50"/>
      <c r="OZ35" s="50"/>
      <c r="PA35" s="50"/>
      <c r="PB35" s="50"/>
      <c r="PC35" s="50"/>
      <c r="PD35" s="50"/>
      <c r="PE35" s="50"/>
      <c r="PF35" s="50"/>
      <c r="PG35" s="50"/>
      <c r="PH35" s="50"/>
      <c r="PI35" s="50"/>
      <c r="PJ35" s="50"/>
      <c r="PK35" s="50"/>
      <c r="PL35" s="50"/>
      <c r="PM35" s="50"/>
      <c r="PN35" s="50">
        <f t="shared" si="88"/>
        <v>0</v>
      </c>
      <c r="PO35" s="50">
        <f t="shared" si="42"/>
        <v>0</v>
      </c>
      <c r="PP35" s="50">
        <f t="shared" si="43"/>
        <v>0</v>
      </c>
      <c r="PQ35" s="50">
        <f t="shared" si="9"/>
        <v>3.0404E-2</v>
      </c>
      <c r="PR35" s="50"/>
      <c r="PS35" s="50">
        <v>3.0404E-2</v>
      </c>
      <c r="PT35" s="50"/>
      <c r="PU35" s="50"/>
      <c r="PV35" s="50"/>
      <c r="PW35" s="50"/>
      <c r="PX35" s="50"/>
      <c r="PY35" s="50"/>
      <c r="PZ35" s="50"/>
      <c r="QA35" s="50"/>
      <c r="QB35" s="50"/>
      <c r="QC35" s="50"/>
      <c r="QD35" s="50"/>
      <c r="QE35" s="50"/>
      <c r="QF35" s="50"/>
      <c r="QG35" s="50"/>
      <c r="QH35" s="50"/>
      <c r="QI35" s="50">
        <v>6.3615999999999998E-4</v>
      </c>
      <c r="QJ35" s="50"/>
      <c r="QK35" s="50">
        <v>6.3615999999999998E-4</v>
      </c>
      <c r="QL35" s="50">
        <v>2.4946399999999998E-3</v>
      </c>
      <c r="QM35" s="50"/>
      <c r="QN35" s="50">
        <v>2.4946399999999998E-3</v>
      </c>
      <c r="QO35" s="50">
        <v>3.2376769999999999E-2</v>
      </c>
      <c r="QP35" s="50"/>
      <c r="QQ35" s="50">
        <v>3.2376769999999999E-2</v>
      </c>
      <c r="QR35" s="50">
        <v>1.8127069999999999E-2</v>
      </c>
      <c r="QS35" s="50"/>
      <c r="QT35" s="50">
        <v>1.8127069999999999E-2</v>
      </c>
      <c r="QU35" s="50">
        <v>0</v>
      </c>
      <c r="QV35" s="50"/>
      <c r="QW35" s="50"/>
      <c r="QX35" s="50">
        <v>6.4999999999999997E-4</v>
      </c>
      <c r="QY35" s="50"/>
      <c r="QZ35" s="50">
        <v>6.4999999999999997E-4</v>
      </c>
      <c r="RA35" s="50">
        <v>2.7592199999999997E-3</v>
      </c>
      <c r="RB35" s="50"/>
      <c r="RC35" s="50">
        <v>2.7592199999999997E-3</v>
      </c>
      <c r="RD35" s="50">
        <f t="shared" si="52"/>
        <v>5.7043859999999995E-2</v>
      </c>
      <c r="RE35" s="50">
        <f t="shared" si="53"/>
        <v>0</v>
      </c>
      <c r="RF35" s="50">
        <f t="shared" si="54"/>
        <v>5.7043859999999995E-2</v>
      </c>
      <c r="RG35" s="50">
        <f t="shared" si="11"/>
        <v>5.8602000000000001E-2</v>
      </c>
      <c r="RH35" s="50"/>
      <c r="RI35" s="50">
        <v>5.8602000000000001E-2</v>
      </c>
      <c r="RJ35" s="50">
        <v>4.7880000000000004E-4</v>
      </c>
      <c r="RK35" s="50"/>
      <c r="RL35" s="50">
        <v>4.7880000000000004E-4</v>
      </c>
      <c r="RM35" s="50">
        <v>1.3406400000000001E-3</v>
      </c>
      <c r="RN35" s="50"/>
      <c r="RO35" s="50">
        <v>1.3406400000000001E-3</v>
      </c>
      <c r="RP35" s="50"/>
      <c r="RQ35" s="50"/>
      <c r="RR35" s="50"/>
      <c r="RS35" s="50">
        <v>8.6184E-4</v>
      </c>
      <c r="RT35" s="50"/>
      <c r="RU35" s="50">
        <v>8.6184E-4</v>
      </c>
      <c r="RV35" s="50">
        <v>2.3123200000000001E-3</v>
      </c>
      <c r="RW35" s="50"/>
      <c r="RX35" s="50">
        <v>2.3123200000000001E-3</v>
      </c>
      <c r="RY35" s="50">
        <v>7.0222899999999996E-3</v>
      </c>
      <c r="RZ35" s="50"/>
      <c r="SA35" s="50">
        <v>7.0222899999999996E-3</v>
      </c>
      <c r="SB35" s="50">
        <v>1.9895650000000001E-2</v>
      </c>
      <c r="SC35" s="50"/>
      <c r="SD35" s="50">
        <v>1.9895650000000001E-2</v>
      </c>
      <c r="SE35" s="50">
        <v>2.219341E-2</v>
      </c>
      <c r="SF35" s="50"/>
      <c r="SG35" s="50">
        <v>2.219341E-2</v>
      </c>
      <c r="SH35" s="50">
        <v>1.9910150000000001E-2</v>
      </c>
      <c r="SI35" s="50"/>
      <c r="SJ35" s="50">
        <v>1.9910150000000001E-2</v>
      </c>
      <c r="SK35" s="50">
        <v>2.4379200000000001E-3</v>
      </c>
      <c r="SL35" s="50"/>
      <c r="SM35" s="50">
        <v>2.4379200000000001E-3</v>
      </c>
      <c r="SN35" s="50">
        <v>5.9769800001621661E-3</v>
      </c>
      <c r="SO35" s="50"/>
      <c r="SP35" s="50">
        <v>5.9769800001621661E-3</v>
      </c>
      <c r="SQ35" s="50">
        <v>5.0815999999999991E-4</v>
      </c>
      <c r="SR35" s="50"/>
      <c r="SS35" s="50">
        <v>5.0815999999999991E-4</v>
      </c>
      <c r="ST35" s="50">
        <f t="shared" si="55"/>
        <v>8.2938160000162159E-2</v>
      </c>
      <c r="SU35" s="50">
        <f t="shared" si="65"/>
        <v>0</v>
      </c>
      <c r="SV35" s="50">
        <f t="shared" si="56"/>
        <v>8.2938160000162159E-2</v>
      </c>
      <c r="SW35" s="50">
        <f t="shared" si="44"/>
        <v>8.2937999999999998E-2</v>
      </c>
      <c r="SX35" s="50"/>
      <c r="SY35" s="50">
        <v>8.2937999999999998E-2</v>
      </c>
      <c r="SZ35" s="50">
        <v>1.7491199999999998E-3</v>
      </c>
      <c r="TA35" s="50"/>
      <c r="TB35" s="50">
        <v>1.7491199999999998E-3</v>
      </c>
      <c r="TC35" s="50">
        <v>1.1488E-3</v>
      </c>
      <c r="TD35" s="50"/>
      <c r="TE35" s="50">
        <v>1.1488E-3</v>
      </c>
      <c r="TF35" s="50">
        <v>1.520402E-2</v>
      </c>
      <c r="TG35" s="50"/>
      <c r="TH35" s="50">
        <v>1.520402E-2</v>
      </c>
      <c r="TI35" s="50">
        <v>-6.5229400000001063E-3</v>
      </c>
      <c r="TJ35" s="50"/>
      <c r="TK35" s="50">
        <v>-6.5229400000001063E-3</v>
      </c>
      <c r="TL35" s="50">
        <v>2.6804099997739562E-3</v>
      </c>
      <c r="TM35" s="50"/>
      <c r="TN35" s="50">
        <v>2.6804099997739562E-3</v>
      </c>
      <c r="TO35" s="50">
        <v>8.0415999999999994E-4</v>
      </c>
      <c r="TP35" s="50"/>
      <c r="TQ35" s="50">
        <v>8.0415999999999994E-4</v>
      </c>
      <c r="TR35" s="50">
        <v>1.4314039999999958E-2</v>
      </c>
      <c r="TS35" s="50"/>
      <c r="TT35" s="50">
        <v>1.4314039999999958E-2</v>
      </c>
      <c r="TU35" s="50">
        <v>3.5816710000000002E-2</v>
      </c>
      <c r="TV35" s="50"/>
      <c r="TW35" s="50">
        <v>3.5816710000000002E-2</v>
      </c>
      <c r="TX35" s="50">
        <v>2.3810490000000007E-2</v>
      </c>
      <c r="TY35" s="50"/>
      <c r="TZ35" s="50">
        <v>2.3810490000000007E-2</v>
      </c>
      <c r="UA35" s="50">
        <v>6.0044000000052155E-4</v>
      </c>
      <c r="UB35" s="50"/>
      <c r="UC35" s="50">
        <v>6.0044000000052155E-4</v>
      </c>
      <c r="UD35" s="50">
        <v>0</v>
      </c>
      <c r="UE35" s="50"/>
      <c r="UF35" s="50"/>
      <c r="UG35" s="50">
        <v>2.1278E-3</v>
      </c>
      <c r="UH35" s="50"/>
      <c r="UI35" s="50">
        <v>2.1278E-3</v>
      </c>
      <c r="UJ35" s="50">
        <f t="shared" si="45"/>
        <v>9.1733049999774344E-2</v>
      </c>
      <c r="UK35" s="50">
        <f t="shared" si="15"/>
        <v>0</v>
      </c>
      <c r="UL35" s="50">
        <f t="shared" si="16"/>
        <v>9.1733049999774344E-2</v>
      </c>
      <c r="UM35" s="50">
        <v>3.0600000000000001E-4</v>
      </c>
      <c r="UN35" s="50"/>
      <c r="UO35" s="50">
        <v>3.0600000000000001E-4</v>
      </c>
      <c r="UP35" s="50">
        <v>2.0733269999999998E-2</v>
      </c>
      <c r="UQ35" s="50"/>
      <c r="UR35" s="50">
        <v>2.0733269999999998E-2</v>
      </c>
      <c r="US35" s="50">
        <v>-3.1923699999999982E-3</v>
      </c>
      <c r="UT35" s="50"/>
      <c r="UU35" s="50">
        <v>-3.1923699999999982E-3</v>
      </c>
      <c r="UV35" s="50">
        <v>1.6006720000000002E-2</v>
      </c>
      <c r="UW35" s="50"/>
      <c r="UX35" s="50">
        <v>1.6006720000000002E-2</v>
      </c>
      <c r="UY35" s="50"/>
      <c r="UZ35" s="50"/>
      <c r="VA35" s="50"/>
      <c r="VB35" s="50"/>
      <c r="VC35" s="50"/>
      <c r="VD35" s="50"/>
      <c r="VE35" s="50"/>
      <c r="VF35" s="50"/>
      <c r="VG35" s="50"/>
      <c r="VH35" s="50"/>
      <c r="VI35" s="50"/>
      <c r="VJ35" s="50"/>
      <c r="VK35" s="50"/>
      <c r="VL35" s="50"/>
      <c r="VM35" s="50"/>
      <c r="VN35" s="50"/>
      <c r="VO35" s="50"/>
      <c r="VP35" s="50"/>
      <c r="VQ35" s="50"/>
      <c r="VR35" s="50"/>
      <c r="VS35" s="50"/>
      <c r="VT35" s="50"/>
      <c r="VU35" s="50"/>
      <c r="VV35" s="50"/>
      <c r="VW35" s="276">
        <f t="shared" si="57"/>
        <v>1.1579000000000001E-2</v>
      </c>
      <c r="VX35" s="292">
        <f t="shared" si="58"/>
        <v>0</v>
      </c>
      <c r="VY35" s="292">
        <f t="shared" si="59"/>
        <v>1.1579000000000001E-2</v>
      </c>
      <c r="VZ35" s="276">
        <f t="shared" si="60"/>
        <v>3.3854000000000002E-2</v>
      </c>
      <c r="WA35" s="292">
        <f t="shared" si="61"/>
        <v>0</v>
      </c>
      <c r="WB35" s="292">
        <f>ROUND(SUM(UO35+UR35+UU35+UX35),6)</f>
        <v>3.3854000000000002E-2</v>
      </c>
      <c r="WC35" s="277">
        <f t="shared" si="63"/>
        <v>2.2275000000000003E-2</v>
      </c>
      <c r="WD35" s="277">
        <f t="shared" si="87"/>
        <v>192.37412557215652</v>
      </c>
    </row>
    <row r="36" spans="1:602" s="12" customFormat="1" ht="20.5">
      <c r="A36" s="46" t="s">
        <v>108</v>
      </c>
      <c r="B36" s="12" t="s">
        <v>109</v>
      </c>
      <c r="C36" s="46" t="s">
        <v>110</v>
      </c>
      <c r="D36" s="50" t="s">
        <v>46</v>
      </c>
      <c r="E36" s="50" t="s">
        <v>46</v>
      </c>
      <c r="F36" s="50" t="s">
        <v>46</v>
      </c>
      <c r="G36" s="50">
        <v>0.22946717718999998</v>
      </c>
      <c r="H36" s="42">
        <v>0</v>
      </c>
      <c r="I36" s="42">
        <v>3.0933233199999998E-3</v>
      </c>
      <c r="J36" s="42">
        <v>8.6439462500000012E-3</v>
      </c>
      <c r="K36" s="42">
        <v>0</v>
      </c>
      <c r="L36" s="42">
        <v>2.8973938679999998E-2</v>
      </c>
      <c r="M36" s="42">
        <v>0.20328000409999999</v>
      </c>
      <c r="N36" s="42">
        <v>0</v>
      </c>
      <c r="O36" s="42">
        <v>2.7324830249999998E-2</v>
      </c>
      <c r="P36" s="42">
        <v>2.3625363539999999E-2</v>
      </c>
      <c r="Q36" s="42">
        <v>4.7888173659999998E-2</v>
      </c>
      <c r="R36" s="42">
        <v>7.8613667540000001E-2</v>
      </c>
      <c r="S36" s="42">
        <v>0.12547452774999998</v>
      </c>
      <c r="T36" s="50" t="s">
        <v>46</v>
      </c>
      <c r="U36" s="50" t="s">
        <v>46</v>
      </c>
      <c r="V36" s="50" t="s">
        <v>46</v>
      </c>
      <c r="W36" s="50">
        <v>0.54691787467652586</v>
      </c>
      <c r="X36" s="42">
        <v>0.32703898953999999</v>
      </c>
      <c r="Y36" s="42">
        <v>-0.11433796621</v>
      </c>
      <c r="Z36" s="42">
        <v>4.4711484289999992E-2</v>
      </c>
      <c r="AA36" s="42">
        <v>0.31124906802000002</v>
      </c>
      <c r="AB36" s="42">
        <v>0.24903106697999997</v>
      </c>
      <c r="AC36" s="42">
        <v>0.26467484534000002</v>
      </c>
      <c r="AD36" s="42">
        <v>0.34048305075000002</v>
      </c>
      <c r="AE36" s="42">
        <v>0.13620682295</v>
      </c>
      <c r="AF36" s="42">
        <v>0.27640731982000005</v>
      </c>
      <c r="AG36" s="42">
        <v>0.30699539274000004</v>
      </c>
      <c r="AH36" s="42">
        <v>0.25052373066000005</v>
      </c>
      <c r="AI36" s="42">
        <v>0.48671687980000006</v>
      </c>
      <c r="AJ36" s="50">
        <v>3.7407228757946699E-2</v>
      </c>
      <c r="AK36" s="50">
        <v>2.8422934559279698</v>
      </c>
      <c r="AL36" s="50">
        <v>0</v>
      </c>
      <c r="AM36" s="50">
        <v>2.8797003147586482</v>
      </c>
      <c r="AN36" s="50">
        <v>0.26172985640377688</v>
      </c>
      <c r="AO36" s="50">
        <v>6.3377271614845687E-2</v>
      </c>
      <c r="AP36" s="50">
        <v>0.24601634310561693</v>
      </c>
      <c r="AQ36" s="50">
        <v>0.2554784406463253</v>
      </c>
      <c r="AR36" s="50">
        <v>0.50320144734520578</v>
      </c>
      <c r="AS36" s="50">
        <v>0.56295176179987605</v>
      </c>
      <c r="AT36" s="50">
        <v>0.40667062225030026</v>
      </c>
      <c r="AU36" s="50">
        <v>0.74935918122264533</v>
      </c>
      <c r="AV36" s="50">
        <v>0.5533272576707019</v>
      </c>
      <c r="AW36" s="50">
        <v>0.44816957501664756</v>
      </c>
      <c r="AX36" s="50">
        <v>0.36401197204341468</v>
      </c>
      <c r="AY36" s="50">
        <v>0.73197709460959248</v>
      </c>
      <c r="AZ36" s="50">
        <v>1.1890497066038328</v>
      </c>
      <c r="BA36" s="50">
        <v>3.9572211171251155</v>
      </c>
      <c r="BB36" s="50">
        <f>SUM(AN36:AY36)</f>
        <v>5.1462708237289485</v>
      </c>
      <c r="BC36" s="50">
        <f t="shared" si="21"/>
        <v>1.2101315790483826</v>
      </c>
      <c r="BD36" s="50">
        <v>3.990995620000001</v>
      </c>
      <c r="BE36" s="50">
        <v>5.2011271990483836</v>
      </c>
      <c r="BF36" s="44"/>
      <c r="BG36" s="50">
        <v>0.47914253000000001</v>
      </c>
      <c r="BH36" s="50">
        <f>BF36+BG36</f>
        <v>0.47914253000000001</v>
      </c>
      <c r="BI36" s="50"/>
      <c r="BJ36" s="50">
        <v>0.28559511999999998</v>
      </c>
      <c r="BK36" s="50">
        <f>BI36+BJ36</f>
        <v>0.28559511999999998</v>
      </c>
      <c r="BL36" s="50">
        <v>3.3364499999999999E-3</v>
      </c>
      <c r="BM36" s="50">
        <v>0.47680175000000002</v>
      </c>
      <c r="BN36" s="50">
        <f>BL36+BM36</f>
        <v>0.48013820000000001</v>
      </c>
      <c r="BO36" s="50">
        <v>3.7862899999999999E-3</v>
      </c>
      <c r="BP36" s="50">
        <v>0.53005526999999997</v>
      </c>
      <c r="BQ36" s="50">
        <f>BO36+BP36</f>
        <v>0.53384155999999994</v>
      </c>
      <c r="BR36" s="50">
        <v>-1.5619900000000001E-3</v>
      </c>
      <c r="BS36" s="50">
        <v>0.18929007</v>
      </c>
      <c r="BT36" s="50">
        <f>BR36+BS36</f>
        <v>0.18772807999999999</v>
      </c>
      <c r="BU36" s="50">
        <v>6.4400899999999999E-3</v>
      </c>
      <c r="BV36" s="50">
        <v>0.61528565000000002</v>
      </c>
      <c r="BW36" s="50">
        <f>BU36+BV36</f>
        <v>0.62172574000000003</v>
      </c>
      <c r="BX36" s="50">
        <v>-4.2157899999999988E-3</v>
      </c>
      <c r="BY36" s="50">
        <v>0.13708016000000001</v>
      </c>
      <c r="BZ36" s="50">
        <f>BX36+BY36</f>
        <v>0.13286437000000001</v>
      </c>
      <c r="CA36" s="50">
        <v>1.1121500000000001E-3</v>
      </c>
      <c r="CB36" s="50">
        <v>0.13208907</v>
      </c>
      <c r="CC36" s="50">
        <f>CA36+CB36</f>
        <v>0.13320122000000001</v>
      </c>
      <c r="CD36" s="50">
        <v>0</v>
      </c>
      <c r="CE36" s="50">
        <v>0.33820396999999996</v>
      </c>
      <c r="CF36" s="50">
        <f>CD36+CE36</f>
        <v>0.33820396999999996</v>
      </c>
      <c r="CG36" s="50">
        <v>0.340694</v>
      </c>
      <c r="CH36" s="50">
        <v>0.42894359999999998</v>
      </c>
      <c r="CI36" s="50">
        <f>CG36+CH36</f>
        <v>0.76963760000000003</v>
      </c>
      <c r="CJ36" s="50">
        <v>7.9739199999999996E-2</v>
      </c>
      <c r="CK36" s="50">
        <v>0.48003980000000007</v>
      </c>
      <c r="CL36" s="50">
        <f>CJ36+CK36</f>
        <v>0.55977900000000003</v>
      </c>
      <c r="CM36" s="44">
        <v>0.22272329000000002</v>
      </c>
      <c r="CN36" s="50">
        <v>0.40316535999999997</v>
      </c>
      <c r="CO36" s="50">
        <f>CM36+CN36</f>
        <v>0.62588865000000005</v>
      </c>
      <c r="CP36" s="50">
        <f t="shared" si="24"/>
        <v>0.65205369000000002</v>
      </c>
      <c r="CQ36" s="50">
        <f t="shared" si="25"/>
        <v>4.4956923500000006</v>
      </c>
      <c r="CR36" s="50">
        <f t="shared" si="26"/>
        <v>5.1477460400000004</v>
      </c>
      <c r="CS36" s="50">
        <f>CU36-CT36</f>
        <v>0.65752399999999955</v>
      </c>
      <c r="CT36" s="50">
        <v>4.495692</v>
      </c>
      <c r="CU36" s="50">
        <v>5.1532159999999996</v>
      </c>
      <c r="CV36" s="44"/>
      <c r="CW36" s="50">
        <v>0.24473787</v>
      </c>
      <c r="CX36" s="50">
        <f>CV36+CW36</f>
        <v>0.24473787</v>
      </c>
      <c r="CY36" s="42">
        <v>-6.3E-7</v>
      </c>
      <c r="CZ36" s="42">
        <v>0.26307320999999995</v>
      </c>
      <c r="DA36" s="50">
        <v>0.26307257999999994</v>
      </c>
      <c r="DB36" s="42">
        <v>2.00187E-2</v>
      </c>
      <c r="DC36" s="42">
        <v>0.40333438999999999</v>
      </c>
      <c r="DD36" s="50">
        <v>0.42335308999999999</v>
      </c>
      <c r="DE36" s="42">
        <v>6.6728999999999998E-3</v>
      </c>
      <c r="DF36" s="42">
        <v>9.5862550000000005E-2</v>
      </c>
      <c r="DG36" s="50">
        <v>0.10253545</v>
      </c>
      <c r="DH36" s="42">
        <v>5.5687599999999999E-3</v>
      </c>
      <c r="DI36" s="42">
        <v>0.25583157000000001</v>
      </c>
      <c r="DJ36" s="50">
        <v>0.26140033000000001</v>
      </c>
      <c r="DK36" s="42">
        <v>5.5527399999999996E-3</v>
      </c>
      <c r="DL36" s="42">
        <v>0.11475276999999999</v>
      </c>
      <c r="DM36" s="50">
        <v>0.12030550999999999</v>
      </c>
      <c r="DN36" s="42">
        <v>5.5607499999999997E-3</v>
      </c>
      <c r="DO36" s="42">
        <v>0.20272521999999998</v>
      </c>
      <c r="DP36" s="50">
        <v>0.20828596999999999</v>
      </c>
      <c r="DQ36" s="42">
        <v>8.5607500000000007E-3</v>
      </c>
      <c r="DR36" s="42">
        <v>0.101507</v>
      </c>
      <c r="DS36" s="50">
        <v>0.11006775000000001</v>
      </c>
      <c r="DT36" s="42">
        <v>5.5607499999999997E-3</v>
      </c>
      <c r="DU36" s="42">
        <v>0.76098208000000001</v>
      </c>
      <c r="DV36" s="50">
        <v>0.76654283000000001</v>
      </c>
      <c r="DW36" s="42">
        <v>8.8972000000000009E-3</v>
      </c>
      <c r="DX36" s="42">
        <v>0.39307438</v>
      </c>
      <c r="DY36" s="50">
        <v>0.40197158</v>
      </c>
      <c r="DZ36" s="42">
        <v>2.2423259999999997E-2</v>
      </c>
      <c r="EA36" s="42">
        <v>0.15217470999999999</v>
      </c>
      <c r="EB36" s="50">
        <v>0.17459796999999999</v>
      </c>
      <c r="EC36" s="42">
        <v>6.8010500000000012E-3</v>
      </c>
      <c r="ED36" s="42">
        <v>0.22755403999999999</v>
      </c>
      <c r="EE36" s="50">
        <v>0.23435508999999999</v>
      </c>
      <c r="EF36" s="50">
        <f t="shared" si="27"/>
        <v>9.5616229999999997E-2</v>
      </c>
      <c r="EG36" s="50">
        <f t="shared" si="28"/>
        <v>3.2156097899999998</v>
      </c>
      <c r="EH36" s="50">
        <f t="shared" si="29"/>
        <v>3.3112260200000003</v>
      </c>
      <c r="EI36" s="50">
        <f>EK36-EJ36</f>
        <v>9.5617210000000341E-2</v>
      </c>
      <c r="EJ36" s="50">
        <v>3.2156097899999998</v>
      </c>
      <c r="EK36" s="50">
        <v>3.3112270000000001</v>
      </c>
      <c r="EL36" s="50">
        <v>0</v>
      </c>
      <c r="EM36" s="50">
        <v>0.50444148</v>
      </c>
      <c r="EN36" s="50">
        <v>0.50444148</v>
      </c>
      <c r="EO36" s="50">
        <v>0</v>
      </c>
      <c r="EP36" s="50">
        <v>7.5242429999999999E-2</v>
      </c>
      <c r="EQ36" s="50">
        <v>7.5242429999999999E-2</v>
      </c>
      <c r="ER36" s="50">
        <v>4.1551199999999996E-2</v>
      </c>
      <c r="ES36" s="50">
        <v>8.3829709999999988E-2</v>
      </c>
      <c r="ET36" s="50">
        <v>0.12538090999999998</v>
      </c>
      <c r="EU36" s="50">
        <v>1.385049E-2</v>
      </c>
      <c r="EV36" s="50">
        <v>6.7015699999999997E-2</v>
      </c>
      <c r="EW36" s="50">
        <v>8.0866190000000004E-2</v>
      </c>
      <c r="EX36" s="50">
        <v>1.610031E-2</v>
      </c>
      <c r="EY36" s="50">
        <v>9.4427199999999999E-3</v>
      </c>
      <c r="EZ36" s="50">
        <v>2.5543030000000001E-2</v>
      </c>
      <c r="FA36" s="50">
        <v>2.5100400000000002E-2</v>
      </c>
      <c r="FB36" s="50">
        <v>1.7327180000000001E-2</v>
      </c>
      <c r="FC36" s="50">
        <v>4.2427580000000006E-2</v>
      </c>
      <c r="FD36" s="50">
        <v>1.3850399999999999E-2</v>
      </c>
      <c r="FE36" s="50">
        <v>0.16125075</v>
      </c>
      <c r="FF36" s="50">
        <v>0.17510114999999998</v>
      </c>
      <c r="FG36" s="50">
        <v>1.6100400000000001E-2</v>
      </c>
      <c r="FH36" s="50">
        <v>1.5747529999999999E-2</v>
      </c>
      <c r="FI36" s="50">
        <v>3.1847929999999997E-2</v>
      </c>
      <c r="FJ36" s="50">
        <v>1.3850399999999999E-2</v>
      </c>
      <c r="FK36" s="50">
        <v>3.6372249999999995E-2</v>
      </c>
      <c r="FL36" s="50">
        <v>5.0222649999999994E-2</v>
      </c>
      <c r="FM36" s="50">
        <v>1.7312999999999999E-2</v>
      </c>
      <c r="FN36" s="50">
        <v>6.3299100000000002E-3</v>
      </c>
      <c r="FO36" s="50">
        <v>2.364291E-2</v>
      </c>
      <c r="FP36" s="50">
        <v>1.6158800000000001E-2</v>
      </c>
      <c r="FQ36" s="50">
        <v>7.9701739999999993E-2</v>
      </c>
      <c r="FR36" s="50">
        <v>9.5860539999999994E-2</v>
      </c>
      <c r="FS36" s="50">
        <v>1.6239155499999998</v>
      </c>
      <c r="FT36" s="50">
        <v>-2.0094400000000002E-2</v>
      </c>
      <c r="FU36" s="50">
        <v>1.6038211499999997</v>
      </c>
      <c r="FV36" s="50">
        <f t="shared" si="30"/>
        <v>1.7977909499999998</v>
      </c>
      <c r="FW36" s="50">
        <f t="shared" si="31"/>
        <v>1.0366069999999998</v>
      </c>
      <c r="FX36" s="50">
        <f t="shared" si="32"/>
        <v>2.8343979499999996</v>
      </c>
      <c r="FY36" s="50">
        <f>GA36-FZ36</f>
        <v>1.7977910000000001</v>
      </c>
      <c r="FZ36" s="50">
        <v>1.0366070000000001</v>
      </c>
      <c r="GA36" s="50">
        <v>2.8343980000000002</v>
      </c>
      <c r="GB36" s="50">
        <v>0</v>
      </c>
      <c r="GC36" s="50">
        <v>8.0917000000000003E-3</v>
      </c>
      <c r="GD36" s="50">
        <v>8.0917000000000003E-3</v>
      </c>
      <c r="GE36" s="50">
        <v>4.4299999999999998E-4</v>
      </c>
      <c r="GF36" s="50">
        <v>0.31542703999999999</v>
      </c>
      <c r="GG36" s="50">
        <v>0.31587004000000002</v>
      </c>
      <c r="GH36" s="50">
        <v>2.4124000000000001E-4</v>
      </c>
      <c r="GI36" s="50">
        <v>-1.9909720000000002E-2</v>
      </c>
      <c r="GJ36" s="50">
        <v>-1.9668480000000002E-2</v>
      </c>
      <c r="GK36" s="50">
        <v>5.171473E-2</v>
      </c>
      <c r="GL36" s="50">
        <v>0.14633411000000002</v>
      </c>
      <c r="GM36" s="50">
        <v>0.19804884</v>
      </c>
      <c r="GN36" s="50">
        <v>1.9154989999999997E-2</v>
      </c>
      <c r="GO36" s="50">
        <v>6.0039240000000008E-2</v>
      </c>
      <c r="GP36" s="50">
        <v>7.9194230000000004E-2</v>
      </c>
      <c r="GQ36" s="50">
        <v>1.5E-3</v>
      </c>
      <c r="GR36" s="50">
        <v>0.12763820000000001</v>
      </c>
      <c r="GS36" s="50">
        <v>0.12913820000000001</v>
      </c>
      <c r="GT36" s="50">
        <v>3.2198980000000002E-2</v>
      </c>
      <c r="GU36" s="50">
        <v>4.9799760000000005E-2</v>
      </c>
      <c r="GV36" s="50">
        <v>8.1998740000000014E-2</v>
      </c>
      <c r="GW36" s="50">
        <v>1.6959989999999998E-2</v>
      </c>
      <c r="GX36" s="50">
        <v>-3.4958699999999999E-3</v>
      </c>
      <c r="GY36" s="50">
        <v>1.3464119999999998E-2</v>
      </c>
      <c r="GZ36" s="50">
        <v>1.7210000000000001E-3</v>
      </c>
      <c r="HA36" s="50">
        <v>0.17131213000000001</v>
      </c>
      <c r="HB36" s="50">
        <v>0.17303313000000001</v>
      </c>
      <c r="HC36" s="50">
        <v>3.1035750000000001E-2</v>
      </c>
      <c r="HD36" s="50">
        <v>0.29465016999999999</v>
      </c>
      <c r="HE36" s="50">
        <v>0.32568591999999996</v>
      </c>
      <c r="HF36" s="50">
        <v>5.1712960000000002E-2</v>
      </c>
      <c r="HG36" s="50">
        <v>0.26169566</v>
      </c>
      <c r="HH36" s="50">
        <v>0.31340862000000003</v>
      </c>
      <c r="HI36" s="50">
        <v>-1.8672279999999999E-2</v>
      </c>
      <c r="HJ36" s="50">
        <v>0.32347951000000003</v>
      </c>
      <c r="HK36" s="50">
        <v>0.30480723000000004</v>
      </c>
      <c r="HL36" s="50">
        <f t="shared" si="33"/>
        <v>0.18801035999999999</v>
      </c>
      <c r="HM36" s="50">
        <f t="shared" si="34"/>
        <v>1.7350619300000001</v>
      </c>
      <c r="HN36" s="50">
        <f t="shared" si="35"/>
        <v>1.9230722900000001</v>
      </c>
      <c r="HO36" s="50">
        <f t="shared" si="3"/>
        <v>0.18801099999999993</v>
      </c>
      <c r="HP36" s="50">
        <v>1.7350620000000001</v>
      </c>
      <c r="HQ36" s="50">
        <v>1.923073</v>
      </c>
      <c r="HR36" s="50">
        <v>6.05376E-3</v>
      </c>
      <c r="HS36" s="50">
        <v>1.603187E-2</v>
      </c>
      <c r="HT36" s="50">
        <v>2.2085629999999998E-2</v>
      </c>
      <c r="HU36" s="50">
        <v>2.3134540000000002E-2</v>
      </c>
      <c r="HV36" s="50">
        <v>0.18687565000000003</v>
      </c>
      <c r="HW36" s="50">
        <v>0.21001019000000001</v>
      </c>
      <c r="HX36" s="50">
        <v>8.7556999999999999E-3</v>
      </c>
      <c r="HY36" s="50">
        <v>0.42490110000000003</v>
      </c>
      <c r="HZ36" s="50">
        <v>0.43365680000000001</v>
      </c>
      <c r="IA36" s="50">
        <v>6.1816339999999997E-2</v>
      </c>
      <c r="IB36" s="50">
        <v>0.25395723999999997</v>
      </c>
      <c r="IC36" s="50">
        <v>0.31577357999999994</v>
      </c>
      <c r="ID36" s="50">
        <v>2.4569839999999999E-2</v>
      </c>
      <c r="IE36" s="50">
        <v>0.28037098999999999</v>
      </c>
      <c r="IF36" s="50">
        <v>0.30494082999999994</v>
      </c>
      <c r="IG36" s="50">
        <v>2.8069839999999999E-2</v>
      </c>
      <c r="IH36" s="50">
        <v>0.23807802</v>
      </c>
      <c r="II36" s="50">
        <v>0.26614785999999996</v>
      </c>
      <c r="IJ36" s="50">
        <v>2.4569839999999999E-2</v>
      </c>
      <c r="IK36" s="50">
        <v>0.22217057000000001</v>
      </c>
      <c r="IL36" s="50">
        <v>0.24674040999999997</v>
      </c>
      <c r="IM36" s="50">
        <v>5.0069839999999997E-2</v>
      </c>
      <c r="IN36" s="50">
        <v>0.26583825</v>
      </c>
      <c r="IO36" s="50">
        <v>0.31590808999999997</v>
      </c>
      <c r="IP36" s="50">
        <v>0.19434783999999999</v>
      </c>
      <c r="IQ36" s="50">
        <v>0.38682396000000002</v>
      </c>
      <c r="IR36" s="50">
        <v>0.58117180000000002</v>
      </c>
      <c r="IS36" s="50">
        <v>0.39154</v>
      </c>
      <c r="IT36" s="50">
        <v>0.22008657000000001</v>
      </c>
      <c r="IU36" s="50">
        <v>0.61162656999999998</v>
      </c>
      <c r="IV36" s="50">
        <v>0.27911516999999997</v>
      </c>
      <c r="IW36" s="50">
        <v>0.27661072999999997</v>
      </c>
      <c r="IX36" s="50">
        <v>0.55572589999999999</v>
      </c>
      <c r="IY36" s="50">
        <v>0.29265491000000005</v>
      </c>
      <c r="IZ36" s="50">
        <v>0.7006812899999999</v>
      </c>
      <c r="JA36" s="50">
        <v>0.9933362</v>
      </c>
      <c r="JB36" s="50">
        <f t="shared" si="36"/>
        <v>1.3846976199999999</v>
      </c>
      <c r="JC36" s="50">
        <f t="shared" si="37"/>
        <v>3.4724262399999999</v>
      </c>
      <c r="JD36" s="50">
        <f t="shared" si="38"/>
        <v>4.8571238599999997</v>
      </c>
      <c r="JE36" s="50">
        <f t="shared" si="4"/>
        <v>1.3988859999999996</v>
      </c>
      <c r="JF36" s="50">
        <v>3.4274260000000001</v>
      </c>
      <c r="JG36" s="50">
        <v>4.8263119999999997</v>
      </c>
      <c r="JH36" s="50">
        <v>1.6800990000000002E-2</v>
      </c>
      <c r="JI36" s="50">
        <v>5.5863550000000005E-2</v>
      </c>
      <c r="JJ36" s="50">
        <v>7.2664540000000014E-2</v>
      </c>
      <c r="JK36" s="50">
        <v>3.8977110000000002E-2</v>
      </c>
      <c r="JL36" s="50">
        <v>0.55176042000000003</v>
      </c>
      <c r="JM36" s="50">
        <v>0.59073753000000007</v>
      </c>
      <c r="JN36" s="50">
        <v>1.1919900000000001E-2</v>
      </c>
      <c r="JO36" s="50">
        <v>0.70923317000000008</v>
      </c>
      <c r="JP36" s="50">
        <v>0.72115306999999995</v>
      </c>
      <c r="JQ36" s="50">
        <v>1.6666E-2</v>
      </c>
      <c r="JR36" s="50">
        <v>0.30093054999999996</v>
      </c>
      <c r="JS36" s="50">
        <v>0.31759654999999998</v>
      </c>
      <c r="JT36" s="50">
        <v>1.9200520000000002E-2</v>
      </c>
      <c r="JU36" s="50">
        <v>0.31299792000000004</v>
      </c>
      <c r="JV36" s="50">
        <v>0.33219844000000004</v>
      </c>
      <c r="JW36" s="50">
        <v>2.1049490000000001E-2</v>
      </c>
      <c r="JX36" s="50">
        <v>0.49968900999999999</v>
      </c>
      <c r="JY36" s="50">
        <v>0.52073849999999999</v>
      </c>
      <c r="JZ36" s="50">
        <v>9.0991639999999999E-2</v>
      </c>
      <c r="KA36" s="50">
        <v>0.64960879000000005</v>
      </c>
      <c r="KB36" s="50">
        <v>0.74060043000000009</v>
      </c>
      <c r="KC36" s="50">
        <v>1.2459E-2</v>
      </c>
      <c r="KD36" s="50">
        <v>8.7972820000000007E-2</v>
      </c>
      <c r="KE36" s="50">
        <v>0.10043182</v>
      </c>
      <c r="KF36" s="50">
        <v>0.23724503</v>
      </c>
      <c r="KG36" s="50">
        <v>0.54398226000000005</v>
      </c>
      <c r="KH36" s="50">
        <v>0.78122729000000002</v>
      </c>
      <c r="KI36" s="50">
        <v>1.6666E-2</v>
      </c>
      <c r="KJ36" s="50">
        <v>0.43507118000000006</v>
      </c>
      <c r="KK36" s="50">
        <v>0.45173718000000007</v>
      </c>
      <c r="KL36" s="50">
        <v>3.7179040000000003E-2</v>
      </c>
      <c r="KM36" s="50">
        <v>0.56333232999999994</v>
      </c>
      <c r="KN36" s="50">
        <v>0.60051136999999999</v>
      </c>
      <c r="KO36" s="50">
        <v>-2.1216870000000002E-2</v>
      </c>
      <c r="KP36" s="50">
        <v>1.0750968400000001</v>
      </c>
      <c r="KQ36" s="50">
        <v>1.0538799699999999</v>
      </c>
      <c r="KR36" s="50">
        <f t="shared" si="48"/>
        <v>0.49793785000000007</v>
      </c>
      <c r="KS36" s="50">
        <f t="shared" si="39"/>
        <v>5.785538840000001</v>
      </c>
      <c r="KT36" s="50">
        <f t="shared" si="49"/>
        <v>6.2834766899999996</v>
      </c>
      <c r="KU36" s="50">
        <f t="shared" si="5"/>
        <v>0.49449500000000057</v>
      </c>
      <c r="KV36" s="50">
        <v>5.7889819999999999</v>
      </c>
      <c r="KW36" s="50">
        <v>6.2834770000000004</v>
      </c>
      <c r="KX36" s="50">
        <v>1.6670000000000001E-2</v>
      </c>
      <c r="KY36" s="50">
        <v>0.29950395000000002</v>
      </c>
      <c r="KZ36" s="50">
        <v>0.31617424</v>
      </c>
      <c r="LA36" s="50">
        <v>1.862811E-2</v>
      </c>
      <c r="LB36" s="50">
        <v>0.13109272</v>
      </c>
      <c r="LC36" s="50">
        <v>0.14972083</v>
      </c>
      <c r="LD36" s="50">
        <v>1.5699599999999998E-2</v>
      </c>
      <c r="LE36" s="50">
        <v>0.30015179000000003</v>
      </c>
      <c r="LF36" s="50">
        <v>0.31585139000000001</v>
      </c>
      <c r="LG36" s="50">
        <v>1.6666E-2</v>
      </c>
      <c r="LH36" s="50">
        <v>0.56082694999999994</v>
      </c>
      <c r="LI36" s="174">
        <v>0.57749295</v>
      </c>
      <c r="LJ36" s="174">
        <v>1.6766E-2</v>
      </c>
      <c r="LK36" s="174">
        <v>0.39341528000000003</v>
      </c>
      <c r="LL36" s="174">
        <v>0.41018128000000004</v>
      </c>
      <c r="LM36" s="50">
        <v>0.123081</v>
      </c>
      <c r="LN36" s="50">
        <v>0.33436505</v>
      </c>
      <c r="LO36" s="50">
        <v>0.45744604999999999</v>
      </c>
      <c r="LP36" s="50">
        <v>9.6817619999999993E-2</v>
      </c>
      <c r="LQ36" s="44">
        <v>0.35010795999999994</v>
      </c>
      <c r="LR36" s="44">
        <v>0.44692557999999993</v>
      </c>
      <c r="LS36" s="50">
        <v>2.3666E-2</v>
      </c>
      <c r="LT36" s="50">
        <v>0.24045272999999998</v>
      </c>
      <c r="LU36" s="52">
        <v>0.26411872999999997</v>
      </c>
      <c r="LV36" s="44">
        <v>3.6667999999999999E-2</v>
      </c>
      <c r="LW36" s="50">
        <v>0.25483364000000003</v>
      </c>
      <c r="LX36" s="50">
        <v>0.29150164000000001</v>
      </c>
      <c r="LY36" s="50">
        <v>-3.0967900000000298E-3</v>
      </c>
      <c r="LZ36" s="50">
        <v>0.41194079000000006</v>
      </c>
      <c r="MA36" s="50">
        <v>0.40884399999999999</v>
      </c>
      <c r="MB36" s="50">
        <v>3.57267E-2</v>
      </c>
      <c r="MC36" s="50">
        <v>0.64520390999999988</v>
      </c>
      <c r="MD36" s="50">
        <v>0.68093060999999999</v>
      </c>
      <c r="ME36" s="50">
        <v>8.0003759999999993E-2</v>
      </c>
      <c r="MF36" s="50">
        <v>0.79504744000000005</v>
      </c>
      <c r="MG36" s="50">
        <v>0.87505119999999981</v>
      </c>
      <c r="MH36" s="50">
        <f t="shared" si="66"/>
        <v>0.47729599999999994</v>
      </c>
      <c r="MI36" s="50">
        <f t="shared" si="50"/>
        <v>4.71694221</v>
      </c>
      <c r="MJ36" s="50">
        <f t="shared" si="51"/>
        <v>5.1942384999999991</v>
      </c>
      <c r="MK36" s="50">
        <f t="shared" si="7"/>
        <v>5.25718</v>
      </c>
      <c r="ML36" s="50">
        <v>0</v>
      </c>
      <c r="MM36" s="50">
        <v>5.25718</v>
      </c>
      <c r="MN36" s="50">
        <v>0.11036496</v>
      </c>
      <c r="MO36" s="50">
        <v>0.22651664999999999</v>
      </c>
      <c r="MP36" s="50">
        <v>0.33688161</v>
      </c>
      <c r="MQ36" s="50">
        <v>6.1492390000000001E-2</v>
      </c>
      <c r="MR36" s="50">
        <v>0.32397489000000002</v>
      </c>
      <c r="MS36" s="50">
        <v>0.38546728000000002</v>
      </c>
      <c r="MT36" s="50">
        <v>0.19795517000000001</v>
      </c>
      <c r="MU36" s="50">
        <v>0.57906796999999999</v>
      </c>
      <c r="MV36" s="50">
        <v>0.77702314000000006</v>
      </c>
      <c r="MW36" s="50">
        <v>-6.2671839999999993E-2</v>
      </c>
      <c r="MX36" s="50">
        <v>0.34730687999999998</v>
      </c>
      <c r="MY36" s="50">
        <v>0.28463504000000006</v>
      </c>
      <c r="MZ36" s="50">
        <v>-3.0920329999999999E-2</v>
      </c>
      <c r="NA36" s="50">
        <v>0.58717607000000005</v>
      </c>
      <c r="NB36" s="50">
        <v>0.55625574</v>
      </c>
      <c r="NC36" s="50">
        <v>2.2232130000000003E-2</v>
      </c>
      <c r="ND36" s="50">
        <v>0.44343065000000004</v>
      </c>
      <c r="NE36" s="50">
        <v>0.46566278000000005</v>
      </c>
      <c r="NF36" s="50">
        <v>0.13203230999999999</v>
      </c>
      <c r="NG36" s="50">
        <v>0.40161866000000002</v>
      </c>
      <c r="NH36" s="50">
        <v>0.53365096999999995</v>
      </c>
      <c r="NI36" s="50">
        <v>7.3019899999999995E-3</v>
      </c>
      <c r="NJ36" s="50">
        <v>0.18871236000000002</v>
      </c>
      <c r="NK36" s="50">
        <v>0.19601435</v>
      </c>
      <c r="NL36" s="50">
        <v>2.1192879999999997E-2</v>
      </c>
      <c r="NM36" s="50">
        <v>0.51401280999999999</v>
      </c>
      <c r="NN36" s="50">
        <v>0.53520569000000007</v>
      </c>
      <c r="NO36" s="50">
        <v>7.3078919999999992E-2</v>
      </c>
      <c r="NP36" s="50">
        <v>0.56375195</v>
      </c>
      <c r="NQ36" s="50">
        <v>0.63683087000000005</v>
      </c>
      <c r="NR36" s="50">
        <v>-2.9941360000000004E-2</v>
      </c>
      <c r="NS36" s="50">
        <v>0.41710917000000003</v>
      </c>
      <c r="NT36" s="50">
        <v>0.38716781</v>
      </c>
      <c r="NU36" s="50">
        <v>3.4252650000000003E-2</v>
      </c>
      <c r="NV36" s="50">
        <v>1.0984266499999999</v>
      </c>
      <c r="NW36" s="50">
        <v>1.1326792999999999</v>
      </c>
      <c r="NX36" s="50">
        <f t="shared" si="67"/>
        <v>0.53636986999999992</v>
      </c>
      <c r="NY36" s="50">
        <f t="shared" si="40"/>
        <v>5.6911047099999994</v>
      </c>
      <c r="NZ36" s="50">
        <f t="shared" si="41"/>
        <v>6.2274745800000009</v>
      </c>
      <c r="OA36" s="50">
        <f t="shared" si="8"/>
        <v>0.53636999999999979</v>
      </c>
      <c r="OB36" s="50">
        <v>5.9250129999999999</v>
      </c>
      <c r="OC36" s="50">
        <v>6.4613829999999997</v>
      </c>
      <c r="OD36" s="50">
        <v>9.6475850000000002E-2</v>
      </c>
      <c r="OE36" s="50">
        <v>0.13790282000000001</v>
      </c>
      <c r="OF36" s="50">
        <v>0.23437867000000001</v>
      </c>
      <c r="OG36" s="50">
        <v>0.16500345000000005</v>
      </c>
      <c r="OH36" s="50">
        <v>0.69338632999999994</v>
      </c>
      <c r="OI36" s="50">
        <v>0.85838977999999999</v>
      </c>
      <c r="OJ36" s="50">
        <v>-0.10306574999999998</v>
      </c>
      <c r="OK36" s="50">
        <v>0.21161068</v>
      </c>
      <c r="OL36" s="50">
        <v>0.10854493000000001</v>
      </c>
      <c r="OM36" s="50">
        <v>8.1872479999999984E-2</v>
      </c>
      <c r="ON36" s="50">
        <v>0.10586551999999999</v>
      </c>
      <c r="OO36" s="50">
        <v>0.18773799999999999</v>
      </c>
      <c r="OP36" s="50">
        <v>6.4360790000000057E-2</v>
      </c>
      <c r="OQ36" s="50">
        <v>0.64648009000000006</v>
      </c>
      <c r="OR36" s="50">
        <v>0.71084088000000012</v>
      </c>
      <c r="OS36" s="50">
        <v>-1.2728999999999996E-4</v>
      </c>
      <c r="OT36" s="50">
        <v>9.1268039999999995E-2</v>
      </c>
      <c r="OU36" s="50">
        <v>9.1140749999999993E-2</v>
      </c>
      <c r="OV36" s="50">
        <v>0.17320796999999999</v>
      </c>
      <c r="OW36" s="50">
        <v>0.17957662999999999</v>
      </c>
      <c r="OX36" s="50">
        <v>0.35278460000000006</v>
      </c>
      <c r="OY36" s="94">
        <v>0.46070376000000002</v>
      </c>
      <c r="OZ36" s="94">
        <v>0.32047009999999998</v>
      </c>
      <c r="PA36" s="94">
        <v>0.78117386000000022</v>
      </c>
      <c r="PB36" s="50">
        <v>4.6280000000000004E-5</v>
      </c>
      <c r="PC36" s="50">
        <v>0.31054352000000002</v>
      </c>
      <c r="PD36" s="50">
        <v>0.31058980000000003</v>
      </c>
      <c r="PE36" s="50">
        <v>-1.2300000000000008E-5</v>
      </c>
      <c r="PF36" s="50">
        <v>0.63982544999999991</v>
      </c>
      <c r="PG36" s="50">
        <v>0.63981314999999994</v>
      </c>
      <c r="PH36" s="50">
        <v>0.38486902000000001</v>
      </c>
      <c r="PI36" s="50">
        <v>0.20694349999999997</v>
      </c>
      <c r="PJ36" s="50">
        <v>0.59181251999999995</v>
      </c>
      <c r="PK36" s="50">
        <v>-8.9156890000000003E-2</v>
      </c>
      <c r="PL36" s="50">
        <v>0.73956895</v>
      </c>
      <c r="PM36" s="50">
        <v>0.65041206000000007</v>
      </c>
      <c r="PN36" s="50">
        <f t="shared" si="88"/>
        <v>1.2341773700000003</v>
      </c>
      <c r="PO36" s="50">
        <f t="shared" si="42"/>
        <v>4.2834416300000004</v>
      </c>
      <c r="PP36" s="50">
        <f t="shared" si="43"/>
        <v>5.5176190000000007</v>
      </c>
      <c r="PQ36" s="50">
        <f t="shared" si="9"/>
        <v>1.234178</v>
      </c>
      <c r="PR36" s="50">
        <v>4.1082380000000001</v>
      </c>
      <c r="PS36" s="50">
        <v>5.3424160000000001</v>
      </c>
      <c r="PT36" s="50">
        <v>4.2791329999999995E-2</v>
      </c>
      <c r="PU36" s="50">
        <v>0.29619949000000001</v>
      </c>
      <c r="PV36" s="50">
        <v>0.33899082000000003</v>
      </c>
      <c r="PW36" s="50">
        <v>6.1850099999999986E-3</v>
      </c>
      <c r="PX36" s="50">
        <v>0.21953574000000001</v>
      </c>
      <c r="PY36" s="50">
        <v>0.22572075</v>
      </c>
      <c r="PZ36" s="50">
        <v>7.0605549999999989E-2</v>
      </c>
      <c r="QA36" s="50">
        <v>0.15709327000000001</v>
      </c>
      <c r="QB36" s="50">
        <v>0.22769882</v>
      </c>
      <c r="QC36" s="50">
        <v>2.5855780000000019E-2</v>
      </c>
      <c r="QD36" s="50">
        <v>8.7132050000000003E-2</v>
      </c>
      <c r="QE36" s="50">
        <v>0.11298783000000001</v>
      </c>
      <c r="QF36" s="50">
        <v>1.9098959999999998E-2</v>
      </c>
      <c r="QG36" s="50">
        <v>0.26964951999999998</v>
      </c>
      <c r="QH36" s="50">
        <v>0.28874847999999997</v>
      </c>
      <c r="QI36" s="50">
        <v>7.792500000000091E-4</v>
      </c>
      <c r="QJ36" s="50">
        <v>0.29103763999999999</v>
      </c>
      <c r="QK36" s="50">
        <v>0.29181689</v>
      </c>
      <c r="QL36" s="50">
        <v>0.14585207</v>
      </c>
      <c r="QM36" s="50">
        <v>0.14422074000000001</v>
      </c>
      <c r="QN36" s="50">
        <v>0.29007281000000001</v>
      </c>
      <c r="QO36" s="50">
        <v>-8.1793439999999995E-2</v>
      </c>
      <c r="QP36" s="50">
        <v>0.15456117999999999</v>
      </c>
      <c r="QQ36" s="50">
        <v>7.2767739999999997E-2</v>
      </c>
      <c r="QR36" s="50">
        <v>3.1445019999999997E-2</v>
      </c>
      <c r="QS36" s="50">
        <v>0.10853868999999999</v>
      </c>
      <c r="QT36" s="50">
        <v>0.13998370999999998</v>
      </c>
      <c r="QU36" s="50">
        <v>0.43933277999999998</v>
      </c>
      <c r="QV36" s="50">
        <v>0.16457458999999999</v>
      </c>
      <c r="QW36" s="50">
        <v>0.60390736999999994</v>
      </c>
      <c r="QX36" s="50">
        <v>8.800340999997136E-2</v>
      </c>
      <c r="QY36" s="50">
        <v>0.32035624000000007</v>
      </c>
      <c r="QZ36" s="50">
        <v>0.40835964999997143</v>
      </c>
      <c r="RA36" s="50">
        <v>7.9415300000000855E-3</v>
      </c>
      <c r="RB36" s="50">
        <v>0.32280746999999999</v>
      </c>
      <c r="RC36" s="50">
        <v>0.33074900000000007</v>
      </c>
      <c r="RD36" s="50">
        <f t="shared" si="52"/>
        <v>0.79609724999997145</v>
      </c>
      <c r="RE36" s="50">
        <f t="shared" si="53"/>
        <v>2.5357066199999996</v>
      </c>
      <c r="RF36" s="50">
        <f t="shared" si="54"/>
        <v>3.3318038699999715</v>
      </c>
      <c r="RG36" s="50">
        <f t="shared" si="11"/>
        <v>0.79609800000000019</v>
      </c>
      <c r="RH36" s="50">
        <v>2.5300099999999999</v>
      </c>
      <c r="RI36" s="50">
        <v>3.3261080000000001</v>
      </c>
      <c r="RJ36" s="50">
        <v>0.37417271000000002</v>
      </c>
      <c r="RK36" s="50">
        <v>0.32510249000000002</v>
      </c>
      <c r="RL36" s="50">
        <v>0.69927519999999999</v>
      </c>
      <c r="RM36" s="50">
        <v>-0.30784520000000004</v>
      </c>
      <c r="RN36" s="50">
        <v>0.54268874999999994</v>
      </c>
      <c r="RO36" s="50">
        <v>0.23484354999999993</v>
      </c>
      <c r="RP36" s="50">
        <v>0.11011888</v>
      </c>
      <c r="RQ36" s="50">
        <v>8.5114400000000055E-3</v>
      </c>
      <c r="RR36" s="50">
        <v>0.11863032000000001</v>
      </c>
      <c r="RS36" s="50">
        <v>3.5778339999999992E-2</v>
      </c>
      <c r="RT36" s="50">
        <v>0.20135485</v>
      </c>
      <c r="RU36" s="50">
        <v>0.23713318999999999</v>
      </c>
      <c r="RV36" s="50">
        <v>-3.0101930000000054E-2</v>
      </c>
      <c r="RW36" s="50">
        <v>0.45324394000000001</v>
      </c>
      <c r="RX36" s="50">
        <v>0.42314200999999996</v>
      </c>
      <c r="RY36" s="50">
        <v>6.6013769999999972E-2</v>
      </c>
      <c r="RZ36" s="50">
        <v>0.28481881000000003</v>
      </c>
      <c r="SA36" s="50">
        <v>0.35083258</v>
      </c>
      <c r="SB36" s="50">
        <v>1.7540879999999981E-2</v>
      </c>
      <c r="SC36" s="50">
        <v>0.26776929000000005</v>
      </c>
      <c r="SD36" s="50">
        <v>0.28531017000000003</v>
      </c>
      <c r="SE36" s="50">
        <v>0.74540775999999986</v>
      </c>
      <c r="SF36" s="50">
        <v>0.13308256999999998</v>
      </c>
      <c r="SG36" s="50">
        <v>0.87849032999999987</v>
      </c>
      <c r="SH36" s="50">
        <v>-0.67024475999999988</v>
      </c>
      <c r="SI36" s="50">
        <v>0.3728303</v>
      </c>
      <c r="SJ36" s="50">
        <v>-0.29741445999999994</v>
      </c>
      <c r="SK36" s="50">
        <v>1.6591700000000001E-2</v>
      </c>
      <c r="SL36" s="50">
        <v>0.53709370000000001</v>
      </c>
      <c r="SM36" s="50">
        <v>0.55368539999999999</v>
      </c>
      <c r="SN36" s="50">
        <v>1.8000000000000016E-2</v>
      </c>
      <c r="SO36" s="50">
        <v>0.16323383999999996</v>
      </c>
      <c r="SP36" s="50">
        <v>0.18123383999999998</v>
      </c>
      <c r="SQ36" s="50">
        <v>6.3967440000000098E-2</v>
      </c>
      <c r="SR36" s="50">
        <v>0.63438024000000004</v>
      </c>
      <c r="SS36" s="50">
        <v>0.69834768000000014</v>
      </c>
      <c r="ST36" s="50">
        <f t="shared" si="55"/>
        <v>0.43939958999999984</v>
      </c>
      <c r="SU36" s="50">
        <f t="shared" si="65"/>
        <v>3.9241102199999998</v>
      </c>
      <c r="SV36" s="50">
        <f t="shared" si="56"/>
        <v>4.3635098100000009</v>
      </c>
      <c r="SW36" s="50">
        <f t="shared" si="44"/>
        <v>0.64525600000000027</v>
      </c>
      <c r="SX36" s="50">
        <v>3.5778599999999998</v>
      </c>
      <c r="SY36" s="50">
        <v>4.2231160000000001</v>
      </c>
      <c r="SZ36" s="50">
        <v>1.6642400000000002E-2</v>
      </c>
      <c r="TA36" s="50">
        <v>0.16935044999999999</v>
      </c>
      <c r="TB36" s="50">
        <v>0.18599284999999999</v>
      </c>
      <c r="TC36" s="50">
        <v>0.42620869</v>
      </c>
      <c r="TD36" s="50">
        <v>0.23474587</v>
      </c>
      <c r="TE36" s="50">
        <v>0.66095455999999997</v>
      </c>
      <c r="TF36" s="50">
        <v>-0.32448151000000003</v>
      </c>
      <c r="TG36" s="50">
        <v>0.47330492999999996</v>
      </c>
      <c r="TH36" s="50">
        <v>0.14882341999999993</v>
      </c>
      <c r="TI36" s="50">
        <v>6.961930999999999E-2</v>
      </c>
      <c r="TJ36" s="50">
        <v>0.59582860999999998</v>
      </c>
      <c r="TK36" s="50">
        <v>0.66544791999999997</v>
      </c>
      <c r="TL36" s="50">
        <v>0.20642843</v>
      </c>
      <c r="TM36" s="50">
        <v>0.33766830999999997</v>
      </c>
      <c r="TN36" s="50">
        <v>0.54409673999999997</v>
      </c>
      <c r="TO36" s="50">
        <v>0.25992721999999996</v>
      </c>
      <c r="TP36" s="50">
        <v>0.47718536000000006</v>
      </c>
      <c r="TQ36" s="50">
        <v>0.73711258000000002</v>
      </c>
      <c r="TR36" s="50">
        <v>-0.37914947999999993</v>
      </c>
      <c r="TS36" s="50">
        <v>0.42500353000000002</v>
      </c>
      <c r="TT36" s="50">
        <v>4.5854050000000091E-2</v>
      </c>
      <c r="TU36" s="50">
        <v>1.3284600000000313E-3</v>
      </c>
      <c r="TV36" s="50">
        <v>0.32783739000000001</v>
      </c>
      <c r="TW36" s="50">
        <v>0.32916585000000004</v>
      </c>
      <c r="TX36" s="50">
        <v>1.2209289999999984E-2</v>
      </c>
      <c r="TY36" s="50">
        <v>0.41691287999999999</v>
      </c>
      <c r="TZ36" s="50">
        <v>0.42912216999999997</v>
      </c>
      <c r="UA36" s="50">
        <v>0.14638896000000001</v>
      </c>
      <c r="UB36" s="50">
        <v>0.69523144999999997</v>
      </c>
      <c r="UC36" s="50">
        <v>0.84162040999999999</v>
      </c>
      <c r="UD36" s="50">
        <v>4.138613999999996E-2</v>
      </c>
      <c r="UE36" s="50">
        <v>0.52066668000000005</v>
      </c>
      <c r="UF36" s="50">
        <v>0.56205282000000001</v>
      </c>
      <c r="UG36" s="50">
        <v>7.2661100000000145E-2</v>
      </c>
      <c r="UH36" s="50">
        <v>0.92570110999999988</v>
      </c>
      <c r="UI36" s="50">
        <v>0.99836221000000003</v>
      </c>
      <c r="UJ36" s="50">
        <f t="shared" si="45"/>
        <v>0.54916901000000007</v>
      </c>
      <c r="UK36" s="50">
        <f t="shared" si="15"/>
        <v>5.5994365699999999</v>
      </c>
      <c r="UL36" s="50">
        <f t="shared" si="16"/>
        <v>6.1486055799999999</v>
      </c>
      <c r="UM36" s="50">
        <v>1.5292400000000039E-2</v>
      </c>
      <c r="UN36" s="50">
        <v>0.26546343</v>
      </c>
      <c r="UO36" s="50">
        <v>0.28075583000000004</v>
      </c>
      <c r="UP36" s="50">
        <v>0.14620237000000014</v>
      </c>
      <c r="UQ36" s="50">
        <v>0.53673555999999989</v>
      </c>
      <c r="UR36" s="50">
        <v>0.68293793000000003</v>
      </c>
      <c r="US36" s="50">
        <v>0.14089249999999998</v>
      </c>
      <c r="UT36" s="50">
        <v>0.53267819999999999</v>
      </c>
      <c r="UU36" s="50">
        <v>0.67357069999999997</v>
      </c>
      <c r="UV36" s="50">
        <v>0.33669409000000006</v>
      </c>
      <c r="UW36" s="50">
        <v>0.35651471000000001</v>
      </c>
      <c r="UX36" s="50">
        <v>0.69320880000000007</v>
      </c>
      <c r="UY36" s="50"/>
      <c r="UZ36" s="50"/>
      <c r="VA36" s="50"/>
      <c r="VB36" s="50"/>
      <c r="VC36" s="50"/>
      <c r="VD36" s="50"/>
      <c r="VE36" s="50"/>
      <c r="VF36" s="50"/>
      <c r="VG36" s="50"/>
      <c r="VH36" s="50"/>
      <c r="VI36" s="50"/>
      <c r="VJ36" s="50"/>
      <c r="VK36" s="50"/>
      <c r="VL36" s="50"/>
      <c r="VM36" s="50"/>
      <c r="VN36" s="50"/>
      <c r="VO36" s="50"/>
      <c r="VP36" s="50"/>
      <c r="VQ36" s="50"/>
      <c r="VR36" s="50"/>
      <c r="VS36" s="50"/>
      <c r="VT36" s="50"/>
      <c r="VU36" s="50"/>
      <c r="VV36" s="50"/>
      <c r="VW36" s="276">
        <f t="shared" si="57"/>
        <v>0.18798899999999999</v>
      </c>
      <c r="VX36" s="292">
        <f t="shared" si="58"/>
        <v>1.47323</v>
      </c>
      <c r="VY36" s="292">
        <f t="shared" si="59"/>
        <v>1.661219</v>
      </c>
      <c r="VZ36" s="276">
        <f t="shared" si="60"/>
        <v>0.63908100000000001</v>
      </c>
      <c r="WA36" s="292">
        <f t="shared" si="61"/>
        <v>1.691392</v>
      </c>
      <c r="WB36" s="292">
        <f t="shared" si="62"/>
        <v>2.330473</v>
      </c>
      <c r="WC36" s="277">
        <f t="shared" si="63"/>
        <v>0.66925400000000002</v>
      </c>
      <c r="WD36" s="277">
        <f t="shared" si="87"/>
        <v>40.286921832702376</v>
      </c>
    </row>
    <row r="37" spans="1:602" s="12" customFormat="1" ht="20.5">
      <c r="A37" s="46" t="s">
        <v>105</v>
      </c>
      <c r="B37" s="12" t="s">
        <v>106</v>
      </c>
      <c r="C37" s="46" t="s">
        <v>107</v>
      </c>
      <c r="D37" s="50" t="s">
        <v>46</v>
      </c>
      <c r="E37" s="50" t="s">
        <v>46</v>
      </c>
      <c r="F37" s="50" t="s">
        <v>46</v>
      </c>
      <c r="G37" s="50">
        <v>1.33479837906</v>
      </c>
      <c r="H37" s="50">
        <v>0</v>
      </c>
      <c r="I37" s="50">
        <v>2.1092651717136954E-2</v>
      </c>
      <c r="J37" s="50">
        <v>-8.4451995200000001E-3</v>
      </c>
      <c r="K37" s="50">
        <v>9.7395575437817655E-2</v>
      </c>
      <c r="L37" s="50">
        <v>0.1445182440622724</v>
      </c>
      <c r="M37" s="50">
        <v>-0.25451904087269911</v>
      </c>
      <c r="N37" s="50">
        <v>0</v>
      </c>
      <c r="O37" s="50">
        <v>6.0770855046058357E-3</v>
      </c>
      <c r="P37" s="50">
        <v>-6.1197716537842103E-3</v>
      </c>
      <c r="Q37" s="50">
        <v>0.19474988759178569</v>
      </c>
      <c r="R37" s="50">
        <v>-8.255929107088486E-2</v>
      </c>
      <c r="S37" s="50">
        <v>-2.891275519321318E-2</v>
      </c>
      <c r="T37" s="50" t="s">
        <v>46</v>
      </c>
      <c r="U37" s="50" t="s">
        <v>46</v>
      </c>
      <c r="V37" s="50" t="s">
        <v>46</v>
      </c>
      <c r="W37" s="50">
        <v>8.3277741739999939E-2</v>
      </c>
      <c r="X37" s="50">
        <v>0.23718944399196629</v>
      </c>
      <c r="Y37" s="50">
        <v>-0.23717113163235717</v>
      </c>
      <c r="Z37" s="50">
        <v>2.5401947050743653E-2</v>
      </c>
      <c r="AA37" s="50">
        <v>7.8704603273845763E-2</v>
      </c>
      <c r="AB37" s="50">
        <v>-2.8884266621842514E-6</v>
      </c>
      <c r="AC37" s="50">
        <v>8.5008907115876609E-3</v>
      </c>
      <c r="AD37" s="50">
        <v>5.3818916797139738E-2</v>
      </c>
      <c r="AE37" s="50">
        <v>3.573869813411451E-2</v>
      </c>
      <c r="AF37" s="50">
        <v>2.3454377040006413E-2</v>
      </c>
      <c r="AG37" s="50">
        <v>5.9902903335357083E-4</v>
      </c>
      <c r="AH37" s="50">
        <v>1.5924780910370195E-4</v>
      </c>
      <c r="AI37" s="50">
        <v>-0.16648535009897392</v>
      </c>
      <c r="AJ37" s="50">
        <v>4.7671897143442601E-4</v>
      </c>
      <c r="AK37" s="50">
        <v>5.9431605397806501E-2</v>
      </c>
      <c r="AL37" s="50">
        <v>0</v>
      </c>
      <c r="AM37" s="50">
        <v>7.341605908099999E-2</v>
      </c>
      <c r="AN37" s="50">
        <v>3.6300590207227056E-2</v>
      </c>
      <c r="AO37" s="50">
        <v>0.148171766239236</v>
      </c>
      <c r="AP37" s="50">
        <v>-6.0391090545870536E-3</v>
      </c>
      <c r="AQ37" s="50">
        <v>-1.4228718106328366E-8</v>
      </c>
      <c r="AR37" s="50">
        <v>4.0745357169281906E-4</v>
      </c>
      <c r="AS37" s="50">
        <v>2.0751447060631417E-3</v>
      </c>
      <c r="AT37" s="50">
        <v>0.1981198314181479</v>
      </c>
      <c r="AU37" s="50">
        <v>1.3508118906551471E-2</v>
      </c>
      <c r="AV37" s="50">
        <v>6.3230004382445176E-3</v>
      </c>
      <c r="AW37" s="50">
        <v>5.4203874764514716E-3</v>
      </c>
      <c r="AX37" s="50">
        <v>2.3448216003323827E-3</v>
      </c>
      <c r="AY37" s="50">
        <v>-6.8081171991052986E-2</v>
      </c>
      <c r="AZ37" s="50">
        <v>3.8822831192178542E-18</v>
      </c>
      <c r="BA37" s="50">
        <v>0.33855081928958852</v>
      </c>
      <c r="BB37" s="50">
        <f>SUM(AN37:AY37)</f>
        <v>0.33855081928958863</v>
      </c>
      <c r="BC37" s="50">
        <f t="shared" si="21"/>
        <v>-1.2293427470532303E-2</v>
      </c>
      <c r="BD37" s="50">
        <v>0.33855081928958852</v>
      </c>
      <c r="BE37" s="50">
        <v>0.32625739181905622</v>
      </c>
      <c r="BF37" s="44">
        <v>1.2338E-4</v>
      </c>
      <c r="BG37" s="50">
        <v>1.5248589999999999E-2</v>
      </c>
      <c r="BH37" s="73">
        <f>BF37+BG37</f>
        <v>1.5371969999999999E-2</v>
      </c>
      <c r="BI37" s="50">
        <v>2.3294600000000002E-3</v>
      </c>
      <c r="BJ37" s="50">
        <v>0.25064554999999999</v>
      </c>
      <c r="BK37" s="73">
        <f>BI37+BJ37</f>
        <v>0.25297501</v>
      </c>
      <c r="BL37" s="50">
        <v>1.427672E-2</v>
      </c>
      <c r="BM37" s="50">
        <v>7.6247969999999998E-2</v>
      </c>
      <c r="BN37" s="50">
        <f>BL37+BM37</f>
        <v>9.0524689999999991E-2</v>
      </c>
      <c r="BO37" s="50">
        <v>-1.43389E-2</v>
      </c>
      <c r="BP37" s="50">
        <v>3.7271500000000003E-3</v>
      </c>
      <c r="BQ37" s="50">
        <f>BO37+BP37</f>
        <v>-1.061175E-2</v>
      </c>
      <c r="BR37" s="50">
        <v>6.4883000000000009E-4</v>
      </c>
      <c r="BS37" s="50">
        <v>4.3434199999999997E-3</v>
      </c>
      <c r="BT37" s="50">
        <f>BR37+BS37</f>
        <v>4.9922500000000002E-3</v>
      </c>
      <c r="BU37" s="50">
        <v>1.2040499999999999E-3</v>
      </c>
      <c r="BV37" s="50">
        <v>0.14165184</v>
      </c>
      <c r="BW37" s="50">
        <f>BU37+BV37</f>
        <v>0.14285589000000001</v>
      </c>
      <c r="BX37" s="50">
        <v>1.2750700000000001E-3</v>
      </c>
      <c r="BY37" s="50">
        <v>0.19565026000000002</v>
      </c>
      <c r="BZ37" s="50">
        <f>BX37+BY37</f>
        <v>0.19692533000000001</v>
      </c>
      <c r="CA37" s="50">
        <v>3.455E-5</v>
      </c>
      <c r="CB37" s="50">
        <v>7.073999999999999E-5</v>
      </c>
      <c r="CC37" s="50">
        <f>CA37+CB37</f>
        <v>1.0528999999999999E-4</v>
      </c>
      <c r="CD37" s="50">
        <v>3.572707E-2</v>
      </c>
      <c r="CE37" s="50">
        <v>5.7213199999999994E-3</v>
      </c>
      <c r="CF37" s="50">
        <f>CD37+CE37</f>
        <v>4.1448390000000002E-2</v>
      </c>
      <c r="CG37" s="50">
        <v>-4.0382050000000003E-2</v>
      </c>
      <c r="CH37" s="50">
        <v>4.0885900000000005E-3</v>
      </c>
      <c r="CI37" s="50">
        <f>CG37+CH37</f>
        <v>-3.629346E-2</v>
      </c>
      <c r="CJ37" s="50">
        <v>-8.8637000000000004E-4</v>
      </c>
      <c r="CK37" s="50"/>
      <c r="CL37" s="50">
        <f>CJ37+CK37</f>
        <v>-8.8637000000000004E-4</v>
      </c>
      <c r="CM37" s="44">
        <v>2.5988189999999998E-2</v>
      </c>
      <c r="CN37" s="50">
        <v>-6.5445200000000007E-3</v>
      </c>
      <c r="CO37" s="50">
        <f>CM37+CN37</f>
        <v>1.9443669999999996E-2</v>
      </c>
      <c r="CP37" s="50">
        <f t="shared" si="24"/>
        <v>2.5999999999999995E-2</v>
      </c>
      <c r="CQ37" s="50">
        <f t="shared" si="25"/>
        <v>0.69085090999999998</v>
      </c>
      <c r="CR37" s="50">
        <f t="shared" si="26"/>
        <v>0.71685091000000001</v>
      </c>
      <c r="CS37" s="50">
        <f>CU37-CT37</f>
        <v>3.0388999999999999E-2</v>
      </c>
      <c r="CT37" s="50">
        <v>0.68654300000000001</v>
      </c>
      <c r="CU37" s="50">
        <v>0.71693200000000001</v>
      </c>
      <c r="CV37" s="44">
        <v>2.2874000000000002E-3</v>
      </c>
      <c r="CW37" s="50">
        <v>0.12935375999999998</v>
      </c>
      <c r="CX37" s="50">
        <f>CV37+CW37</f>
        <v>0.13164115999999998</v>
      </c>
      <c r="CY37" s="42">
        <v>6.170599999999999E-4</v>
      </c>
      <c r="CZ37" s="42">
        <v>4.89954E-3</v>
      </c>
      <c r="DA37" s="50">
        <v>5.5166E-3</v>
      </c>
      <c r="DB37" s="42">
        <v>1.87134E-3</v>
      </c>
      <c r="DC37" s="42">
        <v>3.2007620000000001E-2</v>
      </c>
      <c r="DD37" s="50">
        <v>3.387896E-2</v>
      </c>
      <c r="DE37" s="42">
        <v>6.6734100000000003E-3</v>
      </c>
      <c r="DF37" s="42">
        <v>6.9005799999999999E-3</v>
      </c>
      <c r="DG37" s="50">
        <v>1.3573990000000001E-2</v>
      </c>
      <c r="DH37" s="42">
        <v>4.7096900000000008E-3</v>
      </c>
      <c r="DI37" s="42">
        <v>2.2510280000000001E-2</v>
      </c>
      <c r="DJ37" s="50">
        <v>2.7219970000000003E-2</v>
      </c>
      <c r="DK37" s="42">
        <v>1.0319170000000001E-2</v>
      </c>
      <c r="DL37" s="42">
        <v>-2.044901E-2</v>
      </c>
      <c r="DM37" s="50">
        <v>-1.0129839999999999E-2</v>
      </c>
      <c r="DN37" s="42">
        <v>7.5410800000000004E-3</v>
      </c>
      <c r="DO37" s="42">
        <v>0.11619826</v>
      </c>
      <c r="DP37" s="50">
        <v>0.12373934</v>
      </c>
      <c r="DQ37" s="42">
        <v>-4.5000000000000001E-6</v>
      </c>
      <c r="DR37" s="42">
        <v>0</v>
      </c>
      <c r="DS37" s="50">
        <v>-4.5000000000000001E-6</v>
      </c>
      <c r="DT37" s="42">
        <v>1.8766E-3</v>
      </c>
      <c r="DU37" s="42">
        <v>6.5776200000000002E-3</v>
      </c>
      <c r="DV37" s="50">
        <v>8.4542200000000001E-3</v>
      </c>
      <c r="DW37" s="42">
        <v>3.00359E-3</v>
      </c>
      <c r="DX37" s="42">
        <v>2.4019759999999998E-2</v>
      </c>
      <c r="DY37" s="50">
        <v>2.7023349999999998E-2</v>
      </c>
      <c r="DZ37" s="42">
        <v>1.0879400000000001E-2</v>
      </c>
      <c r="EA37" s="42">
        <v>1.1590470000000002E-2</v>
      </c>
      <c r="EB37" s="50">
        <v>2.2469870000000003E-2</v>
      </c>
      <c r="EC37" s="42">
        <v>-2.0112200000000002E-3</v>
      </c>
      <c r="ED37" s="42">
        <v>-3.946156E-2</v>
      </c>
      <c r="EE37" s="50">
        <v>-4.1472780000000001E-2</v>
      </c>
      <c r="EF37" s="50">
        <f t="shared" si="27"/>
        <v>4.776302000000001E-2</v>
      </c>
      <c r="EG37" s="50">
        <f t="shared" si="28"/>
        <v>0.29414731999999999</v>
      </c>
      <c r="EH37" s="50">
        <f t="shared" si="29"/>
        <v>0.34191033999999998</v>
      </c>
      <c r="EI37" s="50">
        <f>EK37-EJ37</f>
        <v>4.8452680000000026E-2</v>
      </c>
      <c r="EJ37" s="50">
        <v>0.29414731999999999</v>
      </c>
      <c r="EK37" s="50">
        <v>0.34260000000000002</v>
      </c>
      <c r="EL37" s="50">
        <v>9.5359999999999987E-4</v>
      </c>
      <c r="EM37" s="50">
        <v>1.0900000000000002E-6</v>
      </c>
      <c r="EN37" s="50">
        <v>9.546899999999999E-4</v>
      </c>
      <c r="EO37" s="50">
        <v>5.2113899999999998E-3</v>
      </c>
      <c r="EP37" s="50">
        <v>0</v>
      </c>
      <c r="EQ37" s="50">
        <v>5.2113899999999998E-3</v>
      </c>
      <c r="ER37" s="50">
        <v>4.6267009999999997E-2</v>
      </c>
      <c r="ES37" s="50">
        <v>0</v>
      </c>
      <c r="ET37" s="50">
        <v>4.6267009999999997E-2</v>
      </c>
      <c r="EU37" s="50">
        <v>2.354009E-2</v>
      </c>
      <c r="EV37" s="50">
        <v>3.3197440000000002E-2</v>
      </c>
      <c r="EW37" s="50">
        <v>5.6737530000000001E-2</v>
      </c>
      <c r="EX37" s="50">
        <v>4.9058779999999996E-2</v>
      </c>
      <c r="EY37" s="50">
        <v>0</v>
      </c>
      <c r="EZ37" s="50">
        <v>4.9058779999999996E-2</v>
      </c>
      <c r="FA37" s="50">
        <v>4.041600000000003E-4</v>
      </c>
      <c r="FB37" s="50">
        <v>0</v>
      </c>
      <c r="FC37" s="50">
        <v>4.041600000000003E-4</v>
      </c>
      <c r="FD37" s="50">
        <v>2.3844879999999999E-2</v>
      </c>
      <c r="FE37" s="50">
        <v>0.17284094</v>
      </c>
      <c r="FF37" s="50">
        <v>0.19668582000000001</v>
      </c>
      <c r="FG37" s="50">
        <v>4.2062709999999996E-2</v>
      </c>
      <c r="FH37" s="50">
        <v>0</v>
      </c>
      <c r="FI37" s="50">
        <v>4.2062709999999996E-2</v>
      </c>
      <c r="FJ37" s="50">
        <v>2.0120900000000001E-2</v>
      </c>
      <c r="FK37" s="50">
        <v>1.3775890000000001E-2</v>
      </c>
      <c r="FL37" s="50">
        <v>3.3896790000000003E-2</v>
      </c>
      <c r="FM37" s="50">
        <v>2.8249610000000001E-2</v>
      </c>
      <c r="FN37" s="50">
        <v>0</v>
      </c>
      <c r="FO37" s="50">
        <v>2.8249610000000001E-2</v>
      </c>
      <c r="FP37" s="50">
        <v>2.6374989999999997E-2</v>
      </c>
      <c r="FQ37" s="50">
        <v>3.4240500000000001E-3</v>
      </c>
      <c r="FR37" s="50">
        <v>2.9799039999999999E-2</v>
      </c>
      <c r="FS37" s="50">
        <v>2.0355619999999998E-2</v>
      </c>
      <c r="FT37" s="50">
        <v>4.1857539999999992E-2</v>
      </c>
      <c r="FU37" s="50">
        <v>6.221315999999999E-2</v>
      </c>
      <c r="FV37" s="50">
        <f t="shared" si="30"/>
        <v>0.28644374</v>
      </c>
      <c r="FW37" s="50">
        <f t="shared" si="31"/>
        <v>0.26509695</v>
      </c>
      <c r="FX37" s="50">
        <f t="shared" si="32"/>
        <v>0.55154068999999994</v>
      </c>
      <c r="FY37" s="50">
        <f>GA37-FZ37</f>
        <v>0.28986899999999993</v>
      </c>
      <c r="FZ37" s="50">
        <v>0.26509700000000003</v>
      </c>
      <c r="GA37" s="50">
        <v>0.55496599999999996</v>
      </c>
      <c r="GB37" s="50">
        <v>1.6931650000000003E-2</v>
      </c>
      <c r="GC37" s="50">
        <v>5.0543999999999999E-2</v>
      </c>
      <c r="GD37" s="50">
        <v>6.7475649999999998E-2</v>
      </c>
      <c r="GE37" s="50">
        <v>2.6711639999999998E-2</v>
      </c>
      <c r="GF37" s="50">
        <v>-4.736986E-2</v>
      </c>
      <c r="GG37" s="50">
        <v>-2.0658220000000001E-2</v>
      </c>
      <c r="GH37" s="50">
        <v>3.8366580000000004E-2</v>
      </c>
      <c r="GI37" s="50">
        <v>-5.6826000000000001E-4</v>
      </c>
      <c r="GJ37" s="50">
        <v>3.7798320000000003E-2</v>
      </c>
      <c r="GK37" s="50">
        <v>4.3938850000000002E-2</v>
      </c>
      <c r="GL37" s="50">
        <v>0.12837936999999999</v>
      </c>
      <c r="GM37" s="50">
        <v>0.17231821999999999</v>
      </c>
      <c r="GN37" s="50">
        <v>3.1532209999999998E-2</v>
      </c>
      <c r="GO37" s="50">
        <v>1.3345999999999998E-3</v>
      </c>
      <c r="GP37" s="50">
        <v>3.2866809999999996E-2</v>
      </c>
      <c r="GQ37" s="50">
        <v>3.509379E-2</v>
      </c>
      <c r="GR37" s="50">
        <v>0.12837936999999999</v>
      </c>
      <c r="GS37" s="50">
        <v>0.16347316000000001</v>
      </c>
      <c r="GT37" s="50">
        <v>5.4729160000000006E-2</v>
      </c>
      <c r="GU37" s="50">
        <v>0</v>
      </c>
      <c r="GV37" s="50">
        <v>5.4729160000000006E-2</v>
      </c>
      <c r="GW37" s="50">
        <v>9.0509139999999988E-2</v>
      </c>
      <c r="GX37" s="50">
        <v>0</v>
      </c>
      <c r="GY37" s="50">
        <v>9.0509139999999988E-2</v>
      </c>
      <c r="GZ37" s="50">
        <v>-1.3918419999999999E-2</v>
      </c>
      <c r="HA37" s="50">
        <v>1.941462E-2</v>
      </c>
      <c r="HB37" s="50">
        <v>5.4962000000000014E-3</v>
      </c>
      <c r="HC37" s="50">
        <v>4.5396229999999996E-2</v>
      </c>
      <c r="HD37" s="50">
        <v>5.8600000000000004E-4</v>
      </c>
      <c r="HE37" s="50">
        <v>4.5982229999999999E-2</v>
      </c>
      <c r="HF37" s="50">
        <v>5.8304729999999999E-2</v>
      </c>
      <c r="HG37" s="50">
        <v>0</v>
      </c>
      <c r="HH37" s="50">
        <v>5.8304729999999999E-2</v>
      </c>
      <c r="HI37" s="50">
        <v>0.18006759000000003</v>
      </c>
      <c r="HJ37" s="50">
        <v>-5.445092E-2</v>
      </c>
      <c r="HK37" s="50">
        <v>0.12561667000000004</v>
      </c>
      <c r="HL37" s="50">
        <f t="shared" si="33"/>
        <v>0.60766315000000004</v>
      </c>
      <c r="HM37" s="50">
        <f t="shared" si="34"/>
        <v>0.22624891999999996</v>
      </c>
      <c r="HN37" s="50">
        <f t="shared" si="35"/>
        <v>0.83391207000000001</v>
      </c>
      <c r="HO37" s="50">
        <f t="shared" si="3"/>
        <v>0.60798199999999991</v>
      </c>
      <c r="HP37" s="50">
        <v>0.22624900000000001</v>
      </c>
      <c r="HQ37" s="50">
        <v>0.83423099999999994</v>
      </c>
      <c r="HR37" s="50">
        <v>3.3712140000000002E-2</v>
      </c>
      <c r="HS37" s="50">
        <v>1.7090869999999998E-2</v>
      </c>
      <c r="HT37" s="50">
        <v>5.0803009999999996E-2</v>
      </c>
      <c r="HU37" s="50">
        <v>1.9959559999999998E-2</v>
      </c>
      <c r="HV37" s="50">
        <v>8.4000000000000003E-4</v>
      </c>
      <c r="HW37" s="50">
        <v>2.0799559999999998E-2</v>
      </c>
      <c r="HX37" s="50">
        <v>5.2105539999999999E-2</v>
      </c>
      <c r="HY37" s="50">
        <v>7.0376300000000004E-3</v>
      </c>
      <c r="HZ37" s="50">
        <v>5.9143169999999995E-2</v>
      </c>
      <c r="IA37" s="50">
        <v>3.5237270000000001E-2</v>
      </c>
      <c r="IB37" s="50">
        <v>7.2375299999999998E-3</v>
      </c>
      <c r="IC37" s="50">
        <v>4.24748E-2</v>
      </c>
      <c r="ID37" s="50">
        <v>3.5223030000000009E-2</v>
      </c>
      <c r="IE37" s="50">
        <v>-7.2375299999999998E-3</v>
      </c>
      <c r="IF37" s="50">
        <v>2.7985500000000007E-2</v>
      </c>
      <c r="IG37" s="50">
        <v>5.2174659999999998E-2</v>
      </c>
      <c r="IH37" s="50">
        <v>0</v>
      </c>
      <c r="II37" s="50">
        <v>5.2174659999999998E-2</v>
      </c>
      <c r="IJ37" s="50">
        <v>3.4760880000000008E-2</v>
      </c>
      <c r="IK37" s="50">
        <v>1.6912480000000001E-2</v>
      </c>
      <c r="IL37" s="50">
        <v>5.1673360000000002E-2</v>
      </c>
      <c r="IM37" s="50">
        <v>4.9052360000000003E-2</v>
      </c>
      <c r="IN37" s="50">
        <v>1.974132E-2</v>
      </c>
      <c r="IO37" s="50">
        <v>6.8793679999999996E-2</v>
      </c>
      <c r="IP37" s="50">
        <v>6.2554479999999996E-2</v>
      </c>
      <c r="IQ37" s="50">
        <v>-3.7170000000000005E-5</v>
      </c>
      <c r="IR37" s="50">
        <v>6.2517309999999993E-2</v>
      </c>
      <c r="IS37" s="50">
        <v>3.7628759999999997E-2</v>
      </c>
      <c r="IT37" s="50">
        <v>8.9999999999999993E-3</v>
      </c>
      <c r="IU37" s="50">
        <v>4.6628759999999991E-2</v>
      </c>
      <c r="IV37" s="50">
        <v>5.1085560000000002E-2</v>
      </c>
      <c r="IW37" s="50">
        <v>2.5668750000000001E-2</v>
      </c>
      <c r="IX37" s="50">
        <v>7.6754309999999992E-2</v>
      </c>
      <c r="IY37" s="50">
        <v>5.2363639999999989E-2</v>
      </c>
      <c r="IZ37" s="50">
        <v>-5.1415199999999993E-3</v>
      </c>
      <c r="JA37" s="50">
        <v>4.7222119999999992E-2</v>
      </c>
      <c r="JB37" s="50">
        <f t="shared" si="36"/>
        <v>0.51585787999999999</v>
      </c>
      <c r="JC37" s="50">
        <f t="shared" si="37"/>
        <v>9.1112360000000003E-2</v>
      </c>
      <c r="JD37" s="50">
        <f t="shared" si="38"/>
        <v>0.60697023999999999</v>
      </c>
      <c r="JE37" s="50">
        <f t="shared" si="4"/>
        <v>0.54272799999999999</v>
      </c>
      <c r="JF37" s="50">
        <v>9.1072E-2</v>
      </c>
      <c r="JG37" s="50">
        <v>0.63380000000000003</v>
      </c>
      <c r="JH37" s="50">
        <v>0.12264247</v>
      </c>
      <c r="JI37" s="50">
        <v>3.9782969999999994E-2</v>
      </c>
      <c r="JJ37" s="50">
        <v>0.16242544</v>
      </c>
      <c r="JK37" s="50">
        <v>6.3389000000000001E-2</v>
      </c>
      <c r="JL37" s="50">
        <v>9.0945999999999996E-3</v>
      </c>
      <c r="JM37" s="50">
        <v>7.2483600000000009E-2</v>
      </c>
      <c r="JN37" s="50">
        <v>-0.10234175</v>
      </c>
      <c r="JO37" s="50">
        <v>1.1990319999999999E-2</v>
      </c>
      <c r="JP37" s="50">
        <v>-9.035143000000001E-2</v>
      </c>
      <c r="JQ37" s="50">
        <v>2.6802670000000001E-2</v>
      </c>
      <c r="JR37" s="50">
        <v>7.2372000000000007E-4</v>
      </c>
      <c r="JS37" s="50">
        <v>2.7526390000000005E-2</v>
      </c>
      <c r="JT37" s="50">
        <v>4.0764599999999998E-2</v>
      </c>
      <c r="JU37" s="50">
        <v>4.8814799999999997E-3</v>
      </c>
      <c r="JV37" s="50">
        <v>4.5646079999999992E-2</v>
      </c>
      <c r="JW37" s="50">
        <v>4.1189879999999991E-2</v>
      </c>
      <c r="JX37" s="50">
        <v>0.13056029</v>
      </c>
      <c r="JY37" s="50">
        <v>0.17175016999999998</v>
      </c>
      <c r="JZ37" s="50">
        <v>8.2316399999999998E-2</v>
      </c>
      <c r="KA37" s="50">
        <v>0.25196901999999999</v>
      </c>
      <c r="KB37" s="50">
        <v>0.33428542</v>
      </c>
      <c r="KC37" s="50">
        <v>5.4609100000000002E-3</v>
      </c>
      <c r="KD37" s="50">
        <v>3.36412E-3</v>
      </c>
      <c r="KE37" s="50">
        <v>8.8250299999999993E-3</v>
      </c>
      <c r="KF37" s="50">
        <v>3.0069330000000002E-2</v>
      </c>
      <c r="KG37" s="50">
        <v>-0.12516185000000002</v>
      </c>
      <c r="KH37" s="50">
        <v>-9.5092519999999986E-2</v>
      </c>
      <c r="KI37" s="50">
        <v>4.259578E-2</v>
      </c>
      <c r="KJ37" s="50">
        <v>3.7084370000000005E-2</v>
      </c>
      <c r="KK37" s="50">
        <v>7.9680149999999977E-2</v>
      </c>
      <c r="KL37" s="50">
        <v>6.5219600000000003E-3</v>
      </c>
      <c r="KM37" s="50">
        <v>-6.0499799999999999E-3</v>
      </c>
      <c r="KN37" s="50">
        <v>4.7197999999999956E-4</v>
      </c>
      <c r="KO37" s="50">
        <v>7.7311460000000012E-2</v>
      </c>
      <c r="KP37" s="50">
        <v>3.697317E-2</v>
      </c>
      <c r="KQ37" s="50">
        <v>0.11428463</v>
      </c>
      <c r="KR37" s="50">
        <f t="shared" si="48"/>
        <v>0.43672271000000001</v>
      </c>
      <c r="KS37" s="50">
        <f t="shared" si="39"/>
        <v>0.39521222999999994</v>
      </c>
      <c r="KT37" s="50">
        <f t="shared" si="49"/>
        <v>0.8319349399999999</v>
      </c>
      <c r="KU37" s="50">
        <f>KW37-KV37</f>
        <v>0.46222099999999999</v>
      </c>
      <c r="KV37" s="50">
        <v>0.736931</v>
      </c>
      <c r="KW37" s="50">
        <v>1.199152</v>
      </c>
      <c r="KX37" s="50">
        <v>3.2960510000000005E-2</v>
      </c>
      <c r="KY37" s="50">
        <v>0.37736604000000001</v>
      </c>
      <c r="KZ37" s="50">
        <v>0.41032655000000007</v>
      </c>
      <c r="LA37" s="50">
        <v>3.9697989999999996E-2</v>
      </c>
      <c r="LB37" s="50">
        <v>-1.379993E-2</v>
      </c>
      <c r="LC37" s="50">
        <v>2.5898059999999997E-2</v>
      </c>
      <c r="LD37" s="50">
        <v>-3.0335000000000015E-3</v>
      </c>
      <c r="LE37" s="50">
        <v>-1.1039999999999999E-2</v>
      </c>
      <c r="LF37" s="50">
        <v>-1.4073500000000003E-2</v>
      </c>
      <c r="LG37" s="50">
        <v>3.5910699999999997E-2</v>
      </c>
      <c r="LH37" s="50">
        <v>2.03973E-2</v>
      </c>
      <c r="LI37" s="174">
        <v>5.6307999999999997E-2</v>
      </c>
      <c r="LJ37" s="174">
        <v>4.2727399999999997E-3</v>
      </c>
      <c r="LK37" s="174"/>
      <c r="LL37" s="174">
        <v>4.2727399999999997E-3</v>
      </c>
      <c r="LM37" s="50">
        <v>3.4213609999999998E-2</v>
      </c>
      <c r="LN37" s="50">
        <v>2.9368000000000003E-3</v>
      </c>
      <c r="LO37" s="50">
        <v>3.7150410000000002E-2</v>
      </c>
      <c r="LP37" s="50">
        <v>3.3835459999999998E-2</v>
      </c>
      <c r="LQ37" s="44">
        <v>2.7833200000000002E-3</v>
      </c>
      <c r="LR37" s="44">
        <v>3.6618779999999997E-2</v>
      </c>
      <c r="LS37" s="50">
        <v>2.3666E-2</v>
      </c>
      <c r="LT37" s="50">
        <v>-1.9127200000000003E-3</v>
      </c>
      <c r="LU37" s="49">
        <v>5.6657739999999998E-2</v>
      </c>
      <c r="LV37" s="44">
        <v>1.4213999999999031E-4</v>
      </c>
      <c r="LW37" s="50">
        <v>4.63124E-3</v>
      </c>
      <c r="LX37" s="50">
        <v>4.7733799999999903E-3</v>
      </c>
      <c r="LY37" s="50">
        <v>5.9930229999999994E-2</v>
      </c>
      <c r="LZ37" s="50">
        <v>2.2559949999999999E-2</v>
      </c>
      <c r="MA37" s="50">
        <v>8.2490179999999996E-2</v>
      </c>
      <c r="MB37" s="50">
        <v>4.1922710000000016E-2</v>
      </c>
      <c r="MC37" s="50">
        <v>1.8519999999999999E-5</v>
      </c>
      <c r="MD37" s="50">
        <v>4.194123000000001E-2</v>
      </c>
      <c r="ME37" s="50">
        <v>1.8518389999999999E-2</v>
      </c>
      <c r="MF37" s="50">
        <v>7.6673350000000001E-2</v>
      </c>
      <c r="MG37" s="50">
        <v>9.5191739999999997E-2</v>
      </c>
      <c r="MH37" s="50">
        <f t="shared" si="66"/>
        <v>0.32203697999999997</v>
      </c>
      <c r="MI37" s="50">
        <f t="shared" si="50"/>
        <v>0.48061387</v>
      </c>
      <c r="MJ37" s="50">
        <f t="shared" si="51"/>
        <v>0.83755530999999994</v>
      </c>
      <c r="MK37" s="50">
        <f t="shared" si="7"/>
        <v>0.35862499999999997</v>
      </c>
      <c r="ML37" s="50">
        <v>0.15687200000000001</v>
      </c>
      <c r="MM37" s="50">
        <v>0.51549699999999998</v>
      </c>
      <c r="MN37" s="50">
        <v>2.1834020000000003E-2</v>
      </c>
      <c r="MO37" s="50">
        <v>2.128327E-2</v>
      </c>
      <c r="MP37" s="50">
        <v>4.3117290000000003E-2</v>
      </c>
      <c r="MQ37" s="44">
        <v>8.3646200000000014E-3</v>
      </c>
      <c r="MR37" s="44">
        <v>3.102214E-2</v>
      </c>
      <c r="MS37" s="44">
        <v>3.938676E-2</v>
      </c>
      <c r="MT37" s="50">
        <v>1.2104470000000001E-2</v>
      </c>
      <c r="MU37" s="50">
        <v>0.19336133999999999</v>
      </c>
      <c r="MV37" s="50">
        <v>0.20546581</v>
      </c>
      <c r="MW37" s="50">
        <v>1.4658210000000001E-2</v>
      </c>
      <c r="MX37" s="50">
        <v>2.4921849999999999E-2</v>
      </c>
      <c r="MY37" s="50">
        <v>3.958006E-2</v>
      </c>
      <c r="MZ37" s="50">
        <v>4.1756800000000004E-2</v>
      </c>
      <c r="NA37" s="50">
        <v>0.19321624000000001</v>
      </c>
      <c r="NB37" s="50">
        <v>0.23497304000000002</v>
      </c>
      <c r="NC37" s="50">
        <v>2.4013540000000003E-2</v>
      </c>
      <c r="ND37" s="50">
        <v>-7.4085999999999996E-3</v>
      </c>
      <c r="NE37" s="50">
        <v>1.6604940000000002E-2</v>
      </c>
      <c r="NF37" s="50">
        <v>1.3403409999999999E-2</v>
      </c>
      <c r="NG37" s="50">
        <v>2.354525E-2</v>
      </c>
      <c r="NH37" s="50">
        <v>3.6948659999999994E-2</v>
      </c>
      <c r="NI37" s="50">
        <v>1.8306250000000003E-2</v>
      </c>
      <c r="NJ37" s="50">
        <v>6.0218769999999998E-2</v>
      </c>
      <c r="NK37" s="50">
        <v>7.8525020000000001E-2</v>
      </c>
      <c r="NL37" s="50">
        <v>2.2469599999999999E-2</v>
      </c>
      <c r="NM37" s="50">
        <v>1.4235999999999999E-3</v>
      </c>
      <c r="NN37" s="50">
        <v>2.3893199999999996E-2</v>
      </c>
      <c r="NO37" s="50">
        <v>3.7992489999999997E-2</v>
      </c>
      <c r="NP37" s="50">
        <v>2.4342430000000002E-2</v>
      </c>
      <c r="NQ37" s="50">
        <v>6.2334919999999995E-2</v>
      </c>
      <c r="NR37" s="50">
        <v>1.156422E-2</v>
      </c>
      <c r="NS37" s="50">
        <v>-3.91692E-3</v>
      </c>
      <c r="NT37" s="50">
        <v>7.6472999999999992E-3</v>
      </c>
      <c r="NU37" s="50">
        <v>2.4886680000000001E-2</v>
      </c>
      <c r="NV37" s="50">
        <v>4.4062660000000003E-2</v>
      </c>
      <c r="NW37" s="50">
        <v>6.8949339999999998E-2</v>
      </c>
      <c r="NX37" s="50">
        <f t="shared" si="67"/>
        <v>0.25135431000000003</v>
      </c>
      <c r="NY37" s="50">
        <f t="shared" si="40"/>
        <v>0.60607203000000009</v>
      </c>
      <c r="NZ37" s="50">
        <f t="shared" si="41"/>
        <v>0.85742633999999995</v>
      </c>
      <c r="OA37" s="50">
        <f>OC37-OB37</f>
        <v>0.25135399999999997</v>
      </c>
      <c r="OB37" s="50">
        <v>0.58858900000000003</v>
      </c>
      <c r="OC37" s="50">
        <v>0.839943</v>
      </c>
      <c r="OD37" s="50">
        <v>3.1819119999999999E-2</v>
      </c>
      <c r="OE37" s="50">
        <v>2.9761900000000001E-3</v>
      </c>
      <c r="OF37" s="50">
        <v>3.4795309999999996E-2</v>
      </c>
      <c r="OG37" s="50">
        <v>7.5364299999999967E-3</v>
      </c>
      <c r="OH37" s="50">
        <v>1.8232100000000001E-2</v>
      </c>
      <c r="OI37" s="50">
        <v>2.5768529999999998E-2</v>
      </c>
      <c r="OJ37" s="50">
        <v>4.0783599999999892E-3</v>
      </c>
      <c r="OK37" s="50">
        <v>0.11013292000000001</v>
      </c>
      <c r="OL37" s="50">
        <v>0.11421128</v>
      </c>
      <c r="OM37" s="50">
        <v>8.3724100000000072E-3</v>
      </c>
      <c r="ON37" s="50">
        <v>-6.6394410000000001E-2</v>
      </c>
      <c r="OO37" s="50">
        <v>-5.8021999999999997E-2</v>
      </c>
      <c r="OP37" s="50">
        <v>0.27703827999999997</v>
      </c>
      <c r="OQ37" s="50">
        <v>0.13134503</v>
      </c>
      <c r="OR37" s="50">
        <v>0.40838330999999994</v>
      </c>
      <c r="OS37" s="50">
        <v>-0.14461289999999999</v>
      </c>
      <c r="OT37" s="50">
        <v>3.8568270000000002E-2</v>
      </c>
      <c r="OU37" s="50">
        <v>-0.10604462999999999</v>
      </c>
      <c r="OV37" s="50">
        <v>0.11882459000000001</v>
      </c>
      <c r="OW37" s="50">
        <v>3.2438399999999999E-2</v>
      </c>
      <c r="OX37" s="50">
        <v>0.15126299000000001</v>
      </c>
      <c r="OY37" s="94">
        <v>3.1389779999999999E-2</v>
      </c>
      <c r="OZ37" s="94">
        <v>2.0629509999999997E-2</v>
      </c>
      <c r="PA37" s="94">
        <v>5.2019290000000003E-2</v>
      </c>
      <c r="PB37" s="50">
        <v>-0.12986664000000001</v>
      </c>
      <c r="PC37" s="50">
        <v>2.2389679999999999E-2</v>
      </c>
      <c r="PD37" s="50">
        <v>-0.10747696000000001</v>
      </c>
      <c r="PE37" s="50">
        <v>1.1172070000000003E-2</v>
      </c>
      <c r="PF37" s="50">
        <v>0.69653293000000005</v>
      </c>
      <c r="PG37" s="50">
        <v>0.70770500000000003</v>
      </c>
      <c r="PH37" s="50">
        <v>2.4502450000000002E-2</v>
      </c>
      <c r="PI37" s="50">
        <v>-0.61240563000000003</v>
      </c>
      <c r="PJ37" s="50">
        <v>-0.58790318000000008</v>
      </c>
      <c r="PK37" s="50">
        <v>4.1313820000000001E-2</v>
      </c>
      <c r="PL37" s="50">
        <v>0.17873214000000001</v>
      </c>
      <c r="PM37" s="50">
        <v>0.22004596000000001</v>
      </c>
      <c r="PN37" s="50">
        <f t="shared" si="88"/>
        <v>0.28156776999999994</v>
      </c>
      <c r="PO37" s="50">
        <f t="shared" si="42"/>
        <v>0.57317713000000003</v>
      </c>
      <c r="PP37" s="50">
        <f t="shared" si="43"/>
        <v>0.85474490000000003</v>
      </c>
      <c r="PQ37" s="50">
        <f>PS37-PR37</f>
        <v>0.249525</v>
      </c>
      <c r="PR37" s="50">
        <v>0.62640200000000001</v>
      </c>
      <c r="PS37" s="50">
        <v>0.87592700000000001</v>
      </c>
      <c r="PT37" s="50">
        <v>0.13677744999999999</v>
      </c>
      <c r="PU37" s="50">
        <v>0.12415780999999999</v>
      </c>
      <c r="PV37" s="50">
        <v>0.26093526</v>
      </c>
      <c r="PW37" s="50">
        <v>-8.1587130000000008E-2</v>
      </c>
      <c r="PX37" s="50">
        <v>4.0775800000000001E-2</v>
      </c>
      <c r="PY37" s="50">
        <v>-4.0811329999999993E-2</v>
      </c>
      <c r="PZ37" s="50">
        <v>-4.7751599999999953E-3</v>
      </c>
      <c r="QA37" s="50">
        <v>-6.9384099999999999E-3</v>
      </c>
      <c r="QB37" s="50">
        <v>-1.1713569999999994E-2</v>
      </c>
      <c r="QC37" s="50">
        <v>2.0851099999999997E-2</v>
      </c>
      <c r="QD37" s="50">
        <v>1.2654219999999999E-2</v>
      </c>
      <c r="QE37" s="50">
        <v>3.3505319999999998E-2</v>
      </c>
      <c r="QF37" s="50">
        <v>3.3561199999999902E-3</v>
      </c>
      <c r="QG37" s="50">
        <v>0.13219151000000001</v>
      </c>
      <c r="QH37" s="50">
        <v>0.13554763</v>
      </c>
      <c r="QI37" s="50">
        <v>3.3530990000000004E-2</v>
      </c>
      <c r="QJ37" s="50"/>
      <c r="QK37" s="50">
        <v>3.3530990000000004E-2</v>
      </c>
      <c r="QL37" s="50">
        <v>1.7591080000000002E-2</v>
      </c>
      <c r="QM37" s="50">
        <v>4.1986450000000002E-2</v>
      </c>
      <c r="QN37" s="50">
        <v>5.9577529999999997E-2</v>
      </c>
      <c r="QO37" s="50">
        <v>3.3241699999999996E-3</v>
      </c>
      <c r="QP37" s="50">
        <v>1.8587699999999998E-3</v>
      </c>
      <c r="QQ37" s="50">
        <v>5.1829399999999996E-3</v>
      </c>
      <c r="QR37" s="50">
        <v>6.9266199999999997E-3</v>
      </c>
      <c r="QS37" s="50"/>
      <c r="QT37" s="50">
        <v>6.9266199999999997E-3</v>
      </c>
      <c r="QU37" s="50">
        <v>3.0505500000000001E-2</v>
      </c>
      <c r="QV37" s="50">
        <v>2.1040000000000002E-4</v>
      </c>
      <c r="QW37" s="50">
        <v>3.0715900000000001E-2</v>
      </c>
      <c r="QX37" s="50">
        <v>2.4571719999999998E-2</v>
      </c>
      <c r="QY37" s="50">
        <v>1.173537E-2</v>
      </c>
      <c r="QZ37" s="50">
        <v>3.630709E-2</v>
      </c>
      <c r="RA37" s="50">
        <v>2.5356109999999991E-2</v>
      </c>
      <c r="RB37" s="50">
        <v>7.1522000000000009E-3</v>
      </c>
      <c r="RC37" s="50">
        <v>3.2508309999999992E-2</v>
      </c>
      <c r="RD37" s="50">
        <f t="shared" si="52"/>
        <v>0.21642856999999996</v>
      </c>
      <c r="RE37" s="50">
        <f t="shared" si="53"/>
        <v>0.36578412000000005</v>
      </c>
      <c r="RF37" s="50">
        <f t="shared" si="54"/>
        <v>0.58221268999999998</v>
      </c>
      <c r="RG37" s="50">
        <f>RI37-RH37</f>
        <v>0.22578999999999999</v>
      </c>
      <c r="RH37" s="50">
        <v>0.331451</v>
      </c>
      <c r="RI37" s="50">
        <v>0.55724099999999999</v>
      </c>
      <c r="RJ37" s="50">
        <v>8.4102129999999997E-2</v>
      </c>
      <c r="RK37" s="50">
        <v>3.0339099999999999E-3</v>
      </c>
      <c r="RL37" s="50">
        <v>8.7136039999999998E-2</v>
      </c>
      <c r="RM37" s="50">
        <v>-1.1289089999999998E-2</v>
      </c>
      <c r="RN37" s="50">
        <v>2.1854000000000001E-3</v>
      </c>
      <c r="RO37" s="50">
        <v>-9.1036899999999976E-3</v>
      </c>
      <c r="RP37" s="50">
        <v>-4.3507400000000014E-3</v>
      </c>
      <c r="RQ37" s="50">
        <v>1.9664000000000001E-3</v>
      </c>
      <c r="RR37" s="50">
        <v>-2.3843400000000013E-3</v>
      </c>
      <c r="RS37" s="50">
        <v>-3.831822E-2</v>
      </c>
      <c r="RT37" s="50"/>
      <c r="RU37" s="50">
        <v>-3.831822E-2</v>
      </c>
      <c r="RV37" s="50">
        <v>6.3844600000000001E-2</v>
      </c>
      <c r="RW37" s="50"/>
      <c r="RX37" s="50">
        <v>6.3844600000000001E-2</v>
      </c>
      <c r="RY37" s="50">
        <v>-3.3041890000000004E-2</v>
      </c>
      <c r="RZ37" s="50"/>
      <c r="SA37" s="50">
        <v>-3.3041890000000004E-2</v>
      </c>
      <c r="SB37" s="50">
        <v>1.7372209999999999E-2</v>
      </c>
      <c r="SC37" s="50"/>
      <c r="SD37" s="50">
        <v>1.7372209999999999E-2</v>
      </c>
      <c r="SE37" s="50">
        <v>-1.4903999999999991E-4</v>
      </c>
      <c r="SF37" s="50">
        <v>8.6360000000000007E-4</v>
      </c>
      <c r="SG37" s="50">
        <v>7.1456000000000015E-4</v>
      </c>
      <c r="SH37" s="50">
        <v>8.1358400000000053E-3</v>
      </c>
      <c r="SI37" s="50">
        <v>8.0758399999999994E-2</v>
      </c>
      <c r="SJ37" s="50">
        <v>8.8894239999999999E-2</v>
      </c>
      <c r="SK37" s="50">
        <v>2.8066339999999999E-2</v>
      </c>
      <c r="SL37" s="50">
        <v>2.2714020000000001E-2</v>
      </c>
      <c r="SM37" s="50">
        <v>5.0780359999999997E-2</v>
      </c>
      <c r="SN37" s="50">
        <v>1.4228929999999999E-2</v>
      </c>
      <c r="SO37" s="50">
        <v>-2.1130019999999999E-2</v>
      </c>
      <c r="SP37" s="50">
        <v>-6.9010900000000003E-3</v>
      </c>
      <c r="SQ37" s="50">
        <v>1.510326E-2</v>
      </c>
      <c r="SR37" s="50">
        <v>4.1417879999999997E-2</v>
      </c>
      <c r="SS37" s="50">
        <v>5.6521139999999997E-2</v>
      </c>
      <c r="ST37" s="50">
        <f t="shared" si="55"/>
        <v>0.14370432999999999</v>
      </c>
      <c r="SU37" s="50">
        <f t="shared" si="65"/>
        <v>0.13180959</v>
      </c>
      <c r="SV37" s="50">
        <f t="shared" si="56"/>
        <v>0.27551391999999997</v>
      </c>
      <c r="SW37" s="50">
        <f t="shared" si="44"/>
        <v>0.14370499999999997</v>
      </c>
      <c r="SX37" s="50">
        <v>0.151424</v>
      </c>
      <c r="SY37" s="50">
        <v>0.29512899999999997</v>
      </c>
      <c r="SZ37" s="50">
        <v>3.8585400000000001E-3</v>
      </c>
      <c r="TA37" s="50">
        <v>2.1738799999999999E-2</v>
      </c>
      <c r="TB37" s="50">
        <v>2.559734E-2</v>
      </c>
      <c r="TC37" s="50">
        <v>6.3513760000000002E-2</v>
      </c>
      <c r="TD37" s="50"/>
      <c r="TE37" s="50">
        <v>6.3513760000000002E-2</v>
      </c>
      <c r="TF37" s="50">
        <v>-3.6555430000000007E-2</v>
      </c>
      <c r="TG37" s="50"/>
      <c r="TH37" s="50">
        <v>-3.6555430000000007E-2</v>
      </c>
      <c r="TI37" s="50">
        <v>0.11816071</v>
      </c>
      <c r="TJ37" s="50"/>
      <c r="TK37" s="50">
        <v>0.11816071</v>
      </c>
      <c r="TL37" s="50">
        <v>0.13785386999999999</v>
      </c>
      <c r="TM37" s="50"/>
      <c r="TN37" s="50">
        <v>0.13785386999999999</v>
      </c>
      <c r="TO37" s="50">
        <v>-0.13580217</v>
      </c>
      <c r="TP37" s="50">
        <v>1.0817280000000002E-2</v>
      </c>
      <c r="TQ37" s="50">
        <v>-0.12498488999999999</v>
      </c>
      <c r="TR37" s="50">
        <v>2.5042629999999996E-2</v>
      </c>
      <c r="TS37" s="50">
        <v>-1.0562700000000001E-2</v>
      </c>
      <c r="TT37" s="50">
        <v>1.4479929999999995E-2</v>
      </c>
      <c r="TU37" s="50">
        <v>9.8341700000000032E-3</v>
      </c>
      <c r="TV37" s="50">
        <v>2.2657400000000001E-2</v>
      </c>
      <c r="TW37" s="50">
        <v>3.2491570000000004E-2</v>
      </c>
      <c r="TX37" s="50">
        <v>1.3533610000000001E-2</v>
      </c>
      <c r="TY37" s="50">
        <v>9.47437E-2</v>
      </c>
      <c r="TZ37" s="50">
        <v>0.10827731</v>
      </c>
      <c r="UA37" s="50">
        <v>1.4573439999999993E-2</v>
      </c>
      <c r="UB37" s="50">
        <v>-1.4620799999999897E-3</v>
      </c>
      <c r="UC37" s="50">
        <v>1.3111360000000002E-2</v>
      </c>
      <c r="UD37" s="50">
        <v>2.9430459999999992E-2</v>
      </c>
      <c r="UE37" s="50">
        <v>-6.3198400000000002E-2</v>
      </c>
      <c r="UF37" s="50">
        <v>-3.376794000000001E-2</v>
      </c>
      <c r="UG37" s="50">
        <v>1.3876020000000001E-2</v>
      </c>
      <c r="UH37" s="50"/>
      <c r="UI37" s="50">
        <v>1.3876020000000001E-2</v>
      </c>
      <c r="UJ37" s="50">
        <f t="shared" si="45"/>
        <v>0.25731960999999998</v>
      </c>
      <c r="UK37" s="50">
        <f t="shared" si="15"/>
        <v>7.4734000000000009E-2</v>
      </c>
      <c r="UL37" s="50">
        <f t="shared" si="16"/>
        <v>0.33205361</v>
      </c>
      <c r="UM37" s="50">
        <v>1.3540450000000002E-2</v>
      </c>
      <c r="UN37" s="50"/>
      <c r="UO37" s="50">
        <v>1.3540450000000002E-2</v>
      </c>
      <c r="UP37" s="50">
        <v>0.10942716000000001</v>
      </c>
      <c r="UQ37" s="50">
        <v>1.3787199999999999E-2</v>
      </c>
      <c r="UR37" s="50">
        <v>0.12321436000000001</v>
      </c>
      <c r="US37" s="50">
        <v>-7.701674E-2</v>
      </c>
      <c r="UT37" s="50">
        <v>1.1585930000000001E-2</v>
      </c>
      <c r="UU37" s="50">
        <v>-6.5430809999999992E-2</v>
      </c>
      <c r="UV37" s="50">
        <v>3.1322100000000033E-3</v>
      </c>
      <c r="UW37" s="50">
        <v>2.990172E-2</v>
      </c>
      <c r="UX37" s="50">
        <v>3.3033930000000003E-2</v>
      </c>
      <c r="UY37" s="50"/>
      <c r="UZ37" s="50"/>
      <c r="VA37" s="50"/>
      <c r="VB37" s="50"/>
      <c r="VC37" s="50"/>
      <c r="VD37" s="50"/>
      <c r="VE37" s="50"/>
      <c r="VF37" s="50"/>
      <c r="VG37" s="50"/>
      <c r="VH37" s="50"/>
      <c r="VI37" s="50"/>
      <c r="VJ37" s="50"/>
      <c r="VK37" s="50"/>
      <c r="VL37" s="50"/>
      <c r="VM37" s="50"/>
      <c r="VN37" s="50"/>
      <c r="VO37" s="50"/>
      <c r="VP37" s="50"/>
      <c r="VQ37" s="50"/>
      <c r="VR37" s="50"/>
      <c r="VS37" s="50"/>
      <c r="VT37" s="50"/>
      <c r="VU37" s="50"/>
      <c r="VV37" s="50"/>
      <c r="VW37" s="276">
        <f t="shared" si="57"/>
        <v>0.148978</v>
      </c>
      <c r="VX37" s="292">
        <f t="shared" si="58"/>
        <v>2.1739000000000001E-2</v>
      </c>
      <c r="VY37" s="292">
        <f t="shared" si="59"/>
        <v>0.17071600000000001</v>
      </c>
      <c r="VZ37" s="276">
        <f t="shared" si="60"/>
        <v>4.9083000000000002E-2</v>
      </c>
      <c r="WA37" s="292">
        <f t="shared" si="61"/>
        <v>5.5274999999999998E-2</v>
      </c>
      <c r="WB37" s="292">
        <f t="shared" si="62"/>
        <v>0.10435800000000001</v>
      </c>
      <c r="WC37" s="277">
        <f t="shared" si="63"/>
        <v>-6.6358E-2</v>
      </c>
      <c r="WD37" s="277">
        <f t="shared" si="87"/>
        <v>-38.87040464865624</v>
      </c>
    </row>
    <row r="38" spans="1:602" s="12" customFormat="1" ht="20.5">
      <c r="A38" s="124" t="s">
        <v>111</v>
      </c>
      <c r="B38" s="12" t="s">
        <v>112</v>
      </c>
      <c r="C38" s="124" t="s">
        <v>113</v>
      </c>
      <c r="D38" s="255">
        <v>652.85434488136093</v>
      </c>
      <c r="E38" s="124">
        <v>607.65406713678351</v>
      </c>
      <c r="F38" s="124">
        <v>749.0775265934742</v>
      </c>
      <c r="G38" s="124">
        <v>851.62689455381587</v>
      </c>
      <c r="H38" s="124">
        <v>38.535341290032498</v>
      </c>
      <c r="I38" s="124">
        <v>77.241799989755322</v>
      </c>
      <c r="J38" s="124">
        <v>38.215950677571556</v>
      </c>
      <c r="K38" s="124">
        <v>33.696751868230685</v>
      </c>
      <c r="L38" s="124">
        <v>87.503841753888707</v>
      </c>
      <c r="M38" s="124">
        <v>39.289204386998371</v>
      </c>
      <c r="N38" s="124">
        <v>10.744651424863831</v>
      </c>
      <c r="O38" s="124">
        <v>343.79435945156825</v>
      </c>
      <c r="P38" s="124">
        <v>69.539033642381099</v>
      </c>
      <c r="Q38" s="124">
        <v>67.80706711970906</v>
      </c>
      <c r="R38" s="124">
        <v>66.871174609137114</v>
      </c>
      <c r="S38" s="124">
        <v>68.259726751697485</v>
      </c>
      <c r="T38" s="124">
        <v>0</v>
      </c>
      <c r="U38" s="124">
        <v>941.49890296583396</v>
      </c>
      <c r="V38" s="124">
        <v>941.49890296583396</v>
      </c>
      <c r="W38" s="124">
        <v>941.49890296583408</v>
      </c>
      <c r="X38" s="124">
        <v>47.765647321301529</v>
      </c>
      <c r="Y38" s="124">
        <v>50.560408022720416</v>
      </c>
      <c r="Z38" s="124">
        <v>60.039631248541554</v>
      </c>
      <c r="AA38" s="124">
        <v>62.616948679859533</v>
      </c>
      <c r="AB38" s="124">
        <v>76.246614987962516</v>
      </c>
      <c r="AC38" s="124">
        <v>82.961188325621379</v>
      </c>
      <c r="AD38" s="124">
        <v>138.52078104279428</v>
      </c>
      <c r="AE38" s="124">
        <v>271.90514425074417</v>
      </c>
      <c r="AF38" s="124">
        <v>102.1777636439178</v>
      </c>
      <c r="AG38" s="124">
        <v>68.05022310629991</v>
      </c>
      <c r="AH38" s="124">
        <v>76.44741634936625</v>
      </c>
      <c r="AI38" s="124">
        <v>157.79180681954003</v>
      </c>
      <c r="AJ38" s="124">
        <v>0</v>
      </c>
      <c r="AK38" s="124">
        <f>AL38</f>
        <v>1195.0835737986692</v>
      </c>
      <c r="AL38" s="124">
        <v>1195.0835737986692</v>
      </c>
      <c r="AM38" s="124">
        <v>1195.0834315114882</v>
      </c>
      <c r="AN38" s="124">
        <v>43.900785994388194</v>
      </c>
      <c r="AO38" s="124">
        <v>61.036606223072155</v>
      </c>
      <c r="AP38" s="124">
        <v>180.30265479422428</v>
      </c>
      <c r="AQ38" s="124">
        <v>113.15222167204512</v>
      </c>
      <c r="AR38" s="124">
        <v>102.2350641146038</v>
      </c>
      <c r="AS38" s="124">
        <v>104.69245052674714</v>
      </c>
      <c r="AT38" s="124">
        <v>70.352304483184497</v>
      </c>
      <c r="AU38" s="124">
        <v>105.21918059658169</v>
      </c>
      <c r="AV38" s="124">
        <v>102.75573986488409</v>
      </c>
      <c r="AW38" s="124">
        <v>128.76623923597475</v>
      </c>
      <c r="AX38" s="124">
        <v>24.770914792744492</v>
      </c>
      <c r="AY38" s="124">
        <v>59.436828760223335</v>
      </c>
      <c r="AZ38" s="124">
        <v>0</v>
      </c>
      <c r="BA38" s="124">
        <v>1096.6209910586733</v>
      </c>
      <c r="BB38" s="124">
        <v>1096.6209910586733</v>
      </c>
      <c r="BC38" s="255">
        <f t="shared" si="21"/>
        <v>0</v>
      </c>
      <c r="BD38" s="255">
        <v>1096.7765137933195</v>
      </c>
      <c r="BE38" s="255">
        <v>1096.7765137933195</v>
      </c>
      <c r="BF38" s="90"/>
      <c r="BG38" s="123">
        <v>52.539076000000001</v>
      </c>
      <c r="BH38" s="123">
        <f>BF38+BG38</f>
        <v>52.539076000000001</v>
      </c>
      <c r="BI38" s="255"/>
      <c r="BJ38" s="255">
        <v>159.88239999999999</v>
      </c>
      <c r="BK38" s="123">
        <f>BI38+BJ38</f>
        <v>159.88239999999999</v>
      </c>
      <c r="BL38" s="123"/>
      <c r="BM38" s="123">
        <v>65.008189999999999</v>
      </c>
      <c r="BN38" s="123">
        <f>BL38+BM38</f>
        <v>65.008189999999999</v>
      </c>
      <c r="BO38" s="123"/>
      <c r="BP38" s="123">
        <v>59.027709999999999</v>
      </c>
      <c r="BQ38" s="123">
        <f>BO38+BP38</f>
        <v>59.027709999999999</v>
      </c>
      <c r="BR38" s="123"/>
      <c r="BS38" s="123">
        <v>11.598884999999999</v>
      </c>
      <c r="BT38" s="123">
        <f>BR38+BS38</f>
        <v>11.598884999999999</v>
      </c>
      <c r="BU38" s="123"/>
      <c r="BV38" s="123">
        <v>312.48120899999998</v>
      </c>
      <c r="BW38" s="123">
        <f>BU38+BV38</f>
        <v>312.48120899999998</v>
      </c>
      <c r="BX38" s="123"/>
      <c r="BY38" s="123">
        <v>65.853059999999999</v>
      </c>
      <c r="BZ38" s="123">
        <f>BX38+BY38</f>
        <v>65.853059999999999</v>
      </c>
      <c r="CA38" s="123"/>
      <c r="CB38" s="123">
        <v>51.336767000000002</v>
      </c>
      <c r="CC38" s="123">
        <f>CA38+CB38</f>
        <v>51.336767000000002</v>
      </c>
      <c r="CD38" s="123"/>
      <c r="CE38" s="123">
        <v>68.046778000000003</v>
      </c>
      <c r="CF38" s="123">
        <f>CD38+CE38</f>
        <v>68.046778000000003</v>
      </c>
      <c r="CG38" s="123"/>
      <c r="CH38" s="123">
        <v>92.580141999999995</v>
      </c>
      <c r="CI38" s="123">
        <f>CG38+CH38</f>
        <v>92.580141999999995</v>
      </c>
      <c r="CJ38" s="255"/>
      <c r="CK38" s="255">
        <v>16.440491000000002</v>
      </c>
      <c r="CL38" s="123">
        <f>CJ38+CK38</f>
        <v>16.440491000000002</v>
      </c>
      <c r="CM38" s="124"/>
      <c r="CN38" s="255">
        <v>104.20881300000001</v>
      </c>
      <c r="CO38" s="123">
        <f>CM38+CN38</f>
        <v>104.20881300000001</v>
      </c>
      <c r="CP38" s="123">
        <f t="shared" si="24"/>
        <v>0</v>
      </c>
      <c r="CQ38" s="123">
        <f t="shared" si="25"/>
        <v>1059.0035210000001</v>
      </c>
      <c r="CR38" s="123">
        <f t="shared" si="26"/>
        <v>1059.0035210000001</v>
      </c>
      <c r="CS38" s="255">
        <f>CU38-CT38</f>
        <v>0</v>
      </c>
      <c r="CT38" s="255">
        <v>1059.1598690000001</v>
      </c>
      <c r="CU38" s="255">
        <v>1059.1598690000001</v>
      </c>
      <c r="CV38" s="124"/>
      <c r="CW38" s="255">
        <v>79.230335999999994</v>
      </c>
      <c r="CX38" s="123">
        <f>CV38+CW38</f>
        <v>79.230335999999994</v>
      </c>
      <c r="CY38" s="124">
        <v>0</v>
      </c>
      <c r="CZ38" s="124">
        <v>106.744567</v>
      </c>
      <c r="DA38" s="123">
        <v>106.744567</v>
      </c>
      <c r="DB38" s="124">
        <v>0</v>
      </c>
      <c r="DC38" s="124">
        <v>176.04497900000001</v>
      </c>
      <c r="DD38" s="123">
        <v>176.04497900000001</v>
      </c>
      <c r="DE38" s="124">
        <v>0</v>
      </c>
      <c r="DF38" s="124">
        <v>176.37609800000001</v>
      </c>
      <c r="DG38" s="123">
        <v>176.37609800000001</v>
      </c>
      <c r="DH38" s="124">
        <v>0</v>
      </c>
      <c r="DI38" s="124">
        <v>67.023489999999995</v>
      </c>
      <c r="DJ38" s="123">
        <v>67.023489999999995</v>
      </c>
      <c r="DK38" s="124">
        <v>0</v>
      </c>
      <c r="DL38" s="124">
        <v>113.605942</v>
      </c>
      <c r="DM38" s="123">
        <v>113.605942</v>
      </c>
      <c r="DN38" s="124">
        <v>0</v>
      </c>
      <c r="DO38" s="124">
        <v>6.7006759999999996</v>
      </c>
      <c r="DP38" s="123">
        <v>6.7006759999999996</v>
      </c>
      <c r="DQ38" s="124">
        <v>0</v>
      </c>
      <c r="DR38" s="124">
        <v>132.597532</v>
      </c>
      <c r="DS38" s="123">
        <v>132.597532</v>
      </c>
      <c r="DT38" s="124">
        <v>0</v>
      </c>
      <c r="DU38" s="124">
        <v>5.4044569999999998</v>
      </c>
      <c r="DV38" s="123">
        <v>5.4044569999999998</v>
      </c>
      <c r="DW38" s="124">
        <v>0</v>
      </c>
      <c r="DX38" s="124">
        <v>83.383090999999993</v>
      </c>
      <c r="DY38" s="123">
        <v>83.383090999999993</v>
      </c>
      <c r="DZ38" s="124">
        <v>0</v>
      </c>
      <c r="EA38" s="124">
        <v>4.8650349999999998</v>
      </c>
      <c r="EB38" s="123">
        <v>4.8650349999999998</v>
      </c>
      <c r="EC38" s="124">
        <v>0</v>
      </c>
      <c r="ED38" s="124">
        <v>39.766821999999998</v>
      </c>
      <c r="EE38" s="123">
        <v>39.766821999999998</v>
      </c>
      <c r="EF38" s="123">
        <f t="shared" si="27"/>
        <v>0</v>
      </c>
      <c r="EG38" s="123">
        <f t="shared" si="28"/>
        <v>991.74302500000022</v>
      </c>
      <c r="EH38" s="123">
        <f t="shared" si="29"/>
        <v>991.74302500000022</v>
      </c>
      <c r="EI38" s="123">
        <f>EK38-EJ38</f>
        <v>0</v>
      </c>
      <c r="EJ38" s="123">
        <v>991.74302500000022</v>
      </c>
      <c r="EK38" s="123">
        <v>991.74302500000022</v>
      </c>
      <c r="EL38" s="123">
        <v>0</v>
      </c>
      <c r="EM38" s="123">
        <v>77.705972000000003</v>
      </c>
      <c r="EN38" s="123">
        <v>77.705972000000003</v>
      </c>
      <c r="EO38" s="123">
        <v>0</v>
      </c>
      <c r="EP38" s="123">
        <v>205.65264400000001</v>
      </c>
      <c r="EQ38" s="123">
        <v>205.65264400000001</v>
      </c>
      <c r="ER38" s="123">
        <v>0</v>
      </c>
      <c r="ES38" s="123">
        <v>38.136318000000003</v>
      </c>
      <c r="ET38" s="123">
        <v>38.136318000000003</v>
      </c>
      <c r="EU38" s="123">
        <v>0</v>
      </c>
      <c r="EV38" s="123">
        <v>51.888779</v>
      </c>
      <c r="EW38" s="123">
        <v>51.888779</v>
      </c>
      <c r="EX38" s="123">
        <v>0</v>
      </c>
      <c r="EY38" s="123">
        <v>55.325988000000002</v>
      </c>
      <c r="EZ38" s="123">
        <v>55.325988000000002</v>
      </c>
      <c r="FA38" s="123">
        <v>0</v>
      </c>
      <c r="FB38" s="123">
        <v>70.484172000000001</v>
      </c>
      <c r="FC38" s="123">
        <v>70.484172000000001</v>
      </c>
      <c r="FD38" s="123">
        <v>0</v>
      </c>
      <c r="FE38" s="123">
        <v>7.7802619999999996</v>
      </c>
      <c r="FF38" s="123">
        <v>7.7802619999999996</v>
      </c>
      <c r="FG38" s="123">
        <v>0</v>
      </c>
      <c r="FH38" s="123">
        <v>40.389812999999997</v>
      </c>
      <c r="FI38" s="123">
        <v>40.389812999999997</v>
      </c>
      <c r="FJ38" s="123">
        <v>0</v>
      </c>
      <c r="FK38" s="123">
        <v>7.4320360000000001</v>
      </c>
      <c r="FL38" s="123">
        <v>7.4320360000000001</v>
      </c>
      <c r="FM38" s="123">
        <v>0</v>
      </c>
      <c r="FN38" s="123">
        <v>48.853468999999997</v>
      </c>
      <c r="FO38" s="123">
        <v>48.853468999999997</v>
      </c>
      <c r="FP38" s="123">
        <v>0</v>
      </c>
      <c r="FQ38" s="123">
        <v>37.389197000000003</v>
      </c>
      <c r="FR38" s="123">
        <v>37.389197000000003</v>
      </c>
      <c r="FS38" s="123">
        <v>0</v>
      </c>
      <c r="FT38" s="123">
        <v>102.094453</v>
      </c>
      <c r="FU38" s="123">
        <v>102.094453</v>
      </c>
      <c r="FV38" s="123">
        <f t="shared" si="30"/>
        <v>0</v>
      </c>
      <c r="FW38" s="123">
        <f t="shared" si="31"/>
        <v>743.13310300000001</v>
      </c>
      <c r="FX38" s="123">
        <f t="shared" si="32"/>
        <v>743.13310300000001</v>
      </c>
      <c r="FY38" s="123">
        <f>GA38-FZ38</f>
        <v>0</v>
      </c>
      <c r="FZ38" s="123">
        <v>743.13310300000001</v>
      </c>
      <c r="GA38" s="123">
        <v>743.13310300000001</v>
      </c>
      <c r="GB38" s="123">
        <v>0</v>
      </c>
      <c r="GC38" s="123">
        <v>78.530086999999995</v>
      </c>
      <c r="GD38" s="123">
        <v>78.530086999999995</v>
      </c>
      <c r="GE38" s="123">
        <v>0</v>
      </c>
      <c r="GF38" s="123">
        <v>161.21945500000001</v>
      </c>
      <c r="GG38" s="123">
        <v>161.21945500000001</v>
      </c>
      <c r="GH38" s="123">
        <v>0</v>
      </c>
      <c r="GI38" s="123">
        <v>41.729730000000004</v>
      </c>
      <c r="GJ38" s="123">
        <v>41.729730000000004</v>
      </c>
      <c r="GK38" s="123">
        <v>0</v>
      </c>
      <c r="GL38" s="123">
        <v>88.669062999999994</v>
      </c>
      <c r="GM38" s="123">
        <v>88.669062999999994</v>
      </c>
      <c r="GN38" s="123">
        <v>0</v>
      </c>
      <c r="GO38" s="123">
        <v>8.3103459999999991</v>
      </c>
      <c r="GP38" s="123">
        <v>8.3103459999999991</v>
      </c>
      <c r="GQ38" s="123">
        <v>0</v>
      </c>
      <c r="GR38" s="123">
        <v>86.375899000000004</v>
      </c>
      <c r="GS38" s="123">
        <v>86.375899000000004</v>
      </c>
      <c r="GT38" s="123">
        <v>0</v>
      </c>
      <c r="GU38" s="123">
        <v>43.094704999999998</v>
      </c>
      <c r="GV38" s="123">
        <v>43.094704999999998</v>
      </c>
      <c r="GW38" s="123">
        <v>0</v>
      </c>
      <c r="GX38" s="123">
        <v>29.656274</v>
      </c>
      <c r="GY38" s="123">
        <v>29.656274</v>
      </c>
      <c r="GZ38" s="123">
        <v>0</v>
      </c>
      <c r="HA38" s="123">
        <v>8.3623740000000009</v>
      </c>
      <c r="HB38" s="123">
        <v>8.3623740000000009</v>
      </c>
      <c r="HC38" s="123">
        <v>0</v>
      </c>
      <c r="HD38" s="123">
        <v>65.870260999999999</v>
      </c>
      <c r="HE38" s="123">
        <v>65.870260999999999</v>
      </c>
      <c r="HF38" s="123">
        <v>0</v>
      </c>
      <c r="HG38" s="123">
        <v>7.2179060000000002</v>
      </c>
      <c r="HH38" s="123">
        <v>7.2179060000000002</v>
      </c>
      <c r="HI38" s="123">
        <v>0</v>
      </c>
      <c r="HJ38" s="123">
        <v>92.219633999999999</v>
      </c>
      <c r="HK38" s="123">
        <v>92.219633999999999</v>
      </c>
      <c r="HL38" s="123">
        <f t="shared" si="33"/>
        <v>0</v>
      </c>
      <c r="HM38" s="123">
        <f t="shared" si="34"/>
        <v>711.25573400000007</v>
      </c>
      <c r="HN38" s="123">
        <f t="shared" si="35"/>
        <v>711.25573400000007</v>
      </c>
      <c r="HO38" s="123"/>
      <c r="HP38" s="123">
        <v>711.25373400000001</v>
      </c>
      <c r="HQ38" s="123">
        <v>711.25573399999996</v>
      </c>
      <c r="HR38" s="123">
        <v>0</v>
      </c>
      <c r="HS38" s="123">
        <v>110.902259</v>
      </c>
      <c r="HT38" s="123">
        <v>110.902259</v>
      </c>
      <c r="HU38" s="123">
        <v>0</v>
      </c>
      <c r="HV38" s="123">
        <v>218.27381500000001</v>
      </c>
      <c r="HW38" s="123">
        <v>218.27381500000001</v>
      </c>
      <c r="HX38" s="123">
        <v>0</v>
      </c>
      <c r="HY38" s="123">
        <v>36.894010999999999</v>
      </c>
      <c r="HZ38" s="123">
        <v>36.894010999999999</v>
      </c>
      <c r="IA38" s="123">
        <v>0</v>
      </c>
      <c r="IB38" s="123">
        <v>103.88671343999999</v>
      </c>
      <c r="IC38" s="123">
        <v>103.88671343999999</v>
      </c>
      <c r="ID38" s="123">
        <v>0</v>
      </c>
      <c r="IE38" s="123">
        <v>67.223596000000001</v>
      </c>
      <c r="IF38" s="123">
        <v>67.223596000000001</v>
      </c>
      <c r="IG38" s="123">
        <v>0</v>
      </c>
      <c r="IH38" s="123">
        <v>34.484251</v>
      </c>
      <c r="II38" s="123">
        <v>34.484251</v>
      </c>
      <c r="IJ38" s="123">
        <v>0</v>
      </c>
      <c r="IK38" s="123">
        <v>252.11811599999999</v>
      </c>
      <c r="IL38" s="123">
        <v>252.11811599999999</v>
      </c>
      <c r="IM38" s="123">
        <v>0</v>
      </c>
      <c r="IN38" s="123">
        <v>80.157460999999998</v>
      </c>
      <c r="IO38" s="123">
        <v>80.157460999999998</v>
      </c>
      <c r="IP38" s="123">
        <v>0</v>
      </c>
      <c r="IQ38" s="123">
        <v>10.797954000000001</v>
      </c>
      <c r="IR38" s="123">
        <v>10.797954000000001</v>
      </c>
      <c r="IS38" s="123">
        <v>0</v>
      </c>
      <c r="IT38" s="123">
        <v>105.090172</v>
      </c>
      <c r="IU38" s="123">
        <v>105.090172</v>
      </c>
      <c r="IV38" s="123">
        <v>0</v>
      </c>
      <c r="IW38" s="123">
        <v>18.508120000000002</v>
      </c>
      <c r="IX38" s="123">
        <v>18.508120000000002</v>
      </c>
      <c r="IY38" s="123">
        <v>0</v>
      </c>
      <c r="IZ38" s="123">
        <v>71.012552999999997</v>
      </c>
      <c r="JA38" s="123">
        <v>71.012552999999997</v>
      </c>
      <c r="JB38" s="123">
        <f t="shared" si="36"/>
        <v>0</v>
      </c>
      <c r="JC38" s="123">
        <f t="shared" si="37"/>
        <v>1109.3490214399999</v>
      </c>
      <c r="JD38" s="123">
        <f t="shared" si="38"/>
        <v>1109.3490214399999</v>
      </c>
      <c r="JE38" s="123"/>
      <c r="JF38" s="123">
        <v>1109.349021</v>
      </c>
      <c r="JG38" s="123">
        <v>1109.349021</v>
      </c>
      <c r="JH38" s="123">
        <v>0</v>
      </c>
      <c r="JI38" s="123">
        <v>182.80866499999999</v>
      </c>
      <c r="JJ38" s="123">
        <v>182.80866499999999</v>
      </c>
      <c r="JK38" s="123">
        <v>0</v>
      </c>
      <c r="JL38" s="123">
        <v>256.56816900000001</v>
      </c>
      <c r="JM38" s="123">
        <v>256.56816900000001</v>
      </c>
      <c r="JN38" s="123">
        <v>0</v>
      </c>
      <c r="JO38" s="123">
        <v>22.606041640000001</v>
      </c>
      <c r="JP38" s="123">
        <v>22.606041640000001</v>
      </c>
      <c r="JQ38" s="123">
        <v>0</v>
      </c>
      <c r="JR38" s="123">
        <v>181.26781800000001</v>
      </c>
      <c r="JS38" s="123">
        <v>181.26781800000001</v>
      </c>
      <c r="JT38" s="123">
        <v>0</v>
      </c>
      <c r="JU38" s="123">
        <v>63.462678440000104</v>
      </c>
      <c r="JV38" s="123">
        <v>63.462678440000104</v>
      </c>
      <c r="JW38" s="123">
        <v>0</v>
      </c>
      <c r="JX38" s="123">
        <v>280.40073899999999</v>
      </c>
      <c r="JY38" s="123">
        <v>280.40073899999999</v>
      </c>
      <c r="JZ38" s="123">
        <v>0</v>
      </c>
      <c r="KA38" s="123">
        <v>29.96658</v>
      </c>
      <c r="KB38" s="123">
        <v>29.96658</v>
      </c>
      <c r="KC38" s="123">
        <v>0</v>
      </c>
      <c r="KD38" s="123">
        <v>-0.85268200000000005</v>
      </c>
      <c r="KE38" s="123">
        <v>-0.85268200000000005</v>
      </c>
      <c r="KF38" s="123">
        <v>0</v>
      </c>
      <c r="KG38" s="123">
        <v>-55.845728999999999</v>
      </c>
      <c r="KH38" s="123">
        <v>-55.845728999999999</v>
      </c>
      <c r="KI38" s="123">
        <v>0</v>
      </c>
      <c r="KJ38" s="123">
        <v>148.49263999999999</v>
      </c>
      <c r="KK38" s="123">
        <v>148.49263999999999</v>
      </c>
      <c r="KL38" s="123">
        <v>0</v>
      </c>
      <c r="KM38" s="123">
        <v>7.7170759999999996</v>
      </c>
      <c r="KN38" s="123">
        <v>7.7170759999999996</v>
      </c>
      <c r="KO38" s="123">
        <v>0</v>
      </c>
      <c r="KP38" s="123">
        <v>176.13562400000001</v>
      </c>
      <c r="KQ38" s="123">
        <v>176.13562400000001</v>
      </c>
      <c r="KR38" s="123">
        <f t="shared" si="48"/>
        <v>0</v>
      </c>
      <c r="KS38" s="123">
        <f t="shared" si="39"/>
        <v>1292.7276200800002</v>
      </c>
      <c r="KT38" s="123">
        <f t="shared" si="49"/>
        <v>1292.7276200800002</v>
      </c>
      <c r="KU38" s="123"/>
      <c r="KV38" s="255">
        <v>1291.999421</v>
      </c>
      <c r="KW38" s="255">
        <v>1291.999421</v>
      </c>
      <c r="KX38" s="123">
        <v>0</v>
      </c>
      <c r="KY38" s="123">
        <v>98.211620999999994</v>
      </c>
      <c r="KZ38" s="123">
        <v>98.211620999999994</v>
      </c>
      <c r="LA38" s="123">
        <v>0</v>
      </c>
      <c r="LB38" s="123">
        <v>205.954114</v>
      </c>
      <c r="LC38" s="123">
        <v>205.954114</v>
      </c>
      <c r="LD38" s="123">
        <v>0</v>
      </c>
      <c r="LE38" s="123">
        <v>94.669929999999994</v>
      </c>
      <c r="LF38" s="123">
        <v>94.669929999999994</v>
      </c>
      <c r="LG38" s="123">
        <v>0</v>
      </c>
      <c r="LH38" s="123">
        <v>224.73217299999999</v>
      </c>
      <c r="LI38" s="123">
        <v>224.73217299999999</v>
      </c>
      <c r="LJ38" s="256">
        <v>0</v>
      </c>
      <c r="LK38" s="256">
        <v>91.127951999999993</v>
      </c>
      <c r="LL38" s="256">
        <v>91.127951999999993</v>
      </c>
      <c r="LM38" s="123">
        <v>0</v>
      </c>
      <c r="LN38" s="123">
        <v>7.1165200000000004</v>
      </c>
      <c r="LO38" s="123">
        <v>7.1165200000000004</v>
      </c>
      <c r="LP38" s="123">
        <v>0</v>
      </c>
      <c r="LQ38" s="90">
        <v>275.28016600000001</v>
      </c>
      <c r="LR38" s="90">
        <v>275.28016600000001</v>
      </c>
      <c r="LS38" s="123">
        <v>0</v>
      </c>
      <c r="LT38" s="123">
        <v>31.082886999999999</v>
      </c>
      <c r="LU38" s="257">
        <v>31.082886999999999</v>
      </c>
      <c r="LV38" s="90">
        <v>0</v>
      </c>
      <c r="LW38" s="123">
        <v>2.1925870000000001</v>
      </c>
      <c r="LX38" s="123">
        <v>2.1925870000000001</v>
      </c>
      <c r="LY38" s="123">
        <v>0</v>
      </c>
      <c r="LZ38" s="90">
        <v>7.5991369999999998</v>
      </c>
      <c r="MA38" s="90">
        <v>7.5991369999999998</v>
      </c>
      <c r="MB38" s="123">
        <v>0</v>
      </c>
      <c r="MC38" s="123">
        <v>16.939146999999998</v>
      </c>
      <c r="MD38" s="123">
        <v>16.939146999999998</v>
      </c>
      <c r="ME38" s="123">
        <v>0</v>
      </c>
      <c r="MF38" s="123">
        <v>199.20186000000001</v>
      </c>
      <c r="MG38" s="123">
        <v>199.20186000000001</v>
      </c>
      <c r="MH38" s="123">
        <f t="shared" si="66"/>
        <v>0</v>
      </c>
      <c r="MI38" s="123">
        <f t="shared" si="50"/>
        <v>1254.1080940000002</v>
      </c>
      <c r="MJ38" s="123">
        <f t="shared" si="51"/>
        <v>1254.1080940000002</v>
      </c>
      <c r="MK38" s="123"/>
      <c r="ML38" s="123">
        <v>1280.2123859999999</v>
      </c>
      <c r="MM38" s="123">
        <v>1280.2123859999999</v>
      </c>
      <c r="MN38" s="123">
        <v>0</v>
      </c>
      <c r="MO38" s="90">
        <v>176.39534900000001</v>
      </c>
      <c r="MP38" s="90">
        <v>176.39534900000001</v>
      </c>
      <c r="MQ38" s="123">
        <v>0</v>
      </c>
      <c r="MR38" s="123">
        <v>241.33073400000001</v>
      </c>
      <c r="MS38" s="123">
        <v>241.33073400000001</v>
      </c>
      <c r="MT38" s="123">
        <v>0</v>
      </c>
      <c r="MU38" s="123">
        <v>20.200137000000002</v>
      </c>
      <c r="MV38" s="123">
        <v>20.200137000000002</v>
      </c>
      <c r="MW38" s="123">
        <v>0</v>
      </c>
      <c r="MX38" s="123">
        <v>176.497512</v>
      </c>
      <c r="MY38" s="123">
        <v>176.497512</v>
      </c>
      <c r="MZ38" s="123">
        <v>0</v>
      </c>
      <c r="NA38" s="123">
        <v>35.741833999999997</v>
      </c>
      <c r="NB38" s="123">
        <v>35.741833999999997</v>
      </c>
      <c r="NC38" s="123">
        <v>0</v>
      </c>
      <c r="ND38" s="123">
        <v>46.891216</v>
      </c>
      <c r="NE38" s="123">
        <v>46.891216</v>
      </c>
      <c r="NF38" s="123">
        <v>0</v>
      </c>
      <c r="NG38" s="123">
        <v>155.912047</v>
      </c>
      <c r="NH38" s="123">
        <v>155.912047</v>
      </c>
      <c r="NI38" s="123">
        <v>0</v>
      </c>
      <c r="NJ38" s="123">
        <v>40.996642999999999</v>
      </c>
      <c r="NK38" s="123">
        <v>40.996642999999999</v>
      </c>
      <c r="NL38" s="123">
        <v>0</v>
      </c>
      <c r="NM38" s="123">
        <v>243.131991</v>
      </c>
      <c r="NN38" s="123">
        <v>243.131991</v>
      </c>
      <c r="NO38" s="123">
        <v>0</v>
      </c>
      <c r="NP38" s="123">
        <v>13.616704</v>
      </c>
      <c r="NQ38" s="123">
        <v>13.616704</v>
      </c>
      <c r="NR38" s="123">
        <v>0</v>
      </c>
      <c r="NS38" s="123">
        <v>150.33431400000001</v>
      </c>
      <c r="NT38" s="123">
        <v>150.33431400000001</v>
      </c>
      <c r="NU38" s="123">
        <v>0</v>
      </c>
      <c r="NV38" s="123">
        <v>64.115904999999998</v>
      </c>
      <c r="NW38" s="123">
        <v>64.115904999999998</v>
      </c>
      <c r="NX38" s="123">
        <f t="shared" si="67"/>
        <v>0</v>
      </c>
      <c r="NY38" s="123">
        <f t="shared" si="40"/>
        <v>1365.1643859999999</v>
      </c>
      <c r="NZ38" s="123">
        <f t="shared" si="41"/>
        <v>1365.1643859999999</v>
      </c>
      <c r="OA38" s="123"/>
      <c r="OB38" s="123">
        <v>1345.8768869999999</v>
      </c>
      <c r="OC38" s="123">
        <v>1345.8768869999999</v>
      </c>
      <c r="OD38" s="123"/>
      <c r="OE38" s="123">
        <v>187.64610300000001</v>
      </c>
      <c r="OF38" s="123">
        <v>187.64610300000001</v>
      </c>
      <c r="OG38" s="123"/>
      <c r="OH38" s="123">
        <v>215.85375199999999</v>
      </c>
      <c r="OI38" s="123">
        <v>215.85375199999999</v>
      </c>
      <c r="OJ38" s="123"/>
      <c r="OK38" s="123">
        <v>23.380022</v>
      </c>
      <c r="OL38" s="123">
        <v>23.380022</v>
      </c>
      <c r="OM38" s="123"/>
      <c r="ON38" s="123">
        <v>168.70224400000001</v>
      </c>
      <c r="OO38" s="123">
        <v>168.70224400000001</v>
      </c>
      <c r="OP38" s="123"/>
      <c r="OQ38" s="123">
        <v>40.089143999999997</v>
      </c>
      <c r="OR38" s="123">
        <v>40.089143999999997</v>
      </c>
      <c r="OS38" s="123"/>
      <c r="OT38" s="123">
        <v>71.583980999999994</v>
      </c>
      <c r="OU38" s="123">
        <v>71.583980999999994</v>
      </c>
      <c r="OV38" s="123"/>
      <c r="OW38" s="123">
        <v>24.532612</v>
      </c>
      <c r="OX38" s="123">
        <v>24.532612</v>
      </c>
      <c r="OY38" s="123"/>
      <c r="OZ38" s="258">
        <v>145.63381200000001</v>
      </c>
      <c r="PA38" s="258">
        <v>145.63381200000001</v>
      </c>
      <c r="PB38" s="123"/>
      <c r="PC38" s="123">
        <v>8.8747150000000001</v>
      </c>
      <c r="PD38" s="123">
        <v>8.8747150000000001</v>
      </c>
      <c r="PE38" s="123"/>
      <c r="PF38" s="123">
        <v>214.845226</v>
      </c>
      <c r="PG38" s="123">
        <v>214.845226</v>
      </c>
      <c r="PH38" s="123"/>
      <c r="PI38" s="123">
        <v>133.23381699999999</v>
      </c>
      <c r="PJ38" s="123">
        <v>133.23381699999999</v>
      </c>
      <c r="PK38" s="123"/>
      <c r="PL38" s="123">
        <v>175.41178400000001</v>
      </c>
      <c r="PM38" s="123">
        <v>175.41178400000001</v>
      </c>
      <c r="PN38" s="123">
        <f t="shared" si="88"/>
        <v>0</v>
      </c>
      <c r="PO38" s="123">
        <f t="shared" si="42"/>
        <v>1409.7872120000002</v>
      </c>
      <c r="PP38" s="123">
        <f t="shared" si="43"/>
        <v>1409.7872120000002</v>
      </c>
      <c r="PQ38" s="123"/>
      <c r="PR38" s="123">
        <v>1435.5760130000001</v>
      </c>
      <c r="PS38" s="123">
        <v>1435.5760130000001</v>
      </c>
      <c r="PT38" s="123"/>
      <c r="PU38" s="123">
        <v>132.76813999999999</v>
      </c>
      <c r="PV38" s="123">
        <v>132.76813999999999</v>
      </c>
      <c r="PW38" s="123"/>
      <c r="PX38" s="123">
        <v>250.11256119999999</v>
      </c>
      <c r="PY38" s="123">
        <v>250.11256119999999</v>
      </c>
      <c r="PZ38" s="123"/>
      <c r="QA38" s="123">
        <v>6.3806883600000006</v>
      </c>
      <c r="QB38" s="123">
        <v>6.3806883600000006</v>
      </c>
      <c r="QC38" s="123"/>
      <c r="QD38" s="123">
        <v>209.13250747999999</v>
      </c>
      <c r="QE38" s="123">
        <v>209.13250747999999</v>
      </c>
      <c r="QF38" s="123"/>
      <c r="QG38" s="123">
        <v>95.120733700000002</v>
      </c>
      <c r="QH38" s="123">
        <v>95.120733700000002</v>
      </c>
      <c r="QI38" s="123"/>
      <c r="QJ38" s="123">
        <v>13.364331470000002</v>
      </c>
      <c r="QK38" s="123">
        <v>13.364331470000002</v>
      </c>
      <c r="QL38" s="123"/>
      <c r="QM38" s="123">
        <v>214.13208498</v>
      </c>
      <c r="QN38" s="123">
        <v>214.13208498</v>
      </c>
      <c r="QO38" s="123">
        <v>0</v>
      </c>
      <c r="QP38" s="123">
        <v>71.792452209999993</v>
      </c>
      <c r="QQ38" s="123">
        <v>71.792452209999993</v>
      </c>
      <c r="QR38" s="123"/>
      <c r="QS38" s="123">
        <v>45.51114656</v>
      </c>
      <c r="QT38" s="123">
        <v>45.51114656</v>
      </c>
      <c r="QU38" s="123">
        <v>0</v>
      </c>
      <c r="QV38" s="123">
        <v>13.223541970000001</v>
      </c>
      <c r="QW38" s="123">
        <v>13.223541970000001</v>
      </c>
      <c r="QX38" s="123">
        <v>0</v>
      </c>
      <c r="QY38" s="123">
        <v>211.05667548</v>
      </c>
      <c r="QZ38" s="123">
        <v>211.05667548</v>
      </c>
      <c r="RA38" s="123">
        <v>0</v>
      </c>
      <c r="RB38" s="123">
        <v>77.419053000000005</v>
      </c>
      <c r="RC38" s="123">
        <v>77.419053000000005</v>
      </c>
      <c r="RD38" s="123">
        <f t="shared" si="52"/>
        <v>0</v>
      </c>
      <c r="RE38" s="123">
        <f t="shared" si="53"/>
        <v>1340.0139164100001</v>
      </c>
      <c r="RF38" s="123">
        <f t="shared" si="54"/>
        <v>1340.0139164100001</v>
      </c>
      <c r="RG38" s="123"/>
      <c r="RH38" s="123">
        <v>1433.594153</v>
      </c>
      <c r="RI38" s="123">
        <v>1433.594153</v>
      </c>
      <c r="RJ38" s="123"/>
      <c r="RK38" s="123">
        <v>325.96236141000003</v>
      </c>
      <c r="RL38" s="123">
        <v>325.96236141000003</v>
      </c>
      <c r="RM38" s="123"/>
      <c r="RN38" s="123">
        <v>215.77481656</v>
      </c>
      <c r="RO38" s="123">
        <v>215.77481656</v>
      </c>
      <c r="RP38" s="123"/>
      <c r="RQ38" s="123">
        <v>139.64507771000001</v>
      </c>
      <c r="RR38" s="123">
        <v>139.64507771000001</v>
      </c>
      <c r="RS38" s="123"/>
      <c r="RT38" s="123">
        <v>184.15485662</v>
      </c>
      <c r="RU38" s="123">
        <v>184.15485662</v>
      </c>
      <c r="RV38" s="123">
        <v>0</v>
      </c>
      <c r="RW38" s="123">
        <v>377.44262768999999</v>
      </c>
      <c r="RX38" s="123">
        <v>377.44262768999999</v>
      </c>
      <c r="RY38" s="123">
        <v>0</v>
      </c>
      <c r="RZ38" s="123">
        <v>113.27972393</v>
      </c>
      <c r="SA38" s="123">
        <v>113.27972393</v>
      </c>
      <c r="SB38" s="123"/>
      <c r="SC38" s="123">
        <v>191.12041858000001</v>
      </c>
      <c r="SD38" s="123">
        <v>191.12041858000001</v>
      </c>
      <c r="SE38" s="123">
        <v>0</v>
      </c>
      <c r="SF38" s="123">
        <v>95.706622150000001</v>
      </c>
      <c r="SG38" s="123">
        <v>95.706622150000001</v>
      </c>
      <c r="SH38" s="123"/>
      <c r="SI38" s="123">
        <v>16.379506150000001</v>
      </c>
      <c r="SJ38" s="123">
        <v>16.379506150000001</v>
      </c>
      <c r="SK38" s="123"/>
      <c r="SL38" s="123">
        <v>6.6271269000000004</v>
      </c>
      <c r="SM38" s="123">
        <v>6.6271269000000004</v>
      </c>
      <c r="SN38" s="123"/>
      <c r="SO38" s="123">
        <v>18.480595609999998</v>
      </c>
      <c r="SP38" s="123">
        <v>18.480595609999998</v>
      </c>
      <c r="SQ38" s="123"/>
      <c r="SR38" s="123">
        <v>58.354765999999998</v>
      </c>
      <c r="SS38" s="123">
        <v>58.354765999999998</v>
      </c>
      <c r="ST38" s="123">
        <f t="shared" si="55"/>
        <v>0</v>
      </c>
      <c r="SU38" s="123">
        <f t="shared" si="65"/>
        <v>1742.9284993099998</v>
      </c>
      <c r="SV38" s="123">
        <f t="shared" si="56"/>
        <v>1742.9284993099998</v>
      </c>
      <c r="SW38" s="50">
        <f t="shared" si="44"/>
        <v>0</v>
      </c>
      <c r="SX38" s="123">
        <v>1777.2400130000001</v>
      </c>
      <c r="SY38" s="123">
        <v>1777.2400130000001</v>
      </c>
      <c r="SZ38" s="123"/>
      <c r="TA38" s="123">
        <v>118.15501148</v>
      </c>
      <c r="TB38" s="123">
        <v>118.15501148</v>
      </c>
      <c r="TC38" s="123">
        <v>0</v>
      </c>
      <c r="TD38" s="123">
        <v>265.89237809999997</v>
      </c>
      <c r="TE38" s="123">
        <v>265.89237809999997</v>
      </c>
      <c r="TF38" s="123"/>
      <c r="TG38" s="123">
        <v>79.345825930000004</v>
      </c>
      <c r="TH38" s="123">
        <v>79.345825930000004</v>
      </c>
      <c r="TI38" s="123"/>
      <c r="TJ38" s="123">
        <v>130.73876595000002</v>
      </c>
      <c r="TK38" s="123">
        <v>130.73876595000002</v>
      </c>
      <c r="TL38" s="123"/>
      <c r="TM38" s="123">
        <v>414.97182655</v>
      </c>
      <c r="TN38" s="123">
        <v>414.97182655</v>
      </c>
      <c r="TO38" s="50">
        <v>0</v>
      </c>
      <c r="TP38" s="123">
        <v>49.932535530000003</v>
      </c>
      <c r="TQ38" s="123">
        <v>49.932535530000003</v>
      </c>
      <c r="TR38" s="50">
        <v>0</v>
      </c>
      <c r="TS38" s="123">
        <v>2.6946130299999997</v>
      </c>
      <c r="TT38" s="123">
        <v>2.6946130299999997</v>
      </c>
      <c r="TU38" s="50">
        <v>0</v>
      </c>
      <c r="TV38" s="123">
        <v>185.49486858</v>
      </c>
      <c r="TW38" s="123">
        <v>185.49486858</v>
      </c>
      <c r="TX38" s="50">
        <v>0</v>
      </c>
      <c r="TY38" s="123">
        <v>9.2453717100000006</v>
      </c>
      <c r="TZ38" s="123">
        <v>9.2453717100000006</v>
      </c>
      <c r="UA38" s="50">
        <v>0</v>
      </c>
      <c r="UB38" s="123">
        <v>4.57306729</v>
      </c>
      <c r="UC38" s="123">
        <v>4.57306729</v>
      </c>
      <c r="UD38" s="50">
        <v>0</v>
      </c>
      <c r="UE38" s="123">
        <v>22.91850896</v>
      </c>
      <c r="UF38" s="123">
        <v>22.91850896</v>
      </c>
      <c r="UG38" s="123">
        <v>0</v>
      </c>
      <c r="UH38" s="123">
        <v>391.96807681999996</v>
      </c>
      <c r="UI38" s="123">
        <v>391.96807681999996</v>
      </c>
      <c r="UJ38" s="123">
        <f t="shared" si="45"/>
        <v>0</v>
      </c>
      <c r="UK38" s="123">
        <f t="shared" si="15"/>
        <v>1675.93084993</v>
      </c>
      <c r="UL38" s="123">
        <f t="shared" si="16"/>
        <v>1675.93084993</v>
      </c>
      <c r="UM38" s="50">
        <v>0</v>
      </c>
      <c r="UN38" s="123">
        <v>130.45638470999995</v>
      </c>
      <c r="UO38" s="123">
        <v>130.45638470999995</v>
      </c>
      <c r="UP38" s="50">
        <v>0</v>
      </c>
      <c r="UQ38" s="123">
        <v>738.66277309999998</v>
      </c>
      <c r="UR38" s="123">
        <v>738.66277309999998</v>
      </c>
      <c r="US38" s="50">
        <v>0</v>
      </c>
      <c r="UT38" s="123">
        <v>88.541498300000001</v>
      </c>
      <c r="UU38" s="123">
        <v>88.541498300000001</v>
      </c>
      <c r="UV38" s="123">
        <v>0</v>
      </c>
      <c r="UW38" s="123">
        <v>34.147433130000003</v>
      </c>
      <c r="UX38" s="123">
        <v>34.147433130000003</v>
      </c>
      <c r="UY38" s="123"/>
      <c r="UZ38" s="123"/>
      <c r="VA38" s="123"/>
      <c r="VB38" s="123"/>
      <c r="VC38" s="123"/>
      <c r="VD38" s="123"/>
      <c r="VE38" s="123"/>
      <c r="VF38" s="123"/>
      <c r="VG38" s="123"/>
      <c r="VH38" s="123"/>
      <c r="VI38" s="123"/>
      <c r="VJ38" s="123"/>
      <c r="VK38" s="123"/>
      <c r="VL38" s="123"/>
      <c r="VM38" s="123"/>
      <c r="VN38" s="123"/>
      <c r="VO38" s="123"/>
      <c r="VP38" s="123"/>
      <c r="VQ38" s="123"/>
      <c r="VR38" s="123"/>
      <c r="VS38" s="123"/>
      <c r="VT38" s="123"/>
      <c r="VU38" s="123"/>
      <c r="VV38" s="123"/>
      <c r="VW38" s="276">
        <f t="shared" si="57"/>
        <v>0</v>
      </c>
      <c r="VX38" s="292">
        <f t="shared" si="58"/>
        <v>594.131981</v>
      </c>
      <c r="VY38" s="292">
        <f t="shared" si="59"/>
        <v>594.131981</v>
      </c>
      <c r="VZ38" s="276">
        <f t="shared" si="60"/>
        <v>0</v>
      </c>
      <c r="WA38" s="292">
        <f t="shared" si="61"/>
        <v>991.808089</v>
      </c>
      <c r="WB38" s="292">
        <f t="shared" si="62"/>
        <v>991.808089</v>
      </c>
      <c r="WC38" s="293">
        <f t="shared" si="63"/>
        <v>397.676108</v>
      </c>
      <c r="WD38" s="293">
        <f t="shared" si="87"/>
        <v>66.933967656590426</v>
      </c>
    </row>
    <row r="39" spans="1:602" s="12" customFormat="1" ht="20.25" customHeight="1">
      <c r="A39" s="93"/>
      <c r="C39" s="9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90"/>
      <c r="BG39" s="90"/>
      <c r="BH39" s="126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77"/>
      <c r="CK39" s="77"/>
      <c r="CL39" s="44"/>
      <c r="CM39" s="77"/>
      <c r="CN39" s="77"/>
      <c r="CO39" s="44"/>
      <c r="CP39" s="50"/>
      <c r="CQ39" s="50"/>
      <c r="CR39" s="50"/>
      <c r="CS39" s="123"/>
      <c r="CT39" s="123"/>
      <c r="CU39" s="124"/>
      <c r="CV39" s="77"/>
      <c r="CW39" s="77"/>
      <c r="CX39" s="44"/>
      <c r="CY39" s="77"/>
      <c r="CZ39" s="77"/>
      <c r="DA39" s="44"/>
      <c r="DB39" s="77"/>
      <c r="DC39" s="77"/>
      <c r="DD39" s="44"/>
      <c r="DE39" s="77"/>
      <c r="DF39" s="77"/>
      <c r="DG39" s="44"/>
      <c r="DH39" s="77"/>
      <c r="DI39" s="77"/>
      <c r="DJ39" s="44"/>
      <c r="DK39" s="77"/>
      <c r="DL39" s="77"/>
      <c r="DM39" s="44"/>
      <c r="DN39" s="77"/>
      <c r="DO39" s="77"/>
      <c r="DP39" s="44"/>
      <c r="DQ39" s="77"/>
      <c r="DR39" s="77"/>
      <c r="DS39" s="44"/>
      <c r="DT39" s="77"/>
      <c r="DU39" s="77"/>
      <c r="DV39" s="44"/>
      <c r="DW39" s="77"/>
      <c r="DX39" s="77"/>
      <c r="DY39" s="44"/>
      <c r="DZ39" s="77"/>
      <c r="EA39" s="77"/>
      <c r="EB39" s="44"/>
      <c r="EC39" s="77"/>
      <c r="ED39" s="77"/>
      <c r="EE39" s="44"/>
      <c r="EF39" s="50">
        <f t="shared" si="27"/>
        <v>0</v>
      </c>
      <c r="EG39" s="50">
        <f t="shared" si="28"/>
        <v>0</v>
      </c>
      <c r="EH39" s="50">
        <f t="shared" si="29"/>
        <v>0</v>
      </c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>
        <f t="shared" si="30"/>
        <v>0</v>
      </c>
      <c r="FW39" s="50">
        <f t="shared" si="31"/>
        <v>0</v>
      </c>
      <c r="FX39" s="50">
        <f t="shared" si="32"/>
        <v>0</v>
      </c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0"/>
      <c r="GN39" s="50"/>
      <c r="GO39" s="50"/>
      <c r="GP39" s="50"/>
      <c r="GQ39" s="50"/>
      <c r="GR39" s="50"/>
      <c r="GS39" s="163"/>
      <c r="GT39" s="50"/>
      <c r="GU39" s="50"/>
      <c r="GV39" s="50"/>
      <c r="GW39" s="50"/>
      <c r="GX39" s="50"/>
      <c r="GY39" s="50"/>
      <c r="GZ39" s="50"/>
      <c r="HA39" s="50"/>
      <c r="HB39" s="50"/>
      <c r="HC39" s="50"/>
      <c r="HD39" s="50"/>
      <c r="HE39" s="50"/>
      <c r="HF39" s="50"/>
      <c r="HG39" s="50"/>
      <c r="HH39" s="50"/>
      <c r="HI39" s="50"/>
      <c r="HJ39" s="50"/>
      <c r="HK39" s="50"/>
      <c r="HL39" s="50">
        <f t="shared" si="33"/>
        <v>0</v>
      </c>
      <c r="HM39" s="50">
        <f t="shared" si="34"/>
        <v>0</v>
      </c>
      <c r="HN39" s="50">
        <f t="shared" si="35"/>
        <v>0</v>
      </c>
      <c r="HO39" s="50"/>
      <c r="HP39" s="50"/>
      <c r="HQ39" s="50"/>
      <c r="HR39" s="50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0"/>
      <c r="IG39" s="50"/>
      <c r="IH39" s="50"/>
      <c r="II39" s="50"/>
      <c r="IJ39" s="50"/>
      <c r="IK39" s="50"/>
      <c r="IL39" s="50"/>
      <c r="IM39" s="50"/>
      <c r="IN39" s="50"/>
      <c r="IO39" s="50"/>
      <c r="IP39" s="50"/>
      <c r="IQ39" s="50"/>
      <c r="IR39" s="50"/>
      <c r="IS39" s="50"/>
      <c r="IT39" s="50"/>
      <c r="IU39" s="50"/>
      <c r="IV39" s="50"/>
      <c r="IW39" s="50"/>
      <c r="IX39" s="50"/>
      <c r="IY39" s="50"/>
      <c r="IZ39" s="50"/>
      <c r="JA39" s="50"/>
      <c r="JB39" s="50">
        <f t="shared" si="36"/>
        <v>0</v>
      </c>
      <c r="JC39" s="50">
        <f t="shared" si="37"/>
        <v>0</v>
      </c>
      <c r="JD39" s="50">
        <f t="shared" si="38"/>
        <v>0</v>
      </c>
      <c r="JE39" s="50"/>
      <c r="JF39" s="50"/>
      <c r="JG39" s="50"/>
      <c r="JH39" s="50"/>
      <c r="JI39" s="50"/>
      <c r="JJ39" s="50"/>
      <c r="JK39" s="50"/>
      <c r="JL39" s="50"/>
      <c r="JM39" s="50"/>
      <c r="JN39" s="50"/>
      <c r="JO39" s="50"/>
      <c r="JP39" s="50"/>
      <c r="JQ39" s="50"/>
      <c r="JR39" s="50"/>
      <c r="JS39" s="50"/>
      <c r="JT39" s="50"/>
      <c r="JU39" s="50"/>
      <c r="JV39" s="50"/>
      <c r="JW39" s="50"/>
      <c r="JX39" s="50"/>
      <c r="JY39" s="50"/>
      <c r="JZ39" s="50"/>
      <c r="KA39" s="50"/>
      <c r="KB39" s="50"/>
      <c r="KC39" s="50"/>
      <c r="KD39" s="50"/>
      <c r="KE39" s="50"/>
      <c r="KF39" s="50"/>
      <c r="KG39" s="50"/>
      <c r="KH39" s="50"/>
      <c r="KI39" s="50"/>
      <c r="KJ39" s="50"/>
      <c r="KK39" s="50"/>
      <c r="KL39" s="50"/>
      <c r="KM39" s="50"/>
      <c r="KN39" s="50"/>
      <c r="KO39" s="50"/>
      <c r="KP39" s="50"/>
      <c r="KQ39" s="50"/>
      <c r="KR39" s="50">
        <f t="shared" si="48"/>
        <v>0</v>
      </c>
      <c r="KS39" s="50">
        <f t="shared" si="39"/>
        <v>0</v>
      </c>
      <c r="KT39" s="50">
        <f t="shared" si="49"/>
        <v>0</v>
      </c>
      <c r="KU39" s="50"/>
      <c r="KV39" s="50"/>
      <c r="KW39" s="50"/>
      <c r="KX39" s="50"/>
      <c r="KY39" s="50"/>
      <c r="KZ39" s="50"/>
      <c r="LA39" s="50"/>
      <c r="LB39" s="50"/>
      <c r="LC39" s="50"/>
      <c r="LD39" s="50"/>
      <c r="LF39" s="87"/>
      <c r="LG39" s="50"/>
      <c r="LH39" s="50"/>
      <c r="LI39" s="50"/>
      <c r="LJ39" s="50"/>
      <c r="LK39" s="50"/>
      <c r="LL39" s="50"/>
      <c r="LM39" s="50"/>
      <c r="LN39" s="50"/>
      <c r="LO39" s="50"/>
      <c r="LP39" s="44"/>
      <c r="LQ39" s="183"/>
      <c r="LR39" s="183"/>
      <c r="LS39" s="52"/>
      <c r="LT39" s="183"/>
      <c r="LU39" s="180"/>
      <c r="LV39" s="44"/>
      <c r="LW39" s="44"/>
      <c r="LX39" s="44"/>
      <c r="LY39" s="179"/>
      <c r="LZ39" s="179"/>
      <c r="MA39" s="179"/>
      <c r="MB39" s="184"/>
      <c r="MC39" s="179"/>
      <c r="ME39" s="44"/>
      <c r="MF39" s="44"/>
      <c r="MG39" s="44"/>
      <c r="MH39" s="50">
        <f t="shared" si="66"/>
        <v>0</v>
      </c>
      <c r="MI39" s="50">
        <f t="shared" si="50"/>
        <v>0</v>
      </c>
      <c r="MJ39" s="50">
        <f t="shared" si="51"/>
        <v>0</v>
      </c>
      <c r="MK39" s="50"/>
      <c r="ML39" s="50"/>
      <c r="MM39" s="50"/>
      <c r="MN39" s="179"/>
      <c r="MO39" s="179"/>
      <c r="MP39" s="44"/>
      <c r="MQ39" s="44"/>
      <c r="MR39" s="44"/>
      <c r="MS39" s="44"/>
      <c r="MT39" s="44"/>
      <c r="MU39" s="44"/>
      <c r="MV39" s="44"/>
      <c r="MW39" s="44"/>
      <c r="MX39" s="44"/>
      <c r="MY39" s="44"/>
      <c r="MZ39" s="183"/>
      <c r="NA39" s="183"/>
      <c r="NB39" s="183"/>
      <c r="NC39" s="44"/>
      <c r="ND39" s="44"/>
      <c r="NE39" s="44"/>
      <c r="NF39" s="44"/>
      <c r="NG39" s="44"/>
      <c r="NH39" s="44"/>
      <c r="NI39" s="44"/>
      <c r="NJ39" s="44"/>
      <c r="NK39" s="44"/>
      <c r="NL39" s="44"/>
      <c r="NM39" s="44"/>
      <c r="NN39" s="44"/>
      <c r="NO39" s="44"/>
      <c r="NP39" s="44"/>
      <c r="NQ39" s="44"/>
      <c r="NR39" s="44"/>
      <c r="NS39" s="44"/>
      <c r="NT39" s="44"/>
      <c r="NU39" s="44"/>
      <c r="NV39" s="44"/>
      <c r="NW39" s="44"/>
      <c r="NX39" s="50">
        <f t="shared" si="67"/>
        <v>0</v>
      </c>
      <c r="NY39" s="50">
        <f t="shared" si="40"/>
        <v>0</v>
      </c>
      <c r="NZ39" s="50">
        <f t="shared" si="41"/>
        <v>0</v>
      </c>
      <c r="OA39" s="50"/>
      <c r="OB39" s="50"/>
      <c r="OC39" s="50"/>
      <c r="OD39" s="44"/>
      <c r="OE39" s="44"/>
      <c r="OF39" s="44"/>
      <c r="OG39" s="50"/>
      <c r="OH39" s="44"/>
      <c r="OI39" s="44"/>
      <c r="OJ39" s="74"/>
      <c r="OK39" s="44"/>
      <c r="OL39" s="44"/>
      <c r="OM39" s="44"/>
      <c r="ON39" s="44"/>
      <c r="OO39" s="44"/>
      <c r="OP39" s="44"/>
      <c r="OQ39" s="44"/>
      <c r="OR39" s="44"/>
      <c r="OS39" s="44"/>
      <c r="OT39" s="44"/>
      <c r="OV39" s="44"/>
      <c r="OW39" s="44"/>
      <c r="OX39" s="44"/>
      <c r="OY39" s="44"/>
      <c r="OZ39" s="44"/>
      <c r="PA39" s="44"/>
      <c r="PB39" s="44"/>
      <c r="PC39" s="44"/>
      <c r="PD39" s="44"/>
      <c r="PE39" s="44"/>
      <c r="PF39" s="44"/>
      <c r="PG39" s="44"/>
      <c r="PH39" s="44"/>
      <c r="PI39" s="44"/>
      <c r="PJ39" s="44"/>
      <c r="PK39" s="44"/>
      <c r="PL39" s="44"/>
      <c r="PM39" s="44"/>
      <c r="PN39" s="50"/>
      <c r="PO39" s="50"/>
      <c r="PP39" s="50"/>
      <c r="PQ39" s="50"/>
      <c r="PR39" s="50"/>
      <c r="PS39" s="50"/>
      <c r="PT39" s="44"/>
      <c r="PU39" s="44"/>
      <c r="PV39" s="44"/>
      <c r="PW39" s="44"/>
      <c r="PX39" s="44"/>
      <c r="PY39" s="44"/>
      <c r="PZ39" s="44"/>
      <c r="QA39" s="44"/>
      <c r="QB39" s="44"/>
      <c r="QC39" s="44"/>
      <c r="QD39" s="44"/>
      <c r="QE39" s="44"/>
      <c r="QF39" s="44"/>
      <c r="QG39" s="44"/>
      <c r="QH39" s="44"/>
      <c r="QI39" s="50"/>
      <c r="QJ39" s="44"/>
      <c r="QK39" s="44"/>
      <c r="QL39" s="44"/>
      <c r="QM39" s="44"/>
      <c r="QN39" s="44"/>
      <c r="QO39" s="50"/>
      <c r="QP39" s="44"/>
      <c r="QQ39" s="44"/>
      <c r="QR39" s="44"/>
      <c r="QS39" s="44"/>
      <c r="QT39" s="44"/>
      <c r="QU39" s="50"/>
      <c r="QV39" s="44"/>
      <c r="QW39" s="44"/>
      <c r="QX39" s="50"/>
      <c r="QY39" s="44"/>
      <c r="QZ39" s="44"/>
      <c r="RA39" s="44"/>
      <c r="RB39" s="44"/>
      <c r="RC39" s="44"/>
      <c r="RD39" s="50"/>
      <c r="RE39" s="50"/>
      <c r="RF39" s="50"/>
      <c r="RG39" s="50"/>
      <c r="RH39" s="50"/>
      <c r="RI39" s="50"/>
      <c r="RJ39" s="50"/>
      <c r="RK39" s="50"/>
      <c r="RL39" s="50"/>
      <c r="RM39" s="50"/>
      <c r="RN39" s="50"/>
      <c r="RO39" s="50"/>
      <c r="RP39" s="50"/>
      <c r="RQ39" s="50"/>
      <c r="RR39" s="50"/>
      <c r="RS39" s="50"/>
      <c r="RT39" s="50"/>
      <c r="RU39" s="50"/>
      <c r="RV39" s="50"/>
      <c r="RW39" s="50"/>
      <c r="RX39" s="50"/>
      <c r="RY39" s="50"/>
      <c r="RZ39" s="50"/>
      <c r="SA39" s="50"/>
      <c r="SB39" s="50"/>
      <c r="SC39" s="50"/>
      <c r="SD39" s="50"/>
      <c r="SE39" s="50"/>
      <c r="SF39" s="50"/>
      <c r="SG39" s="50"/>
      <c r="SH39" s="50"/>
      <c r="SI39" s="50"/>
      <c r="SJ39" s="50"/>
      <c r="SK39" s="50"/>
      <c r="SL39" s="50"/>
      <c r="SM39" s="50"/>
      <c r="SN39" s="50"/>
      <c r="SO39" s="50"/>
      <c r="SP39" s="50"/>
      <c r="SQ39" s="50"/>
      <c r="SR39" s="50"/>
      <c r="SS39" s="50"/>
      <c r="ST39" s="50"/>
      <c r="SU39" s="50"/>
      <c r="SV39" s="50"/>
      <c r="SW39" s="50"/>
      <c r="SX39" s="50"/>
      <c r="SY39" s="50"/>
      <c r="SZ39" s="50"/>
      <c r="TA39" s="50"/>
      <c r="TB39" s="50"/>
      <c r="TC39" s="50"/>
      <c r="TD39" s="50"/>
      <c r="TE39" s="50"/>
      <c r="TF39" s="50"/>
      <c r="TG39" s="50"/>
      <c r="TH39" s="50"/>
      <c r="TI39" s="50"/>
      <c r="TJ39" s="50"/>
      <c r="TK39" s="50"/>
      <c r="TL39" s="50"/>
      <c r="TM39" s="50"/>
      <c r="TN39" s="50"/>
      <c r="TO39" s="50"/>
      <c r="TP39" s="50"/>
      <c r="TQ39" s="50"/>
      <c r="TR39" s="50"/>
      <c r="TS39" s="50"/>
      <c r="TT39" s="50"/>
      <c r="TU39" s="50"/>
      <c r="TV39" s="50"/>
      <c r="TW39" s="50"/>
      <c r="TX39" s="50"/>
      <c r="TY39" s="50"/>
      <c r="TZ39" s="50"/>
      <c r="UA39" s="50"/>
      <c r="UB39" s="50"/>
      <c r="UC39" s="50"/>
      <c r="UD39" s="50"/>
      <c r="UE39" s="50"/>
      <c r="UF39" s="50"/>
      <c r="UG39" s="50"/>
      <c r="UH39" s="50"/>
      <c r="UI39" s="50"/>
      <c r="UJ39" s="50"/>
      <c r="UK39" s="50"/>
      <c r="UL39" s="50"/>
      <c r="UM39" s="50"/>
      <c r="UN39" s="50"/>
      <c r="UO39" s="50"/>
      <c r="UP39" s="50"/>
      <c r="UQ39" s="50"/>
      <c r="UR39" s="50"/>
      <c r="US39" s="50">
        <v>0</v>
      </c>
      <c r="UT39" s="50"/>
      <c r="UU39" s="50"/>
      <c r="UV39" s="50">
        <v>0</v>
      </c>
      <c r="UW39" s="50"/>
      <c r="UX39" s="50"/>
      <c r="UY39" s="50"/>
      <c r="UZ39" s="50"/>
      <c r="VA39" s="50"/>
      <c r="VB39" s="50"/>
      <c r="VC39" s="50"/>
      <c r="VD39" s="50"/>
      <c r="VE39" s="50"/>
      <c r="VF39" s="50"/>
      <c r="VG39" s="50"/>
      <c r="VH39" s="50"/>
      <c r="VI39" s="50"/>
      <c r="VJ39" s="50"/>
      <c r="VK39" s="50"/>
      <c r="VL39" s="50"/>
      <c r="VM39" s="50"/>
      <c r="VN39" s="50"/>
      <c r="VO39" s="50"/>
      <c r="VP39" s="50"/>
      <c r="VQ39" s="50"/>
      <c r="VR39" s="50"/>
      <c r="VS39" s="50"/>
      <c r="VT39" s="50"/>
      <c r="VU39" s="50"/>
      <c r="VV39" s="50"/>
      <c r="VW39" s="276"/>
      <c r="VX39" s="292"/>
      <c r="VY39" s="292"/>
      <c r="VZ39" s="276"/>
      <c r="WA39" s="292"/>
      <c r="WB39" s="292"/>
      <c r="WC39" s="277"/>
      <c r="WD39" s="277"/>
    </row>
    <row r="40" spans="1:602" s="12" customFormat="1" ht="20">
      <c r="A40" s="37" t="s">
        <v>114</v>
      </c>
      <c r="C40" s="37" t="s">
        <v>115</v>
      </c>
      <c r="D40" s="41">
        <v>4802.8172947222838</v>
      </c>
      <c r="E40" s="37">
        <v>5545.2431687924382</v>
      </c>
      <c r="F40" s="37">
        <v>4713.4908509342577</v>
      </c>
      <c r="G40" s="37">
        <v>4551.4388222036305</v>
      </c>
      <c r="H40" s="37">
        <v>309.43463334016309</v>
      </c>
      <c r="I40" s="37">
        <v>359.27155111524689</v>
      </c>
      <c r="J40" s="37">
        <v>370.91964667247197</v>
      </c>
      <c r="K40" s="37">
        <v>339.90355921423327</v>
      </c>
      <c r="L40" s="37">
        <v>348.75383308859938</v>
      </c>
      <c r="M40" s="37">
        <v>363.93299618385782</v>
      </c>
      <c r="N40" s="37">
        <v>330.87961561118033</v>
      </c>
      <c r="O40" s="37">
        <v>310.60541724292978</v>
      </c>
      <c r="P40" s="37">
        <v>377.92685408734297</v>
      </c>
      <c r="Q40" s="37">
        <v>352.80830346725406</v>
      </c>
      <c r="R40" s="37">
        <v>426.71316402581664</v>
      </c>
      <c r="S40" s="37">
        <v>676.55676197062053</v>
      </c>
      <c r="T40" s="37">
        <v>3156.6719854753273</v>
      </c>
      <c r="U40" s="37">
        <v>1411.03435054439</v>
      </c>
      <c r="V40" s="37">
        <v>4567.7063360197171</v>
      </c>
      <c r="W40" s="37">
        <v>4567.7477262508464</v>
      </c>
      <c r="X40" s="37">
        <v>301.46184499519069</v>
      </c>
      <c r="Y40" s="37">
        <v>373.83513079037687</v>
      </c>
      <c r="Z40" s="37">
        <v>383.15402178985886</v>
      </c>
      <c r="AA40" s="37">
        <v>342.97112217631087</v>
      </c>
      <c r="AB40" s="37">
        <v>321.71861557418572</v>
      </c>
      <c r="AC40" s="37">
        <v>373.82241421505859</v>
      </c>
      <c r="AD40" s="37">
        <v>332.26132678527733</v>
      </c>
      <c r="AE40" s="37">
        <v>348.52648197790563</v>
      </c>
      <c r="AF40" s="37">
        <v>352.59678994428032</v>
      </c>
      <c r="AG40" s="37">
        <v>440.4181136561545</v>
      </c>
      <c r="AH40" s="37">
        <v>442.57830775009825</v>
      </c>
      <c r="AI40" s="37">
        <v>632.52913756893815</v>
      </c>
      <c r="AJ40" s="37">
        <v>3330.6514056835199</v>
      </c>
      <c r="AK40" s="37">
        <v>1315.2219034894499</v>
      </c>
      <c r="AL40" s="37">
        <v>4645.8733072236364</v>
      </c>
      <c r="AM40" s="37">
        <v>4646.0559160164139</v>
      </c>
      <c r="AN40" s="37">
        <v>327.27026454032699</v>
      </c>
      <c r="AO40" s="37">
        <v>401.56482562705958</v>
      </c>
      <c r="AP40" s="37">
        <v>395.68359536940596</v>
      </c>
      <c r="AQ40" s="37">
        <v>381.74414869579573</v>
      </c>
      <c r="AR40" s="37">
        <v>336.89904523878641</v>
      </c>
      <c r="AS40" s="37">
        <v>415.03939785487842</v>
      </c>
      <c r="AT40" s="37">
        <v>371.14442291165108</v>
      </c>
      <c r="AU40" s="37">
        <v>364.07204852277448</v>
      </c>
      <c r="AV40" s="37">
        <v>360.81046778333649</v>
      </c>
      <c r="AW40" s="37">
        <v>368.71188695568037</v>
      </c>
      <c r="AX40" s="37">
        <v>427.96970848202341</v>
      </c>
      <c r="AY40" s="37">
        <v>618.47065326890561</v>
      </c>
      <c r="AZ40" s="37">
        <v>3466.5821993187287</v>
      </c>
      <c r="BA40" s="37">
        <v>1302.7982659318961</v>
      </c>
      <c r="BB40" s="37">
        <v>4769.3804652506251</v>
      </c>
      <c r="BC40" s="41">
        <f t="shared" si="21"/>
        <v>3466.7337977586922</v>
      </c>
      <c r="BD40" s="41">
        <v>1302.7164728715261</v>
      </c>
      <c r="BE40" s="41">
        <v>4769.4502706302183</v>
      </c>
      <c r="BF40" s="38">
        <f>BF41+BF62+BF71</f>
        <v>299.77865042999997</v>
      </c>
      <c r="BG40" s="172">
        <f t="shared" ref="BG40:CI40" si="91">BG41+BG62+BG71</f>
        <v>79.574136799999991</v>
      </c>
      <c r="BH40" s="172">
        <f t="shared" si="91"/>
        <v>379.35278739999995</v>
      </c>
      <c r="BI40" s="38">
        <f t="shared" si="91"/>
        <v>346.36818588</v>
      </c>
      <c r="BJ40" s="172">
        <f t="shared" si="91"/>
        <v>98.701082140000011</v>
      </c>
      <c r="BK40" s="172">
        <f t="shared" si="91"/>
        <v>445.06926723000004</v>
      </c>
      <c r="BL40" s="38">
        <f t="shared" si="91"/>
        <v>330.99369881999996</v>
      </c>
      <c r="BM40" s="172">
        <f t="shared" si="91"/>
        <v>76.945031119999996</v>
      </c>
      <c r="BN40" s="172">
        <f t="shared" si="91"/>
        <v>407.93873073999998</v>
      </c>
      <c r="BO40" s="38">
        <f t="shared" si="91"/>
        <v>332.80904145000005</v>
      </c>
      <c r="BP40" s="172">
        <f t="shared" si="91"/>
        <v>94.70304569000001</v>
      </c>
      <c r="BQ40" s="172">
        <f t="shared" si="91"/>
        <v>427.51208747000004</v>
      </c>
      <c r="BR40" s="38">
        <f t="shared" si="91"/>
        <v>278.77510605999993</v>
      </c>
      <c r="BS40" s="172">
        <f t="shared" si="91"/>
        <v>73.906252300000006</v>
      </c>
      <c r="BT40" s="172">
        <f t="shared" si="91"/>
        <v>352.68135777000003</v>
      </c>
      <c r="BU40" s="38">
        <f t="shared" si="91"/>
        <v>350.92961936</v>
      </c>
      <c r="BV40" s="172">
        <f t="shared" si="91"/>
        <v>76.006368769999995</v>
      </c>
      <c r="BW40" s="172">
        <f t="shared" si="91"/>
        <v>426.93598931000008</v>
      </c>
      <c r="BX40" s="38">
        <f t="shared" si="91"/>
        <v>301.15087090999998</v>
      </c>
      <c r="BY40" s="172">
        <f t="shared" si="91"/>
        <v>102.54816995000002</v>
      </c>
      <c r="BZ40" s="172">
        <f t="shared" si="91"/>
        <v>403.69904085999997</v>
      </c>
      <c r="CA40" s="38">
        <f t="shared" si="91"/>
        <v>269.70050503000004</v>
      </c>
      <c r="CB40" s="172">
        <f t="shared" si="91"/>
        <v>97.359635480000009</v>
      </c>
      <c r="CC40" s="172">
        <f t="shared" si="91"/>
        <v>367.06014042999999</v>
      </c>
      <c r="CD40" s="38">
        <f t="shared" si="91"/>
        <v>291.89442956999994</v>
      </c>
      <c r="CE40" s="172">
        <f t="shared" si="91"/>
        <v>77.565665539999998</v>
      </c>
      <c r="CF40" s="172">
        <f t="shared" si="91"/>
        <v>369.46009511</v>
      </c>
      <c r="CG40" s="38">
        <f t="shared" si="91"/>
        <v>328.48186276999985</v>
      </c>
      <c r="CH40" s="172">
        <f t="shared" si="91"/>
        <v>135.21459468999998</v>
      </c>
      <c r="CI40" s="172">
        <f t="shared" si="91"/>
        <v>463.69645745999986</v>
      </c>
      <c r="CJ40" s="38">
        <f t="shared" ref="CJ40:CO40" si="92">CJ41+CJ62+CJ71</f>
        <v>323.10549017000005</v>
      </c>
      <c r="CK40" s="172">
        <f t="shared" si="92"/>
        <v>171.77215131</v>
      </c>
      <c r="CL40" s="172">
        <f t="shared" si="92"/>
        <v>494.87764147999997</v>
      </c>
      <c r="CM40" s="38">
        <f t="shared" si="92"/>
        <v>518.24230599000009</v>
      </c>
      <c r="CN40" s="172">
        <f t="shared" si="92"/>
        <v>287.66197584999992</v>
      </c>
      <c r="CO40" s="172">
        <f t="shared" si="92"/>
        <v>805.90428184000007</v>
      </c>
      <c r="CP40" s="172">
        <f t="shared" si="24"/>
        <v>3972.2297664399994</v>
      </c>
      <c r="CQ40" s="172">
        <f t="shared" si="25"/>
        <v>1371.95810964</v>
      </c>
      <c r="CR40" s="172">
        <f t="shared" si="26"/>
        <v>5344.1878771000002</v>
      </c>
      <c r="CS40" s="41">
        <f t="shared" ref="CS40:CS51" si="93">CU40-CT40</f>
        <v>3973.3123755000001</v>
      </c>
      <c r="CT40" s="41">
        <f>CT41+CT62+CT71</f>
        <v>1371.9588245</v>
      </c>
      <c r="CU40" s="41">
        <f>CU41+CU62+CU71</f>
        <v>5345.2712000000001</v>
      </c>
      <c r="CV40" s="38">
        <f>CV41+CV62+CV71</f>
        <v>337.41943922999997</v>
      </c>
      <c r="CW40" s="172">
        <f>CW41+CW62+CW71</f>
        <v>83.375510370000001</v>
      </c>
      <c r="CX40" s="172">
        <f>CX41+CX62+CX71</f>
        <v>420.79494959999994</v>
      </c>
      <c r="CY40" s="38">
        <v>368.14649998000004</v>
      </c>
      <c r="CZ40" s="172">
        <v>92.030223719999995</v>
      </c>
      <c r="DA40" s="172">
        <v>460.17672369999997</v>
      </c>
      <c r="DB40" s="38">
        <v>337.81373394000008</v>
      </c>
      <c r="DC40" s="172">
        <v>87.212446360000001</v>
      </c>
      <c r="DD40" s="172">
        <v>425.02618030000008</v>
      </c>
      <c r="DE40" s="38">
        <v>362.95981762999992</v>
      </c>
      <c r="DF40" s="172">
        <v>89.622851050000008</v>
      </c>
      <c r="DG40" s="172">
        <v>452.58266867999987</v>
      </c>
      <c r="DH40" s="38">
        <v>309.15028836999988</v>
      </c>
      <c r="DI40" s="172">
        <v>59.547397939999996</v>
      </c>
      <c r="DJ40" s="172">
        <v>368.69768630999994</v>
      </c>
      <c r="DK40" s="38">
        <v>390.74077163000004</v>
      </c>
      <c r="DL40" s="172">
        <v>95.491895459999995</v>
      </c>
      <c r="DM40" s="172">
        <v>486.23266709000006</v>
      </c>
      <c r="DN40" s="38">
        <v>342.8910072999999</v>
      </c>
      <c r="DO40" s="172">
        <v>92.77616175</v>
      </c>
      <c r="DP40" s="172">
        <v>435.66716904999993</v>
      </c>
      <c r="DQ40" s="38">
        <v>293.82991917999999</v>
      </c>
      <c r="DR40" s="172">
        <v>103.17722986000001</v>
      </c>
      <c r="DS40" s="172">
        <v>397.00714903999994</v>
      </c>
      <c r="DT40" s="38">
        <v>302.52330041000005</v>
      </c>
      <c r="DU40" s="172">
        <v>84.101499699999991</v>
      </c>
      <c r="DV40" s="172">
        <v>386.62480010999997</v>
      </c>
      <c r="DW40" s="38">
        <v>324.46175713000008</v>
      </c>
      <c r="DX40" s="172">
        <v>85.225720250000009</v>
      </c>
      <c r="DY40" s="172">
        <v>409.68747738000002</v>
      </c>
      <c r="DZ40" s="38">
        <v>316.15369969000005</v>
      </c>
      <c r="EA40" s="172">
        <v>131.63248204999999</v>
      </c>
      <c r="EB40" s="172">
        <v>447.78618174000007</v>
      </c>
      <c r="EC40" s="38">
        <v>530.80565364000006</v>
      </c>
      <c r="ED40" s="172">
        <v>258.32477798999997</v>
      </c>
      <c r="EE40" s="172">
        <v>789.13043162999998</v>
      </c>
      <c r="EF40" s="172">
        <f t="shared" si="27"/>
        <v>4216.8958881299995</v>
      </c>
      <c r="EG40" s="172">
        <f t="shared" si="28"/>
        <v>1262.5181964999999</v>
      </c>
      <c r="EH40" s="172">
        <f t="shared" si="29"/>
        <v>5479.4140846299997</v>
      </c>
      <c r="EI40" s="172">
        <f t="shared" ref="EI40:EI65" si="94">EK40-EJ40</f>
        <v>4216.8911549599998</v>
      </c>
      <c r="EJ40" s="172">
        <f>EJ41+EJ62+EJ71</f>
        <v>1262.53039511</v>
      </c>
      <c r="EK40" s="172">
        <f>EK41+EK62+EK71</f>
        <v>5479.4215500700002</v>
      </c>
      <c r="EL40" s="172">
        <v>308.29641522000003</v>
      </c>
      <c r="EM40" s="172">
        <v>80.041177280000014</v>
      </c>
      <c r="EN40" s="172">
        <v>388.33759250000003</v>
      </c>
      <c r="EO40" s="172">
        <v>366.45172631999998</v>
      </c>
      <c r="EP40" s="172">
        <v>101.74021172999997</v>
      </c>
      <c r="EQ40" s="172">
        <v>468.19193804999998</v>
      </c>
      <c r="ER40" s="172">
        <v>348.76466739999995</v>
      </c>
      <c r="ES40" s="172">
        <v>113.22464601999999</v>
      </c>
      <c r="ET40" s="172">
        <v>461.98931341999997</v>
      </c>
      <c r="EU40" s="172">
        <v>395.33359157999985</v>
      </c>
      <c r="EV40" s="172">
        <v>100.65774266</v>
      </c>
      <c r="EW40" s="172">
        <v>495.99133423999996</v>
      </c>
      <c r="EX40" s="172">
        <v>335.87752268999998</v>
      </c>
      <c r="EY40" s="172">
        <v>35.646282410000005</v>
      </c>
      <c r="EZ40" s="172">
        <v>371.52380509999995</v>
      </c>
      <c r="FA40" s="172">
        <v>373.92821627999996</v>
      </c>
      <c r="FB40" s="172">
        <v>42.478426580000004</v>
      </c>
      <c r="FC40" s="172">
        <v>416.40664285999998</v>
      </c>
      <c r="FD40" s="172">
        <v>328.02911607999999</v>
      </c>
      <c r="FE40" s="172">
        <v>79.143507720000002</v>
      </c>
      <c r="FF40" s="172">
        <v>407.1726238</v>
      </c>
      <c r="FG40" s="172">
        <v>311.68729060000004</v>
      </c>
      <c r="FH40" s="172">
        <v>56.582564170000005</v>
      </c>
      <c r="FI40" s="172">
        <v>368.26985476999994</v>
      </c>
      <c r="FJ40" s="172">
        <v>304.49375509000009</v>
      </c>
      <c r="FK40" s="172">
        <v>41.05383252</v>
      </c>
      <c r="FL40" s="172">
        <v>345.54758761000005</v>
      </c>
      <c r="FM40" s="172">
        <v>401.96505388999998</v>
      </c>
      <c r="FN40" s="172">
        <v>114.71871963</v>
      </c>
      <c r="FO40" s="172">
        <v>516.68377352000005</v>
      </c>
      <c r="FP40" s="172">
        <v>362.70446198000002</v>
      </c>
      <c r="FQ40" s="172">
        <v>117.39957801999999</v>
      </c>
      <c r="FR40" s="172">
        <v>480.10404</v>
      </c>
      <c r="FS40" s="172">
        <v>525.92465325000012</v>
      </c>
      <c r="FT40" s="172">
        <v>154.66022855999998</v>
      </c>
      <c r="FU40" s="172">
        <v>680.58488181000018</v>
      </c>
      <c r="FV40" s="172">
        <f t="shared" si="30"/>
        <v>4363.4564703799997</v>
      </c>
      <c r="FW40" s="172">
        <f t="shared" si="31"/>
        <v>1037.3469173000001</v>
      </c>
      <c r="FX40" s="172">
        <f t="shared" si="32"/>
        <v>5400.80338768</v>
      </c>
      <c r="FY40" s="172">
        <f t="shared" ref="FY40:FY65" si="95">GA40-FZ40</f>
        <v>4363.1883739999994</v>
      </c>
      <c r="FZ40" s="172">
        <f>FZ41+FZ62+FZ71</f>
        <v>1037.3501189999999</v>
      </c>
      <c r="GA40" s="172">
        <f>GA41+GA62+GA71</f>
        <v>5400.5384929999991</v>
      </c>
      <c r="GB40" s="172">
        <v>312.51348869999993</v>
      </c>
      <c r="GC40" s="172">
        <v>72.993306250000003</v>
      </c>
      <c r="GD40" s="172">
        <v>385.50679494999997</v>
      </c>
      <c r="GE40" s="172">
        <v>402.31975314999994</v>
      </c>
      <c r="GF40" s="172">
        <v>56.020369880000004</v>
      </c>
      <c r="GG40" s="172">
        <v>458.34012303000009</v>
      </c>
      <c r="GH40" s="172">
        <v>375.44276248</v>
      </c>
      <c r="GI40" s="172">
        <v>51.647747050000007</v>
      </c>
      <c r="GJ40" s="172">
        <v>427.09050953000002</v>
      </c>
      <c r="GK40" s="172">
        <v>390.31465675999999</v>
      </c>
      <c r="GL40" s="172">
        <v>38.611203670000002</v>
      </c>
      <c r="GM40" s="172">
        <v>428.92586042999994</v>
      </c>
      <c r="GN40" s="172">
        <v>377.19856586999992</v>
      </c>
      <c r="GO40" s="172">
        <v>60.824531639999996</v>
      </c>
      <c r="GP40" s="172">
        <v>438.02309750999996</v>
      </c>
      <c r="GQ40" s="172">
        <v>463.08109003999999</v>
      </c>
      <c r="GR40" s="172">
        <v>66.776807969999993</v>
      </c>
      <c r="GS40" s="172">
        <v>529.8578980100001</v>
      </c>
      <c r="GT40" s="172">
        <v>343.53430901000002</v>
      </c>
      <c r="GU40" s="172">
        <v>63.061937069999985</v>
      </c>
      <c r="GV40" s="172">
        <v>406.59624608000007</v>
      </c>
      <c r="GW40" s="172">
        <v>303.81569513000005</v>
      </c>
      <c r="GX40" s="172">
        <v>71.641987279999995</v>
      </c>
      <c r="GY40" s="172">
        <v>375.45768241000007</v>
      </c>
      <c r="GZ40" s="172">
        <v>331.52063630000004</v>
      </c>
      <c r="HA40" s="172">
        <v>65.163949699999989</v>
      </c>
      <c r="HB40" s="172">
        <v>396.68458600000008</v>
      </c>
      <c r="HC40" s="172">
        <v>394.31284134999987</v>
      </c>
      <c r="HD40" s="172">
        <v>178.82369515000005</v>
      </c>
      <c r="HE40" s="172">
        <v>573.13653649999981</v>
      </c>
      <c r="HF40" s="172">
        <v>405.74140769000002</v>
      </c>
      <c r="HG40" s="172">
        <v>123.89401998000005</v>
      </c>
      <c r="HH40" s="172">
        <v>529.63542767000013</v>
      </c>
      <c r="HI40" s="172">
        <v>565.31161900000018</v>
      </c>
      <c r="HJ40" s="172">
        <v>229.75445943000005</v>
      </c>
      <c r="HK40" s="172">
        <v>795.06607843000029</v>
      </c>
      <c r="HL40" s="172">
        <f t="shared" si="33"/>
        <v>4665.1068254800002</v>
      </c>
      <c r="HM40" s="172">
        <f t="shared" si="34"/>
        <v>1079.2140150700002</v>
      </c>
      <c r="HN40" s="172">
        <f t="shared" si="35"/>
        <v>5744.3208405500009</v>
      </c>
      <c r="HO40" s="172">
        <f t="shared" ref="HO40:HO71" si="96">HQ40-HP40</f>
        <v>4665.4150929999996</v>
      </c>
      <c r="HP40" s="172">
        <f>HP41+HP62+HP71</f>
        <v>1079.231612</v>
      </c>
      <c r="HQ40" s="172">
        <f>HQ41+HQ62+HQ71</f>
        <v>5744.6467050000001</v>
      </c>
      <c r="HR40" s="172">
        <v>319.04474187999966</v>
      </c>
      <c r="HS40" s="172">
        <v>87.076520610000031</v>
      </c>
      <c r="HT40" s="172">
        <v>406.12126248999999</v>
      </c>
      <c r="HU40" s="172">
        <v>387.35145269000031</v>
      </c>
      <c r="HV40" s="172">
        <v>64.274048220000012</v>
      </c>
      <c r="HW40" s="172">
        <v>451.62550090999997</v>
      </c>
      <c r="HX40" s="172">
        <v>389.81948718000035</v>
      </c>
      <c r="HY40" s="172">
        <v>75.197846799999994</v>
      </c>
      <c r="HZ40" s="172">
        <v>465.01733398000005</v>
      </c>
      <c r="IA40" s="172">
        <v>512.53479620000007</v>
      </c>
      <c r="IB40" s="172">
        <v>61.638250189999972</v>
      </c>
      <c r="IC40" s="172">
        <v>574.17304638999997</v>
      </c>
      <c r="ID40" s="172">
        <v>371.48127404000036</v>
      </c>
      <c r="IE40" s="172">
        <v>76.362331479999966</v>
      </c>
      <c r="IF40" s="172">
        <v>447.84360551999987</v>
      </c>
      <c r="IG40" s="172">
        <v>454.67262996000062</v>
      </c>
      <c r="IH40" s="172">
        <v>110.71695502000007</v>
      </c>
      <c r="II40" s="172">
        <v>565.38958498</v>
      </c>
      <c r="IJ40" s="172">
        <v>405.03965197000002</v>
      </c>
      <c r="IK40" s="172">
        <v>97.701067280000004</v>
      </c>
      <c r="IL40" s="172">
        <v>502.74071925000015</v>
      </c>
      <c r="IM40" s="172">
        <v>350.51417784000006</v>
      </c>
      <c r="IN40" s="172">
        <v>130.44723841000004</v>
      </c>
      <c r="IO40" s="172">
        <v>480.96141625000013</v>
      </c>
      <c r="IP40" s="172">
        <v>392.46394096000068</v>
      </c>
      <c r="IQ40" s="172">
        <v>88.483118040000036</v>
      </c>
      <c r="IR40" s="172">
        <v>480.94705900000002</v>
      </c>
      <c r="IS40" s="172">
        <v>455.00629407999975</v>
      </c>
      <c r="IT40" s="172">
        <v>224.9207179500001</v>
      </c>
      <c r="IU40" s="172">
        <v>679.92701203000024</v>
      </c>
      <c r="IV40" s="172">
        <v>492.48111286999978</v>
      </c>
      <c r="IW40" s="172">
        <v>141.53409106000001</v>
      </c>
      <c r="IX40" s="172">
        <v>634.0152039300001</v>
      </c>
      <c r="IY40" s="172">
        <v>657.98323521999794</v>
      </c>
      <c r="IZ40" s="172">
        <v>279.73656327999998</v>
      </c>
      <c r="JA40" s="172">
        <v>937.71979850000048</v>
      </c>
      <c r="JB40" s="172">
        <f t="shared" si="36"/>
        <v>5188.39279489</v>
      </c>
      <c r="JC40" s="172">
        <f t="shared" si="37"/>
        <v>1438.0887483400002</v>
      </c>
      <c r="JD40" s="172">
        <f t="shared" si="38"/>
        <v>6626.4815432300011</v>
      </c>
      <c r="JE40" s="172">
        <f t="shared" ref="JE40:JE71" si="97">JG40-JF40</f>
        <v>5188.3982370000003</v>
      </c>
      <c r="JF40" s="172">
        <f>JF41+JF62+JF71</f>
        <v>1438.0881160000001</v>
      </c>
      <c r="JG40" s="172">
        <f>JG41+JG62+JG71</f>
        <v>6626.4863530000002</v>
      </c>
      <c r="JH40" s="172">
        <v>430.68871303000026</v>
      </c>
      <c r="JI40" s="172">
        <v>108.55508469999995</v>
      </c>
      <c r="JJ40" s="172">
        <v>539.24379772999998</v>
      </c>
      <c r="JK40" s="172">
        <v>467.55828185000018</v>
      </c>
      <c r="JL40" s="172">
        <v>95.714201900000035</v>
      </c>
      <c r="JM40" s="172">
        <v>563.27248374999999</v>
      </c>
      <c r="JN40" s="172">
        <v>380.21352457000006</v>
      </c>
      <c r="JO40" s="172">
        <v>91.587887260000016</v>
      </c>
      <c r="JP40" s="172">
        <v>471.80141182999984</v>
      </c>
      <c r="JQ40" s="172">
        <v>469.86319251000077</v>
      </c>
      <c r="JR40" s="172">
        <v>85.260137890000067</v>
      </c>
      <c r="JS40" s="172">
        <v>555.12333039999999</v>
      </c>
      <c r="JT40" s="172">
        <v>405.51816415999951</v>
      </c>
      <c r="JU40" s="172">
        <v>79.266191150000012</v>
      </c>
      <c r="JV40" s="172">
        <v>484.78435530999968</v>
      </c>
      <c r="JW40" s="172">
        <v>449.77488518000035</v>
      </c>
      <c r="JX40" s="172">
        <v>77.692765140000034</v>
      </c>
      <c r="JY40" s="172">
        <v>527.46765031999996</v>
      </c>
      <c r="JZ40" s="172">
        <v>447.89767017999952</v>
      </c>
      <c r="KA40" s="172">
        <v>124.32867367999999</v>
      </c>
      <c r="KB40" s="172">
        <v>572.22634386000004</v>
      </c>
      <c r="KC40" s="172">
        <v>382.50851924000006</v>
      </c>
      <c r="KD40" s="172">
        <v>94.550117409999956</v>
      </c>
      <c r="KE40" s="172">
        <v>477.05863664999993</v>
      </c>
      <c r="KF40" s="172">
        <v>406.96414350000003</v>
      </c>
      <c r="KG40" s="172">
        <v>77.443330329999966</v>
      </c>
      <c r="KH40" s="172">
        <v>484.40747383000001</v>
      </c>
      <c r="KI40" s="172">
        <v>471.41233345999927</v>
      </c>
      <c r="KJ40" s="172">
        <v>210.58317031000004</v>
      </c>
      <c r="KK40" s="172">
        <v>681.99550377000014</v>
      </c>
      <c r="KL40" s="172">
        <v>498.14076595000046</v>
      </c>
      <c r="KM40" s="172">
        <v>86.637363990000068</v>
      </c>
      <c r="KN40" s="172">
        <v>584.77812993999987</v>
      </c>
      <c r="KO40" s="172">
        <v>669.72143172000176</v>
      </c>
      <c r="KP40" s="172">
        <v>304.2822429899997</v>
      </c>
      <c r="KQ40" s="172">
        <v>974.0036747099997</v>
      </c>
      <c r="KR40" s="172">
        <f t="shared" si="48"/>
        <v>5480.2616253500019</v>
      </c>
      <c r="KS40" s="172">
        <f t="shared" si="39"/>
        <v>1435.9011667499999</v>
      </c>
      <c r="KT40" s="172">
        <f t="shared" si="49"/>
        <v>6916.162792099999</v>
      </c>
      <c r="KU40" s="172">
        <f t="shared" ref="KU40:KU71" si="98">KW40-KV40</f>
        <v>5478.9396900000011</v>
      </c>
      <c r="KV40" s="172">
        <f>KV41+KV62+KV71</f>
        <v>1435.944352</v>
      </c>
      <c r="KW40" s="172">
        <f>KW41+KW62+KW71</f>
        <v>6914.8840420000006</v>
      </c>
      <c r="KX40" s="172">
        <v>454.39823353000031</v>
      </c>
      <c r="KY40" s="172">
        <v>110.33349728000005</v>
      </c>
      <c r="KZ40" s="172">
        <v>564.73173080999982</v>
      </c>
      <c r="LA40" s="172">
        <v>479.24382772000018</v>
      </c>
      <c r="LB40" s="172">
        <v>85.114902279999981</v>
      </c>
      <c r="LC40" s="172">
        <v>564.35873000000004</v>
      </c>
      <c r="LD40" s="172">
        <v>413.27208522000029</v>
      </c>
      <c r="LE40" s="172">
        <v>115.24850079000005</v>
      </c>
      <c r="LF40" s="172">
        <v>528.52058600999976</v>
      </c>
      <c r="LG40" s="172">
        <v>650.36274796999987</v>
      </c>
      <c r="LH40" s="172">
        <v>63.512286049999965</v>
      </c>
      <c r="LI40" s="259">
        <v>713.87503401999993</v>
      </c>
      <c r="LJ40" s="259">
        <v>439.86435986000055</v>
      </c>
      <c r="LK40" s="172">
        <v>54.685272920000024</v>
      </c>
      <c r="LL40" s="259">
        <v>494.54963277999991</v>
      </c>
      <c r="LM40" s="259">
        <v>502.57772065999984</v>
      </c>
      <c r="LN40" s="172">
        <v>75.504540939999998</v>
      </c>
      <c r="LO40" s="259">
        <v>578.08226160000004</v>
      </c>
      <c r="LP40" s="259">
        <v>529.54837611000085</v>
      </c>
      <c r="LQ40" s="172">
        <v>86.782265360000025</v>
      </c>
      <c r="LR40" s="260">
        <v>616.33064147000005</v>
      </c>
      <c r="LS40" s="259">
        <v>459.71993913000045</v>
      </c>
      <c r="LT40" s="172">
        <v>114.12868669000002</v>
      </c>
      <c r="LU40" s="261">
        <v>573.8486258199996</v>
      </c>
      <c r="LV40" s="38">
        <v>496.74197133000052</v>
      </c>
      <c r="LW40" s="172">
        <v>68.993202829999987</v>
      </c>
      <c r="LX40" s="172">
        <v>565.73517415999993</v>
      </c>
      <c r="LY40" s="172">
        <v>566.10985792999963</v>
      </c>
      <c r="LZ40" s="172">
        <v>189.80774359000009</v>
      </c>
      <c r="MA40" s="172">
        <v>755.91760151999995</v>
      </c>
      <c r="MB40" s="172">
        <v>501.16131704999981</v>
      </c>
      <c r="MC40" s="172">
        <v>75.579463400000009</v>
      </c>
      <c r="MD40" s="172">
        <v>576.74078044999965</v>
      </c>
      <c r="ME40" s="172">
        <v>835.11621248000063</v>
      </c>
      <c r="MF40" s="172">
        <v>299.23751552000016</v>
      </c>
      <c r="MG40" s="172">
        <v>1134.3537279999998</v>
      </c>
      <c r="MH40" s="172">
        <f t="shared" si="66"/>
        <v>6328.1166489900024</v>
      </c>
      <c r="MI40" s="172">
        <f t="shared" si="50"/>
        <v>1338.9278776500005</v>
      </c>
      <c r="MJ40" s="172">
        <f t="shared" si="51"/>
        <v>7667.0445266399993</v>
      </c>
      <c r="MK40" s="172">
        <f t="shared" ref="MK40:MK71" si="99">MM40-ML40</f>
        <v>6327.7083089999996</v>
      </c>
      <c r="ML40" s="172">
        <f>ML41+ML62+ML71</f>
        <v>1339.3204760000001</v>
      </c>
      <c r="MM40" s="172">
        <f>MM41+MM62+MM71</f>
        <v>7667.0287849999995</v>
      </c>
      <c r="MN40" s="172">
        <v>503.80406678000026</v>
      </c>
      <c r="MO40" s="172">
        <v>63.715113659999979</v>
      </c>
      <c r="MP40" s="172">
        <v>567.51918044000001</v>
      </c>
      <c r="MQ40" s="172">
        <v>653.71774152</v>
      </c>
      <c r="MR40" s="172">
        <v>93.706272430000027</v>
      </c>
      <c r="MS40" s="172">
        <v>747.4240139499999</v>
      </c>
      <c r="MT40" s="172">
        <v>847.08222544000046</v>
      </c>
      <c r="MU40" s="172">
        <v>79.696889920000032</v>
      </c>
      <c r="MV40" s="172">
        <v>926.77911536000022</v>
      </c>
      <c r="MW40" s="172">
        <v>832.08848080000018</v>
      </c>
      <c r="MX40" s="172">
        <v>58.508640660000012</v>
      </c>
      <c r="MY40" s="172">
        <v>890.59712145999993</v>
      </c>
      <c r="MZ40" s="172">
        <v>593.7294211899997</v>
      </c>
      <c r="NA40" s="172">
        <v>72.66121124</v>
      </c>
      <c r="NB40" s="172">
        <v>666.3906324300001</v>
      </c>
      <c r="NC40" s="172">
        <v>791.90874664000057</v>
      </c>
      <c r="ND40" s="172">
        <v>77.089672079999985</v>
      </c>
      <c r="NE40" s="172">
        <v>868.99841871999968</v>
      </c>
      <c r="NF40" s="172">
        <v>639.87955527999952</v>
      </c>
      <c r="NG40" s="172">
        <v>58.55022138000006</v>
      </c>
      <c r="NH40" s="172">
        <v>698.42977666000013</v>
      </c>
      <c r="NI40" s="172">
        <v>510.25368438000049</v>
      </c>
      <c r="NJ40" s="172">
        <v>76.931610570000004</v>
      </c>
      <c r="NK40" s="172">
        <v>587.18529495000018</v>
      </c>
      <c r="NL40" s="172">
        <v>541.67580055000053</v>
      </c>
      <c r="NM40" s="172">
        <v>111.32401948999998</v>
      </c>
      <c r="NN40" s="172">
        <v>652.99982003999992</v>
      </c>
      <c r="NO40" s="172">
        <v>609.39094448000026</v>
      </c>
      <c r="NP40" s="172">
        <v>186.31771195000002</v>
      </c>
      <c r="NQ40" s="172">
        <v>795.70865642999991</v>
      </c>
      <c r="NR40" s="172">
        <v>619.83313881999914</v>
      </c>
      <c r="NS40" s="172">
        <v>80.169219500000025</v>
      </c>
      <c r="NT40" s="172">
        <v>700.00235831999964</v>
      </c>
      <c r="NU40" s="172">
        <v>993.81805244000043</v>
      </c>
      <c r="NV40" s="172">
        <v>314.50655602999979</v>
      </c>
      <c r="NW40" s="172">
        <v>1308.3246084700008</v>
      </c>
      <c r="NX40" s="172">
        <f t="shared" si="67"/>
        <v>8137.181858320002</v>
      </c>
      <c r="NY40" s="172">
        <f>MO40+MR40+MU40+MX40+NA40+ND40+NG40+NJ40+NM40+NP40+NS40+NV40</f>
        <v>1273.1771389099999</v>
      </c>
      <c r="NZ40" s="172">
        <f t="shared" si="41"/>
        <v>9410.3589972299997</v>
      </c>
      <c r="OA40" s="172">
        <f t="shared" ref="OA40:OA71" si="100">OC40-OB40</f>
        <v>8125.853540000001</v>
      </c>
      <c r="OB40" s="172">
        <f>OB41+OB62+OB71</f>
        <v>1273.3031739999999</v>
      </c>
      <c r="OC40" s="172">
        <f>OC41+OC62+OC71</f>
        <v>9399.1567140000006</v>
      </c>
      <c r="OD40" s="172">
        <f>OF40-OE40</f>
        <v>622.54805594999982</v>
      </c>
      <c r="OE40" s="172">
        <v>66.689909119999996</v>
      </c>
      <c r="OF40" s="172">
        <v>689.23796506999986</v>
      </c>
      <c r="OG40" s="172">
        <v>714.3607391099996</v>
      </c>
      <c r="OH40" s="172">
        <v>55.050235469999983</v>
      </c>
      <c r="OI40" s="172">
        <v>769.41097457999956</v>
      </c>
      <c r="OJ40" s="172">
        <f>OL40-OK40</f>
        <v>683.29379608000022</v>
      </c>
      <c r="OK40" s="172">
        <v>101.4347638500001</v>
      </c>
      <c r="OL40" s="172">
        <v>784.7285599300003</v>
      </c>
      <c r="OM40" s="172">
        <v>717.70130487999927</v>
      </c>
      <c r="ON40" s="172">
        <v>74.450388489999867</v>
      </c>
      <c r="OO40" s="172">
        <v>792.15169336999963</v>
      </c>
      <c r="OP40" s="172">
        <v>696.43488833000038</v>
      </c>
      <c r="OQ40" s="172">
        <v>59.935315979999928</v>
      </c>
      <c r="OR40" s="172">
        <v>756.37020431000167</v>
      </c>
      <c r="OS40" s="172">
        <v>652.80754808999984</v>
      </c>
      <c r="OT40" s="172">
        <v>68.800749080000074</v>
      </c>
      <c r="OU40" s="172">
        <v>721.60829717000115</v>
      </c>
      <c r="OV40" s="172">
        <v>680.69188798999869</v>
      </c>
      <c r="OW40" s="172">
        <v>65.256667530000129</v>
      </c>
      <c r="OX40" s="172">
        <v>745.9485555199991</v>
      </c>
      <c r="OY40" s="262">
        <v>523.74638003999917</v>
      </c>
      <c r="OZ40" s="172">
        <v>105.25241484999999</v>
      </c>
      <c r="PA40" s="262">
        <v>628.99879489000011</v>
      </c>
      <c r="PB40" s="172">
        <v>767.98383272999945</v>
      </c>
      <c r="PC40" s="172">
        <v>111.44429527999998</v>
      </c>
      <c r="PD40" s="172">
        <v>879.42812800999764</v>
      </c>
      <c r="PE40" s="172">
        <v>900.66924054999845</v>
      </c>
      <c r="PF40" s="172">
        <v>216.85135160999982</v>
      </c>
      <c r="PG40" s="172">
        <v>1117.52059216</v>
      </c>
      <c r="PH40" s="172">
        <v>645.0469524400005</v>
      </c>
      <c r="PI40" s="172">
        <v>100.4339645700001</v>
      </c>
      <c r="PJ40" s="172">
        <v>745.48091700999896</v>
      </c>
      <c r="PK40" s="172">
        <v>1191.8888702599995</v>
      </c>
      <c r="PL40" s="172">
        <v>358.39142487999925</v>
      </c>
      <c r="PM40" s="172">
        <v>1550.2802951399995</v>
      </c>
      <c r="PN40" s="172">
        <f>OD40+OG40+OJ40+OM40+OP40+OS40+OV40+OY40+PB40+PE40+PH40+PK40</f>
        <v>8797.1734964499938</v>
      </c>
      <c r="PO40" s="172">
        <f>OE40+OH40+OK40+ON40+OQ40+OT40+OW40+OZ40+PC40+PF40+PI40+PL40</f>
        <v>1383.9914807099992</v>
      </c>
      <c r="PP40" s="172">
        <f t="shared" si="43"/>
        <v>10181.164977159997</v>
      </c>
      <c r="PQ40" s="172">
        <f t="shared" ref="PQ40:PQ44" si="101">PS40-PR40</f>
        <v>8791.0451515699988</v>
      </c>
      <c r="PR40" s="172">
        <f>PR41+PR62+PR71</f>
        <v>1383.9551474300001</v>
      </c>
      <c r="PS40" s="172">
        <f>PS41+PS62+PS71</f>
        <v>10175.000298999999</v>
      </c>
      <c r="PT40" s="172">
        <v>535.82569634000095</v>
      </c>
      <c r="PU40" s="172">
        <v>78.759935739999875</v>
      </c>
      <c r="PV40" s="172">
        <v>614.58563208000112</v>
      </c>
      <c r="PW40" s="172">
        <v>727.39621334999958</v>
      </c>
      <c r="PX40" s="172">
        <v>175.69563849999975</v>
      </c>
      <c r="PY40" s="172">
        <v>903.09185184999762</v>
      </c>
      <c r="PZ40" s="172">
        <v>688.70122653999886</v>
      </c>
      <c r="QA40" s="172">
        <v>112.96936127000004</v>
      </c>
      <c r="QB40" s="172">
        <v>801.67058780999946</v>
      </c>
      <c r="QC40" s="172">
        <v>676.68655408000097</v>
      </c>
      <c r="QD40" s="172">
        <v>139.14434693999985</v>
      </c>
      <c r="QE40" s="172">
        <v>815.83090101999937</v>
      </c>
      <c r="QF40" s="172">
        <v>656.4406236999979</v>
      </c>
      <c r="QG40" s="172">
        <v>118.99457381999987</v>
      </c>
      <c r="QH40" s="172">
        <v>775.43519751999781</v>
      </c>
      <c r="QI40" s="172">
        <v>742.08387530999744</v>
      </c>
      <c r="QJ40" s="172">
        <v>130.10896899999995</v>
      </c>
      <c r="QK40" s="172">
        <v>872.19284430999744</v>
      </c>
      <c r="QL40" s="172">
        <v>654.46489595999992</v>
      </c>
      <c r="QM40" s="172">
        <v>120.63741013000001</v>
      </c>
      <c r="QN40" s="172">
        <v>775.10230608999802</v>
      </c>
      <c r="QO40" s="172">
        <v>562.76959095000325</v>
      </c>
      <c r="QP40" s="172">
        <v>141.81456557000001</v>
      </c>
      <c r="QQ40" s="172">
        <v>704.58415652000326</v>
      </c>
      <c r="QR40" s="172">
        <v>621.70399931000088</v>
      </c>
      <c r="QS40" s="172">
        <v>121.66968987000006</v>
      </c>
      <c r="QT40" s="172">
        <v>743.37368918000129</v>
      </c>
      <c r="QU40" s="172">
        <v>781.15182796000136</v>
      </c>
      <c r="QV40" s="172">
        <v>162.10487878999993</v>
      </c>
      <c r="QW40" s="172">
        <v>943.25670675000129</v>
      </c>
      <c r="QX40" s="172">
        <v>705.99519969000198</v>
      </c>
      <c r="QY40" s="172">
        <v>158.70373960999993</v>
      </c>
      <c r="QZ40" s="172">
        <v>864.69893930000194</v>
      </c>
      <c r="RA40" s="172">
        <v>1275.2309596800014</v>
      </c>
      <c r="RB40" s="172">
        <v>482.3739281499993</v>
      </c>
      <c r="RC40" s="172">
        <v>1757.6048878300007</v>
      </c>
      <c r="RD40" s="172">
        <f t="shared" si="52"/>
        <v>8628.4506628700037</v>
      </c>
      <c r="RE40" s="172">
        <f t="shared" si="53"/>
        <v>1942.9770373899985</v>
      </c>
      <c r="RF40" s="172">
        <f t="shared" si="54"/>
        <v>10571.427700259999</v>
      </c>
      <c r="RG40" s="172">
        <f t="shared" ref="RG40" si="102">RI40-RH40</f>
        <v>8624.412816</v>
      </c>
      <c r="RH40" s="172">
        <f>RH41+RH62+RH71</f>
        <v>1943.0717799999995</v>
      </c>
      <c r="RI40" s="172">
        <f>RI41+RI62+RI71</f>
        <v>10567.484596</v>
      </c>
      <c r="RJ40" s="172">
        <v>668.71232192000025</v>
      </c>
      <c r="RK40" s="172">
        <v>141.18208553000011</v>
      </c>
      <c r="RL40" s="172">
        <v>809.89440745000138</v>
      </c>
      <c r="RM40" s="172">
        <v>795.14507280999987</v>
      </c>
      <c r="RN40" s="172">
        <v>84.607455050000013</v>
      </c>
      <c r="RO40" s="172">
        <v>879.75252785999908</v>
      </c>
      <c r="RP40" s="172">
        <v>712.38786366000045</v>
      </c>
      <c r="RQ40" s="172">
        <v>93.284061520000066</v>
      </c>
      <c r="RR40" s="172">
        <v>805.67192518000047</v>
      </c>
      <c r="RS40" s="172">
        <v>927.05970409999895</v>
      </c>
      <c r="RT40" s="172">
        <v>149.32854796000021</v>
      </c>
      <c r="RU40" s="172">
        <v>1076.3882520599991</v>
      </c>
      <c r="RV40" s="172">
        <v>695.34652322999818</v>
      </c>
      <c r="RW40" s="172">
        <v>88.446650910000074</v>
      </c>
      <c r="RX40" s="172">
        <v>783.7931741399982</v>
      </c>
      <c r="RY40" s="172">
        <v>820.55833803999872</v>
      </c>
      <c r="RZ40" s="172">
        <v>92.774729100000101</v>
      </c>
      <c r="SA40" s="172">
        <v>913.33306713999878</v>
      </c>
      <c r="SB40" s="172">
        <v>779.45639439999968</v>
      </c>
      <c r="SC40" s="172">
        <v>140.44095641000018</v>
      </c>
      <c r="SD40" s="172">
        <v>919.89735080999981</v>
      </c>
      <c r="SE40" s="172">
        <v>609.49248917999932</v>
      </c>
      <c r="SF40" s="172">
        <v>121.80236833999977</v>
      </c>
      <c r="SG40" s="172">
        <v>731.29485751999914</v>
      </c>
      <c r="SH40" s="172">
        <v>643.50611627999763</v>
      </c>
      <c r="SI40" s="172">
        <v>115.99556661999993</v>
      </c>
      <c r="SJ40" s="172">
        <v>759.5016828999976</v>
      </c>
      <c r="SK40" s="172">
        <v>796.02440679000063</v>
      </c>
      <c r="SL40" s="172">
        <v>208.30175717000031</v>
      </c>
      <c r="SM40" s="172">
        <v>1004.326567</v>
      </c>
      <c r="SN40" s="172">
        <v>743.79789383000048</v>
      </c>
      <c r="SO40" s="172">
        <v>143.81305849000009</v>
      </c>
      <c r="SP40" s="172">
        <v>887.61095232000059</v>
      </c>
      <c r="SQ40" s="172">
        <v>1077.8357222000063</v>
      </c>
      <c r="SR40" s="172">
        <v>436.72768308999986</v>
      </c>
      <c r="SS40" s="172">
        <v>1514.5634052900061</v>
      </c>
      <c r="ST40" s="172">
        <f t="shared" si="55"/>
        <v>9269.3228464399999</v>
      </c>
      <c r="SU40" s="172">
        <f t="shared" si="65"/>
        <v>1816.7049201900006</v>
      </c>
      <c r="SV40" s="266">
        <f t="shared" si="56"/>
        <v>11086.02816967</v>
      </c>
      <c r="SW40" s="172">
        <f t="shared" ref="SW40:SW72" si="103">SY40-SX40</f>
        <v>9264.130697999999</v>
      </c>
      <c r="SX40" s="172">
        <f>SX41+SX62+SX71</f>
        <v>1816.6465579999999</v>
      </c>
      <c r="SY40" s="172">
        <f>SY41+SY62+SY71</f>
        <v>11080.777255999999</v>
      </c>
      <c r="SZ40" s="172">
        <v>789.01730776999989</v>
      </c>
      <c r="TA40" s="172">
        <v>158.20616396999998</v>
      </c>
      <c r="TB40" s="172">
        <v>947.22347173999924</v>
      </c>
      <c r="TC40" s="55">
        <v>835.56779274000019</v>
      </c>
      <c r="TD40" s="172">
        <v>156.63013647999998</v>
      </c>
      <c r="TE40" s="172">
        <v>992.19792922000022</v>
      </c>
      <c r="TF40" s="172">
        <v>827.91557966999983</v>
      </c>
      <c r="TG40" s="172">
        <v>207.73895308999974</v>
      </c>
      <c r="TH40" s="172">
        <v>1035.6545327599995</v>
      </c>
      <c r="TI40" s="55">
        <v>827.55534560999786</v>
      </c>
      <c r="TJ40" s="172">
        <v>200.54257248000019</v>
      </c>
      <c r="TK40" s="172">
        <v>1028.0979180899981</v>
      </c>
      <c r="TL40" s="55">
        <v>777.10720516999652</v>
      </c>
      <c r="TM40" s="172">
        <v>127.72431184000027</v>
      </c>
      <c r="TN40" s="172">
        <v>904.83151700999679</v>
      </c>
      <c r="TO40" s="55">
        <v>878.49584147999917</v>
      </c>
      <c r="TP40" s="172">
        <v>175.10686827000012</v>
      </c>
      <c r="TQ40" s="172">
        <v>1053.6027097499993</v>
      </c>
      <c r="TR40" s="55">
        <v>799.78246933999992</v>
      </c>
      <c r="TS40" s="172">
        <v>160.2816868000003</v>
      </c>
      <c r="TT40" s="172">
        <v>960.06415614000025</v>
      </c>
      <c r="TU40" s="55">
        <v>614.27485534000175</v>
      </c>
      <c r="TV40" s="172">
        <v>210.69938514999978</v>
      </c>
      <c r="TW40" s="172">
        <v>824.97424049000153</v>
      </c>
      <c r="TX40" s="172">
        <v>811.23512515999755</v>
      </c>
      <c r="TY40" s="172">
        <v>155.02095591999972</v>
      </c>
      <c r="TZ40" s="172">
        <v>966.25608107999733</v>
      </c>
      <c r="UA40" s="55">
        <v>760.25753292000149</v>
      </c>
      <c r="UB40" s="172">
        <v>286.23630015999942</v>
      </c>
      <c r="UC40" s="172">
        <v>1046.493833080001</v>
      </c>
      <c r="UD40" s="55">
        <v>710.36422535000042</v>
      </c>
      <c r="UE40" s="172">
        <v>178.41600555999975</v>
      </c>
      <c r="UF40" s="172">
        <v>888.78023091000023</v>
      </c>
      <c r="UG40" s="172">
        <v>1246.0991393699978</v>
      </c>
      <c r="UH40" s="172">
        <v>444.30431486999913</v>
      </c>
      <c r="UI40" s="172">
        <v>1690.403454239997</v>
      </c>
      <c r="UJ40" s="172">
        <f t="shared" si="45"/>
        <v>9877.6724199199925</v>
      </c>
      <c r="UK40" s="172">
        <f t="shared" si="15"/>
        <v>2460.9076545899984</v>
      </c>
      <c r="UL40" s="172">
        <f t="shared" si="16"/>
        <v>12338.580074509991</v>
      </c>
      <c r="UM40" s="55">
        <v>913.22072541000273</v>
      </c>
      <c r="UN40" s="172">
        <v>171.20223798999987</v>
      </c>
      <c r="UO40" s="172">
        <v>1084.4229634000026</v>
      </c>
      <c r="UP40" s="55">
        <v>843.55434927999795</v>
      </c>
      <c r="UQ40" s="172">
        <v>142.84495212000022</v>
      </c>
      <c r="UR40" s="172">
        <v>986.39930139999819</v>
      </c>
      <c r="US40" s="55">
        <v>797.67770774000076</v>
      </c>
      <c r="UT40" s="172">
        <v>218.87845924000007</v>
      </c>
      <c r="UU40" s="172">
        <v>1016.5561669800009</v>
      </c>
      <c r="UV40" s="172">
        <v>803.81157126999869</v>
      </c>
      <c r="UW40" s="172">
        <v>128.67599822999995</v>
      </c>
      <c r="UX40" s="172">
        <v>932.4875694999987</v>
      </c>
      <c r="UY40" s="172"/>
      <c r="UZ40" s="172"/>
      <c r="VA40" s="172"/>
      <c r="VB40" s="172"/>
      <c r="VC40" s="172"/>
      <c r="VD40" s="172"/>
      <c r="VE40" s="172"/>
      <c r="VF40" s="172"/>
      <c r="VG40" s="172"/>
      <c r="VH40" s="172"/>
      <c r="VI40" s="172"/>
      <c r="VJ40" s="172"/>
      <c r="VK40" s="172"/>
      <c r="VL40" s="172"/>
      <c r="VM40" s="172"/>
      <c r="VN40" s="172"/>
      <c r="VO40" s="172"/>
      <c r="VP40" s="172"/>
      <c r="VQ40" s="172"/>
      <c r="VR40" s="172"/>
      <c r="VS40" s="172"/>
      <c r="VT40" s="172"/>
      <c r="VU40" s="172"/>
      <c r="VV40" s="172"/>
      <c r="VW40" s="278">
        <f t="shared" si="57"/>
        <v>3280.0560260000002</v>
      </c>
      <c r="VX40" s="291">
        <f t="shared" si="58"/>
        <v>723.11782600000004</v>
      </c>
      <c r="VY40" s="291">
        <f t="shared" si="59"/>
        <v>4003.1738519999999</v>
      </c>
      <c r="VZ40" s="278">
        <f t="shared" si="60"/>
        <v>3358.2643539999999</v>
      </c>
      <c r="WA40" s="291">
        <f t="shared" si="61"/>
        <v>661.60164799999995</v>
      </c>
      <c r="WB40" s="291">
        <f t="shared" si="62"/>
        <v>4019.8660009999999</v>
      </c>
      <c r="WC40" s="294">
        <f t="shared" si="63"/>
        <v>16.692148999999972</v>
      </c>
      <c r="WD40" s="294">
        <f t="shared" ref="WD40:WD71" si="104">WB40/VY40*100-100</f>
        <v>0.41697287245369807</v>
      </c>
    </row>
    <row r="41" spans="1:602" s="12" customFormat="1" ht="20.5">
      <c r="A41" s="42" t="s">
        <v>116</v>
      </c>
      <c r="B41" s="12" t="s">
        <v>28</v>
      </c>
      <c r="C41" s="42" t="s">
        <v>117</v>
      </c>
      <c r="D41" s="45">
        <v>4209.7196586815098</v>
      </c>
      <c r="E41" s="42">
        <v>5050.2039601368242</v>
      </c>
      <c r="F41" s="42">
        <v>4376.6817021530887</v>
      </c>
      <c r="G41" s="42">
        <v>4238.7033497248176</v>
      </c>
      <c r="H41" s="42">
        <v>267.860268780485</v>
      </c>
      <c r="I41" s="42">
        <v>348.34882961679216</v>
      </c>
      <c r="J41" s="42">
        <v>351.86210846836389</v>
      </c>
      <c r="K41" s="42">
        <v>319.73089833011767</v>
      </c>
      <c r="L41" s="42">
        <v>320.18241052982052</v>
      </c>
      <c r="M41" s="42">
        <v>336.40542422923039</v>
      </c>
      <c r="N41" s="42">
        <v>295.12574966847086</v>
      </c>
      <c r="O41" s="42">
        <v>269.17074982498679</v>
      </c>
      <c r="P41" s="42">
        <v>322.15821588949547</v>
      </c>
      <c r="Q41" s="42">
        <v>309.06514200260676</v>
      </c>
      <c r="R41" s="42">
        <v>385.64582537947996</v>
      </c>
      <c r="S41" s="42">
        <v>567.56408964661557</v>
      </c>
      <c r="T41" s="42">
        <v>3050.2503237317951</v>
      </c>
      <c r="U41" s="42">
        <v>1042.86938863467</v>
      </c>
      <c r="V41" s="42">
        <v>4093.1197123664651</v>
      </c>
      <c r="W41" s="42">
        <v>4093.1639034496106</v>
      </c>
      <c r="X41" s="42">
        <v>271.80090323902539</v>
      </c>
      <c r="Y41" s="42">
        <v>357.18919609165573</v>
      </c>
      <c r="Z41" s="42">
        <v>359.02002737605363</v>
      </c>
      <c r="AA41" s="42">
        <v>316.650791557817</v>
      </c>
      <c r="AB41" s="42">
        <v>297.81170693393892</v>
      </c>
      <c r="AC41" s="42">
        <v>341.65028941212631</v>
      </c>
      <c r="AD41" s="42">
        <v>293.5598467140199</v>
      </c>
      <c r="AE41" s="42">
        <v>308.21286304574249</v>
      </c>
      <c r="AF41" s="42">
        <v>296.60445159674674</v>
      </c>
      <c r="AG41" s="42">
        <v>389.20782292075739</v>
      </c>
      <c r="AH41" s="42">
        <v>399.17620986790058</v>
      </c>
      <c r="AI41" s="42">
        <v>542.78707719364149</v>
      </c>
      <c r="AJ41" s="42">
        <v>3218.8282816688602</v>
      </c>
      <c r="AK41" s="42">
        <v>954.84290560383795</v>
      </c>
      <c r="AL41" s="42">
        <v>4173.6711859494253</v>
      </c>
      <c r="AM41" s="42">
        <v>4173.8377043955361</v>
      </c>
      <c r="AN41" s="42">
        <v>313.29369212468907</v>
      </c>
      <c r="AO41" s="42">
        <v>383.51198686973891</v>
      </c>
      <c r="AP41" s="42">
        <v>375.17068844229686</v>
      </c>
      <c r="AQ41" s="42">
        <v>356.41508114637941</v>
      </c>
      <c r="AR41" s="42">
        <v>310.65131295496332</v>
      </c>
      <c r="AS41" s="42">
        <v>366.75302175286424</v>
      </c>
      <c r="AT41" s="42">
        <v>326.14618727269624</v>
      </c>
      <c r="AU41" s="42">
        <v>309.27062428500693</v>
      </c>
      <c r="AV41" s="42">
        <v>316.37698134899631</v>
      </c>
      <c r="AW41" s="42">
        <v>318.2656160181217</v>
      </c>
      <c r="AX41" s="42">
        <v>379.00764509023855</v>
      </c>
      <c r="AY41" s="42">
        <v>530.47672324004975</v>
      </c>
      <c r="AZ41" s="42">
        <v>3356.8583937342419</v>
      </c>
      <c r="BA41" s="42">
        <v>928.48116681179954</v>
      </c>
      <c r="BB41" s="42">
        <v>4285.3395605460419</v>
      </c>
      <c r="BC41" s="42">
        <f t="shared" si="21"/>
        <v>3357.0100397834958</v>
      </c>
      <c r="BD41" s="42">
        <v>928.39937450555203</v>
      </c>
      <c r="BE41" s="42">
        <v>4285.4094142890481</v>
      </c>
      <c r="BF41" s="44">
        <f t="shared" ref="BF41:CI41" si="105">BF42+BF47+BF48+BF53+BF57+BF60+BF61</f>
        <v>298.15553715999999</v>
      </c>
      <c r="BG41" s="44">
        <f t="shared" si="105"/>
        <v>55.186527599999998</v>
      </c>
      <c r="BH41" s="44">
        <f t="shared" si="105"/>
        <v>353.34206439999997</v>
      </c>
      <c r="BI41" s="44">
        <f t="shared" si="105"/>
        <v>344.59966692</v>
      </c>
      <c r="BJ41" s="44">
        <f t="shared" si="105"/>
        <v>83.845916120000012</v>
      </c>
      <c r="BK41" s="44">
        <f t="shared" si="105"/>
        <v>428.44558361000003</v>
      </c>
      <c r="BL41" s="44">
        <f t="shared" si="105"/>
        <v>329.19145909999997</v>
      </c>
      <c r="BM41" s="44">
        <f t="shared" si="105"/>
        <v>57.182139599999999</v>
      </c>
      <c r="BN41" s="44">
        <f t="shared" si="105"/>
        <v>386.37359821000001</v>
      </c>
      <c r="BO41" s="44">
        <f t="shared" si="105"/>
        <v>326.15609263000005</v>
      </c>
      <c r="BP41" s="44">
        <f t="shared" si="105"/>
        <v>76.955085890000021</v>
      </c>
      <c r="BQ41" s="44">
        <f t="shared" si="105"/>
        <v>403.11117911000002</v>
      </c>
      <c r="BR41" s="44">
        <f t="shared" si="105"/>
        <v>275.41837989999993</v>
      </c>
      <c r="BS41" s="44">
        <f t="shared" si="105"/>
        <v>59.880560520000003</v>
      </c>
      <c r="BT41" s="44">
        <f t="shared" si="105"/>
        <v>335.29894017000004</v>
      </c>
      <c r="BU41" s="44">
        <f t="shared" si="105"/>
        <v>344.53750244000003</v>
      </c>
      <c r="BV41" s="44">
        <f t="shared" si="105"/>
        <v>51.771642479999997</v>
      </c>
      <c r="BW41" s="44">
        <f t="shared" si="105"/>
        <v>396.30914500000006</v>
      </c>
      <c r="BX41" s="44">
        <f t="shared" si="105"/>
        <v>293.79962878999999</v>
      </c>
      <c r="BY41" s="44">
        <f t="shared" si="105"/>
        <v>73.330596950000015</v>
      </c>
      <c r="BZ41" s="44">
        <f t="shared" si="105"/>
        <v>367.13022573999996</v>
      </c>
      <c r="CA41" s="44">
        <f t="shared" si="105"/>
        <v>255.97680942000002</v>
      </c>
      <c r="CB41" s="44">
        <f t="shared" si="105"/>
        <v>58.302879260000005</v>
      </c>
      <c r="CC41" s="44">
        <f t="shared" si="105"/>
        <v>314.27968873999998</v>
      </c>
      <c r="CD41" s="44">
        <f t="shared" si="105"/>
        <v>277.92407081999994</v>
      </c>
      <c r="CE41" s="44">
        <f t="shared" si="105"/>
        <v>50.680136600000004</v>
      </c>
      <c r="CF41" s="44">
        <f t="shared" si="105"/>
        <v>328.60420741999997</v>
      </c>
      <c r="CG41" s="44">
        <f t="shared" si="105"/>
        <v>315.16074918999988</v>
      </c>
      <c r="CH41" s="44">
        <f t="shared" si="105"/>
        <v>97.057140289999992</v>
      </c>
      <c r="CI41" s="44">
        <f t="shared" si="105"/>
        <v>412.21788947999988</v>
      </c>
      <c r="CJ41" s="44">
        <f t="shared" ref="CJ41:CO41" si="106">CJ42+CJ47+CJ48+CJ53+CJ57+CJ60+CJ61</f>
        <v>304.42460433000008</v>
      </c>
      <c r="CK41" s="44">
        <f t="shared" si="106"/>
        <v>139.37988396</v>
      </c>
      <c r="CL41" s="44">
        <f t="shared" si="106"/>
        <v>443.80448828999999</v>
      </c>
      <c r="CM41" s="44">
        <f t="shared" si="106"/>
        <v>471.96189572000009</v>
      </c>
      <c r="CN41" s="44">
        <f t="shared" si="106"/>
        <v>219.35481589999995</v>
      </c>
      <c r="CO41" s="44">
        <f t="shared" si="106"/>
        <v>691.31671162000009</v>
      </c>
      <c r="CP41" s="50">
        <f t="shared" si="24"/>
        <v>3837.3063964199996</v>
      </c>
      <c r="CQ41" s="50">
        <f t="shared" si="25"/>
        <v>1022.92732517</v>
      </c>
      <c r="CR41" s="50">
        <f t="shared" si="26"/>
        <v>4860.2337217900003</v>
      </c>
      <c r="CS41" s="42">
        <f t="shared" si="93"/>
        <v>3837.1781885</v>
      </c>
      <c r="CT41" s="42">
        <f>CT42+CT47+CT48+CT53+CT57+CT60+CT61</f>
        <v>1022.9280405</v>
      </c>
      <c r="CU41" s="42">
        <f>CU42+CU47+CU48+CU53+CU57+CU60+CU61</f>
        <v>4860.106229</v>
      </c>
      <c r="CV41" s="44">
        <f>CV42+CV47+CV48+CV53+CV57+CV60+CV61</f>
        <v>335.42559770999998</v>
      </c>
      <c r="CW41" s="44">
        <f>CW42+CW47+CW48+CW53+CW57+CW60+CW61</f>
        <v>63.471495089999991</v>
      </c>
      <c r="CX41" s="44">
        <f>CX42+CX47+CX48+CX53+CX57+CX60+CX61</f>
        <v>398.89709279999994</v>
      </c>
      <c r="CY41" s="44">
        <v>365.77789697000003</v>
      </c>
      <c r="CZ41" s="44">
        <v>73.560249589999998</v>
      </c>
      <c r="DA41" s="44">
        <v>439.33814655999998</v>
      </c>
      <c r="DB41" s="44">
        <v>333.91657841000006</v>
      </c>
      <c r="DC41" s="44">
        <v>71.025407340000001</v>
      </c>
      <c r="DD41" s="44">
        <v>404.94198575000007</v>
      </c>
      <c r="DE41" s="44">
        <v>356.2954492799999</v>
      </c>
      <c r="DF41" s="44">
        <v>74.430345790000004</v>
      </c>
      <c r="DG41" s="44">
        <v>430.72579506999989</v>
      </c>
      <c r="DH41" s="44">
        <v>296.43427548999989</v>
      </c>
      <c r="DI41" s="44">
        <v>42.98697937</v>
      </c>
      <c r="DJ41" s="44">
        <v>339.42125485999992</v>
      </c>
      <c r="DK41" s="44">
        <v>381.86999929000007</v>
      </c>
      <c r="DL41" s="44">
        <v>65.965308029999989</v>
      </c>
      <c r="DM41" s="44">
        <v>447.83530732000008</v>
      </c>
      <c r="DN41" s="44">
        <v>327.44084306999991</v>
      </c>
      <c r="DO41" s="44">
        <v>56.923196599999997</v>
      </c>
      <c r="DP41" s="44">
        <v>384.36403966999995</v>
      </c>
      <c r="DQ41" s="44">
        <v>279.41142133</v>
      </c>
      <c r="DR41" s="44">
        <v>64.996486730000001</v>
      </c>
      <c r="DS41" s="44">
        <v>344.40790805999995</v>
      </c>
      <c r="DT41" s="44">
        <v>283.81096007000002</v>
      </c>
      <c r="DU41" s="44">
        <v>64.528699599999996</v>
      </c>
      <c r="DV41" s="44">
        <v>348.33965966999995</v>
      </c>
      <c r="DW41" s="44">
        <v>306.58376972000008</v>
      </c>
      <c r="DX41" s="44">
        <v>56.826083219999994</v>
      </c>
      <c r="DY41" s="44">
        <v>363.40985294000001</v>
      </c>
      <c r="DZ41" s="44">
        <v>301.98609283000008</v>
      </c>
      <c r="EA41" s="44">
        <v>95.101057130000001</v>
      </c>
      <c r="EB41" s="44">
        <v>397.08714996000009</v>
      </c>
      <c r="EC41" s="44">
        <v>472.66921263000012</v>
      </c>
      <c r="ED41" s="44">
        <v>177.86577436999997</v>
      </c>
      <c r="EE41" s="44">
        <v>650.534987</v>
      </c>
      <c r="EF41" s="50">
        <f t="shared" si="27"/>
        <v>4041.6220967999998</v>
      </c>
      <c r="EG41" s="50">
        <f t="shared" si="28"/>
        <v>907.68108285999983</v>
      </c>
      <c r="EH41" s="50">
        <f t="shared" si="29"/>
        <v>4949.3031796599998</v>
      </c>
      <c r="EI41" s="50">
        <f t="shared" si="94"/>
        <v>4041.6099319599998</v>
      </c>
      <c r="EJ41" s="50">
        <f>EJ42+EJ47+EJ48+EJ53+EJ57+EJ60+EJ61</f>
        <v>907.69340610999996</v>
      </c>
      <c r="EK41" s="50">
        <f>EK42+EK47+EK48+EK53+EK57+EK60+EK61</f>
        <v>4949.3033380699999</v>
      </c>
      <c r="EL41" s="50">
        <v>297.33606637000003</v>
      </c>
      <c r="EM41" s="50">
        <v>72.199719330000008</v>
      </c>
      <c r="EN41" s="50">
        <v>369.53578570000002</v>
      </c>
      <c r="EO41" s="50">
        <v>359.99445506999996</v>
      </c>
      <c r="EP41" s="50">
        <v>96.049199739999978</v>
      </c>
      <c r="EQ41" s="50">
        <v>456.04365480999996</v>
      </c>
      <c r="ER41" s="50">
        <v>342.16781045999994</v>
      </c>
      <c r="ES41" s="50">
        <v>104.41805511</v>
      </c>
      <c r="ET41" s="50">
        <v>446.58586557000001</v>
      </c>
      <c r="EU41" s="50">
        <v>386.53659736999987</v>
      </c>
      <c r="EV41" s="50">
        <v>84.780162649999994</v>
      </c>
      <c r="EW41" s="50">
        <v>471.31676001999995</v>
      </c>
      <c r="EX41" s="50">
        <v>323.39757162000001</v>
      </c>
      <c r="EY41" s="50">
        <v>28.313402850000003</v>
      </c>
      <c r="EZ41" s="50">
        <v>351.71097446999994</v>
      </c>
      <c r="FA41" s="50">
        <v>360.46082599999994</v>
      </c>
      <c r="FB41" s="50">
        <v>34.958514220000005</v>
      </c>
      <c r="FC41" s="50">
        <v>395.41934021999998</v>
      </c>
      <c r="FD41" s="50">
        <v>315.66097427</v>
      </c>
      <c r="FE41" s="50">
        <v>62.500733470000007</v>
      </c>
      <c r="FF41" s="50">
        <v>378.16170774</v>
      </c>
      <c r="FG41" s="50">
        <v>290.20297580000005</v>
      </c>
      <c r="FH41" s="50">
        <v>29.057009920000002</v>
      </c>
      <c r="FI41" s="50">
        <v>319.25998571999992</v>
      </c>
      <c r="FJ41" s="50">
        <v>282.17028439000006</v>
      </c>
      <c r="FK41" s="50">
        <v>26.669316920000004</v>
      </c>
      <c r="FL41" s="50">
        <v>308.83960131000003</v>
      </c>
      <c r="FM41" s="50">
        <v>376.43008516999998</v>
      </c>
      <c r="FN41" s="50">
        <v>93.707246850000004</v>
      </c>
      <c r="FO41" s="50">
        <v>470.13733202000009</v>
      </c>
      <c r="FP41" s="50">
        <v>343.35424723</v>
      </c>
      <c r="FQ41" s="50">
        <v>98.80259126</v>
      </c>
      <c r="FR41" s="50">
        <v>442.15683848999998</v>
      </c>
      <c r="FS41" s="50">
        <v>470.27070406000018</v>
      </c>
      <c r="FT41" s="50">
        <v>141.15096584999998</v>
      </c>
      <c r="FU41" s="50">
        <v>611.42166991000022</v>
      </c>
      <c r="FV41" s="50">
        <f t="shared" si="30"/>
        <v>4147.9825978099998</v>
      </c>
      <c r="FW41" s="50">
        <f t="shared" si="31"/>
        <v>872.60691816999997</v>
      </c>
      <c r="FX41" s="50">
        <f t="shared" si="32"/>
        <v>5020.5895159800002</v>
      </c>
      <c r="FY41" s="50">
        <f t="shared" si="95"/>
        <v>4147.7159239999992</v>
      </c>
      <c r="FZ41" s="50">
        <f>FZ42+FZ47+FZ48+FZ53+FZ57+FZ60+FZ61</f>
        <v>872.61012099999994</v>
      </c>
      <c r="GA41" s="50">
        <f>GA42+GA47+GA48+GA53+GA57+GA60+GA61</f>
        <v>5020.3260449999989</v>
      </c>
      <c r="GB41" s="50">
        <v>300.76851624999995</v>
      </c>
      <c r="GC41" s="50">
        <v>65.692103670000009</v>
      </c>
      <c r="GD41" s="50">
        <v>366.46061992</v>
      </c>
      <c r="GE41" s="50">
        <v>395.96551094999995</v>
      </c>
      <c r="GF41" s="50">
        <v>45.427657269999997</v>
      </c>
      <c r="GG41" s="50">
        <v>441.39316822000006</v>
      </c>
      <c r="GH41" s="50">
        <v>360.67411169000002</v>
      </c>
      <c r="GI41" s="50">
        <v>46.059015910000006</v>
      </c>
      <c r="GJ41" s="50">
        <v>406.73312760000005</v>
      </c>
      <c r="GK41" s="50">
        <v>375.87859634</v>
      </c>
      <c r="GL41" s="50">
        <v>29.507989710000004</v>
      </c>
      <c r="GM41" s="50">
        <v>405.38658604999995</v>
      </c>
      <c r="GN41" s="50">
        <v>359.74579442999993</v>
      </c>
      <c r="GO41" s="50">
        <v>42.257185209999996</v>
      </c>
      <c r="GP41" s="50">
        <v>402.00297963999992</v>
      </c>
      <c r="GQ41" s="50">
        <v>445.79951235999999</v>
      </c>
      <c r="GR41" s="50">
        <v>46.084846239999997</v>
      </c>
      <c r="GS41" s="50">
        <v>491.88435860000004</v>
      </c>
      <c r="GT41" s="50">
        <v>325.72517429000004</v>
      </c>
      <c r="GU41" s="50">
        <v>36.418689659999984</v>
      </c>
      <c r="GV41" s="50">
        <v>362.14386395000008</v>
      </c>
      <c r="GW41" s="50">
        <v>280.43997219000005</v>
      </c>
      <c r="GX41" s="50">
        <v>38.028545359999995</v>
      </c>
      <c r="GY41" s="50">
        <v>318.46851755000006</v>
      </c>
      <c r="GZ41" s="50">
        <v>302.26401656000002</v>
      </c>
      <c r="HA41" s="50">
        <v>39.254169279999999</v>
      </c>
      <c r="HB41" s="50">
        <v>341.51818584000006</v>
      </c>
      <c r="HC41" s="50">
        <v>373.10524384999985</v>
      </c>
      <c r="HD41" s="50">
        <v>147.36234125000004</v>
      </c>
      <c r="HE41" s="50">
        <v>520.46758509999984</v>
      </c>
      <c r="HF41" s="50">
        <v>381.09094370000003</v>
      </c>
      <c r="HG41" s="50">
        <v>94.954458290000048</v>
      </c>
      <c r="HH41" s="50">
        <v>476.04540199000013</v>
      </c>
      <c r="HI41" s="50">
        <v>478.92541732000007</v>
      </c>
      <c r="HJ41" s="50">
        <v>192.93912433000006</v>
      </c>
      <c r="HK41" s="50">
        <v>671.86454165000021</v>
      </c>
      <c r="HL41" s="50">
        <f t="shared" si="33"/>
        <v>4380.382809929999</v>
      </c>
      <c r="HM41" s="50">
        <f t="shared" si="34"/>
        <v>823.98612618000004</v>
      </c>
      <c r="HN41" s="50">
        <f t="shared" si="35"/>
        <v>5204.3689361100005</v>
      </c>
      <c r="HO41" s="50">
        <f t="shared" si="96"/>
        <v>4382.8880360000003</v>
      </c>
      <c r="HP41" s="50">
        <f>HP42+HP47+HP48+HP53+HP57+HP60+HP61</f>
        <v>823.984331</v>
      </c>
      <c r="HQ41" s="50">
        <f>HQ42+HQ47+HQ48+HQ53+HQ57+HQ60+HQ61</f>
        <v>5206.8723669999999</v>
      </c>
      <c r="HR41" s="50">
        <v>309.91966824999963</v>
      </c>
      <c r="HS41" s="50">
        <v>71.840554880000028</v>
      </c>
      <c r="HT41" s="50">
        <v>381.76022313000004</v>
      </c>
      <c r="HU41" s="50">
        <v>380.68538283000015</v>
      </c>
      <c r="HV41" s="50">
        <v>50.233147870000018</v>
      </c>
      <c r="HW41" s="50">
        <v>430.91853070000002</v>
      </c>
      <c r="HX41" s="50">
        <v>379.75098967000019</v>
      </c>
      <c r="HY41" s="50">
        <v>53.227870480000007</v>
      </c>
      <c r="HZ41" s="50">
        <v>432.97886015000012</v>
      </c>
      <c r="IA41" s="50">
        <v>499.46178308999998</v>
      </c>
      <c r="IB41" s="50">
        <v>41.791962959999964</v>
      </c>
      <c r="IC41" s="50">
        <v>541.25374605000002</v>
      </c>
      <c r="ID41" s="50">
        <v>358.89012690999999</v>
      </c>
      <c r="IE41" s="50">
        <v>48.251223899999992</v>
      </c>
      <c r="IF41" s="50">
        <v>407.14135080999995</v>
      </c>
      <c r="IG41" s="50">
        <v>426.00573967000088</v>
      </c>
      <c r="IH41" s="50">
        <v>66.494921760000011</v>
      </c>
      <c r="II41" s="50">
        <v>492.50066142999998</v>
      </c>
      <c r="IJ41" s="50">
        <v>380.13032850999991</v>
      </c>
      <c r="IK41" s="50">
        <v>53.108562680000048</v>
      </c>
      <c r="IL41" s="50">
        <v>433.23889119000017</v>
      </c>
      <c r="IM41" s="50">
        <v>323.2886785099999</v>
      </c>
      <c r="IN41" s="50">
        <v>86.043415060000001</v>
      </c>
      <c r="IO41" s="50">
        <v>409.3320935700001</v>
      </c>
      <c r="IP41" s="50">
        <v>363.62168687000053</v>
      </c>
      <c r="IQ41" s="50">
        <v>48.626591170000026</v>
      </c>
      <c r="IR41" s="50">
        <v>412.24827804</v>
      </c>
      <c r="IS41" s="50">
        <v>426.4623527199995</v>
      </c>
      <c r="IT41" s="50">
        <v>189.99049366000008</v>
      </c>
      <c r="IU41" s="50">
        <v>616.45284638000021</v>
      </c>
      <c r="IV41" s="50">
        <v>456.91851334000012</v>
      </c>
      <c r="IW41" s="50">
        <v>88.550770229999969</v>
      </c>
      <c r="IX41" s="50">
        <v>545.46928357000002</v>
      </c>
      <c r="IY41" s="50">
        <v>591.39954274999991</v>
      </c>
      <c r="IZ41" s="50">
        <v>221.21683852999996</v>
      </c>
      <c r="JA41" s="50">
        <v>812.61638128000061</v>
      </c>
      <c r="JB41" s="50">
        <f t="shared" si="36"/>
        <v>4896.5347931200013</v>
      </c>
      <c r="JC41" s="50">
        <f t="shared" si="37"/>
        <v>1019.37635318</v>
      </c>
      <c r="JD41" s="50">
        <f t="shared" si="38"/>
        <v>5915.9111463000008</v>
      </c>
      <c r="JE41" s="50">
        <f t="shared" si="97"/>
        <v>4896.538571</v>
      </c>
      <c r="JF41" s="50">
        <f>JF42+JF47+JF48+JF53+JF57+JF60+JF61</f>
        <v>1019.3707270000001</v>
      </c>
      <c r="JG41" s="50">
        <f>JG42+JG47+JG48+JG53+JG57+JG60+JG61</f>
        <v>5915.9092980000005</v>
      </c>
      <c r="JH41" s="50">
        <v>394.30922009000017</v>
      </c>
      <c r="JI41" s="50">
        <v>68.142640849999978</v>
      </c>
      <c r="JJ41" s="50">
        <v>462.45186094000002</v>
      </c>
      <c r="JK41" s="50">
        <v>458.59360101000055</v>
      </c>
      <c r="JL41" s="50">
        <v>62.549513149999981</v>
      </c>
      <c r="JM41" s="50">
        <v>521.14311415999998</v>
      </c>
      <c r="JN41" s="50">
        <v>367.66631318999981</v>
      </c>
      <c r="JO41" s="50">
        <v>59.793354350000001</v>
      </c>
      <c r="JP41" s="50">
        <v>427.45966753999988</v>
      </c>
      <c r="JQ41" s="50">
        <v>461.57927053000071</v>
      </c>
      <c r="JR41" s="50">
        <v>57.355455020000022</v>
      </c>
      <c r="JS41" s="50">
        <v>518.93472554999994</v>
      </c>
      <c r="JT41" s="50">
        <v>390.78411551999955</v>
      </c>
      <c r="JU41" s="50">
        <v>51.667943860000001</v>
      </c>
      <c r="JV41" s="50">
        <v>442.45205937999975</v>
      </c>
      <c r="JW41" s="50">
        <v>427.96463898000047</v>
      </c>
      <c r="JX41" s="50">
        <v>49.200619140000001</v>
      </c>
      <c r="JY41" s="50">
        <v>477.16525812000009</v>
      </c>
      <c r="JZ41" s="50">
        <v>424.26655137999967</v>
      </c>
      <c r="KA41" s="50">
        <v>75.433571060000006</v>
      </c>
      <c r="KB41" s="50">
        <v>499.70012244000014</v>
      </c>
      <c r="KC41" s="50">
        <v>341.5279300800002</v>
      </c>
      <c r="KD41" s="50">
        <v>62.024372239999977</v>
      </c>
      <c r="KE41" s="50">
        <v>403.55230231999991</v>
      </c>
      <c r="KF41" s="50">
        <v>378.15263433000013</v>
      </c>
      <c r="KG41" s="50">
        <v>51.458990329999999</v>
      </c>
      <c r="KH41" s="50">
        <v>429.61162466000002</v>
      </c>
      <c r="KI41" s="50">
        <v>449.73955579999966</v>
      </c>
      <c r="KJ41" s="50">
        <v>171.54318090000001</v>
      </c>
      <c r="KK41" s="50">
        <v>621.2827367000001</v>
      </c>
      <c r="KL41" s="50">
        <v>454.5946846300003</v>
      </c>
      <c r="KM41" s="50">
        <v>57.14676731000003</v>
      </c>
      <c r="KN41" s="50">
        <v>511.74145193999976</v>
      </c>
      <c r="KO41" s="50">
        <v>587.12493346000156</v>
      </c>
      <c r="KP41" s="50">
        <v>249.54199434999998</v>
      </c>
      <c r="KQ41" s="50">
        <v>836.66692780999972</v>
      </c>
      <c r="KR41" s="50">
        <f t="shared" si="48"/>
        <v>5136.3034490000027</v>
      </c>
      <c r="KS41" s="50">
        <f t="shared" si="39"/>
        <v>1015.8584025599999</v>
      </c>
      <c r="KT41" s="50">
        <f t="shared" si="49"/>
        <v>6152.1618515599994</v>
      </c>
      <c r="KU41" s="50">
        <f t="shared" si="98"/>
        <v>5135.0379340000009</v>
      </c>
      <c r="KV41" s="50">
        <f>KV42+KV47+KV48+KV53+KV57+KV60+KV61</f>
        <v>1015.9015879999999</v>
      </c>
      <c r="KW41" s="50">
        <f>KW42+KW47+KW48+KW53+KW57+KW60+KW61</f>
        <v>6150.9395220000006</v>
      </c>
      <c r="KX41" s="50">
        <v>417.08037885000033</v>
      </c>
      <c r="KY41" s="50">
        <v>70.460412300000016</v>
      </c>
      <c r="KZ41" s="50">
        <v>487.54079114999985</v>
      </c>
      <c r="LA41" s="50">
        <v>469.86881335000032</v>
      </c>
      <c r="LB41" s="50">
        <v>60.160321070000002</v>
      </c>
      <c r="LC41" s="50">
        <v>530.02913441999999</v>
      </c>
      <c r="LD41" s="50">
        <v>397.96626960000003</v>
      </c>
      <c r="LE41" s="50">
        <v>94.836666090000051</v>
      </c>
      <c r="LF41" s="50">
        <v>492.80293568999974</v>
      </c>
      <c r="LG41" s="50">
        <v>630.56751679999991</v>
      </c>
      <c r="LH41" s="50">
        <v>45.890090739999977</v>
      </c>
      <c r="LI41" s="174">
        <v>676.45760754000003</v>
      </c>
      <c r="LJ41" s="174">
        <v>420.70431635000028</v>
      </c>
      <c r="LK41" s="50">
        <v>36.515959080000023</v>
      </c>
      <c r="LL41" s="174">
        <v>457.22027542999996</v>
      </c>
      <c r="LM41" s="50">
        <v>487.44245683999998</v>
      </c>
      <c r="LN41" s="50">
        <v>54.270729900000021</v>
      </c>
      <c r="LO41" s="50">
        <v>541.71318673999997</v>
      </c>
      <c r="LP41" s="50">
        <v>492.31358273000063</v>
      </c>
      <c r="LQ41" s="44">
        <v>49.41810795</v>
      </c>
      <c r="LR41" s="44">
        <v>541.73169068000004</v>
      </c>
      <c r="LS41" s="50">
        <v>431.82651806000058</v>
      </c>
      <c r="LT41" s="50">
        <v>84.885750319999971</v>
      </c>
      <c r="LU41" s="52">
        <v>516.71226837999961</v>
      </c>
      <c r="LV41" s="44">
        <v>449.50515558000029</v>
      </c>
      <c r="LW41" s="44">
        <v>44.215972860000008</v>
      </c>
      <c r="LX41" s="44">
        <v>493.72112844000003</v>
      </c>
      <c r="LY41" s="44">
        <v>508.52532357000001</v>
      </c>
      <c r="LZ41" s="44">
        <v>164.57327707000002</v>
      </c>
      <c r="MA41" s="44">
        <v>673.09860063999997</v>
      </c>
      <c r="MB41" s="44">
        <v>466.07162026999964</v>
      </c>
      <c r="MC41" s="44">
        <v>47.654211039999986</v>
      </c>
      <c r="MD41" s="44">
        <v>513.72583130999965</v>
      </c>
      <c r="ME41" s="44">
        <v>701.61071178999998</v>
      </c>
      <c r="MF41" s="44">
        <v>250.74737821000005</v>
      </c>
      <c r="MG41" s="44">
        <v>952.35808999999983</v>
      </c>
      <c r="MH41" s="50">
        <f t="shared" si="66"/>
        <v>5873.4826637900023</v>
      </c>
      <c r="MI41" s="50">
        <f t="shared" si="50"/>
        <v>1003.62887663</v>
      </c>
      <c r="MJ41" s="50">
        <f t="shared" si="51"/>
        <v>6877.1115404199991</v>
      </c>
      <c r="MK41" s="50">
        <f t="shared" si="99"/>
        <v>5873.2149069999996</v>
      </c>
      <c r="ML41" s="50">
        <f>ML42+ML47+ML48+ML53+ML57+ML60+ML61</f>
        <v>1004.0219470000001</v>
      </c>
      <c r="MM41" s="50">
        <f>MM42+MM47+MM48+MM53+MM57+MM60+MM61</f>
        <v>6877.2368539999998</v>
      </c>
      <c r="MN41" s="44">
        <v>479.54998640000053</v>
      </c>
      <c r="MO41" s="44">
        <v>44.226773320000014</v>
      </c>
      <c r="MP41" s="44">
        <v>523.77675971999997</v>
      </c>
      <c r="MQ41" s="44">
        <v>646.66733288999978</v>
      </c>
      <c r="MR41" s="44">
        <v>63.494409989999994</v>
      </c>
      <c r="MS41" s="44">
        <v>710.16174287999979</v>
      </c>
      <c r="MT41" s="50">
        <v>836.93931339999995</v>
      </c>
      <c r="MU41" s="50">
        <v>61.921244600000001</v>
      </c>
      <c r="MV41" s="50">
        <v>898.8605580000002</v>
      </c>
      <c r="MW41" s="44">
        <v>818.11744278000049</v>
      </c>
      <c r="MX41" s="44">
        <v>39.340363549999985</v>
      </c>
      <c r="MY41" s="44">
        <v>857.45780632999993</v>
      </c>
      <c r="MZ41" s="44">
        <v>580.28199690999963</v>
      </c>
      <c r="NA41" s="44">
        <v>47.855720689999984</v>
      </c>
      <c r="NB41" s="44">
        <v>628.13771760000009</v>
      </c>
      <c r="NC41" s="44">
        <v>757.21618982000075</v>
      </c>
      <c r="ND41" s="44">
        <v>52.692233829999999</v>
      </c>
      <c r="NE41" s="44">
        <v>809.90842364999969</v>
      </c>
      <c r="NF41" s="44">
        <v>566.47345268999993</v>
      </c>
      <c r="NG41" s="44">
        <v>42.076431599999999</v>
      </c>
      <c r="NH41" s="44">
        <v>608.54988429000014</v>
      </c>
      <c r="NI41" s="44">
        <v>460.35597938000001</v>
      </c>
      <c r="NJ41" s="44">
        <v>44.218063510000007</v>
      </c>
      <c r="NK41" s="44">
        <v>504.57404289000021</v>
      </c>
      <c r="NL41" s="44">
        <v>485.98623192000059</v>
      </c>
      <c r="NM41" s="44">
        <v>91.983811309999993</v>
      </c>
      <c r="NN41" s="44">
        <v>577.97004322999999</v>
      </c>
      <c r="NO41" s="44">
        <v>560.11898547999976</v>
      </c>
      <c r="NP41" s="44">
        <v>166.38234103999997</v>
      </c>
      <c r="NQ41" s="44">
        <v>726.50132652000002</v>
      </c>
      <c r="NR41" s="44">
        <v>556.97759479999945</v>
      </c>
      <c r="NS41" s="44">
        <v>59.135462820000022</v>
      </c>
      <c r="NT41" s="44">
        <v>616.11305761999961</v>
      </c>
      <c r="NU41" s="44">
        <v>870.0300792499994</v>
      </c>
      <c r="NV41" s="44">
        <v>270.48156118999998</v>
      </c>
      <c r="NW41" s="44">
        <v>1140.5116404400005</v>
      </c>
      <c r="NX41" s="50">
        <f t="shared" si="67"/>
        <v>7618.7145857199994</v>
      </c>
      <c r="NY41" s="50">
        <f t="shared" si="40"/>
        <v>983.80841744999998</v>
      </c>
      <c r="NZ41" s="50">
        <f t="shared" si="41"/>
        <v>8602.5230031700012</v>
      </c>
      <c r="OA41" s="50">
        <f t="shared" si="100"/>
        <v>7607.4947010000005</v>
      </c>
      <c r="OB41" s="50">
        <f>OB42+OB47+OB48+OB53+OB57+OB60+OB61</f>
        <v>983.93445099999997</v>
      </c>
      <c r="OC41" s="50">
        <f>OC42+OC47+OC48+OC53+OC57+OC60+OC61</f>
        <v>8591.4291520000006</v>
      </c>
      <c r="OD41" s="44">
        <v>597.19345626999973</v>
      </c>
      <c r="OE41" s="44">
        <v>49.21037565999999</v>
      </c>
      <c r="OF41" s="44">
        <v>646.40383193000002</v>
      </c>
      <c r="OG41" s="50">
        <v>691.05890819000047</v>
      </c>
      <c r="OH41" s="44">
        <v>46.384008189999989</v>
      </c>
      <c r="OI41" s="44">
        <v>737.4429163800005</v>
      </c>
      <c r="OJ41" s="44">
        <f t="shared" ref="OJ41:OJ73" si="107">OL41-OK41</f>
        <v>660.08382618000007</v>
      </c>
      <c r="OK41" s="44">
        <v>75.054516110000122</v>
      </c>
      <c r="OL41" s="44">
        <v>735.1383422900002</v>
      </c>
      <c r="OM41" s="44">
        <v>685.83444526999938</v>
      </c>
      <c r="ON41" s="44">
        <v>58.326294489999917</v>
      </c>
      <c r="OO41" s="44">
        <v>744.16073975999927</v>
      </c>
      <c r="OP41" s="44">
        <v>680.79475934000027</v>
      </c>
      <c r="OQ41" s="44">
        <v>50.06992213999996</v>
      </c>
      <c r="OR41" s="44">
        <v>730.86468148000165</v>
      </c>
      <c r="OS41" s="44">
        <v>613.8244383499989</v>
      </c>
      <c r="OT41" s="44">
        <v>50.929276220000034</v>
      </c>
      <c r="OU41" s="44">
        <v>664.75371456999949</v>
      </c>
      <c r="OV41" s="44">
        <v>608.07307599999842</v>
      </c>
      <c r="OW41" s="44">
        <v>46.298536650000081</v>
      </c>
      <c r="OX41" s="44">
        <v>654.37161264999895</v>
      </c>
      <c r="OY41" s="95">
        <v>471.24390716999926</v>
      </c>
      <c r="OZ41" s="95">
        <v>81.588028159999979</v>
      </c>
      <c r="PA41" s="95">
        <v>552.83193532999974</v>
      </c>
      <c r="PB41" s="44">
        <v>714.19052704999933</v>
      </c>
      <c r="PC41" s="44">
        <v>96.13702911</v>
      </c>
      <c r="PD41" s="44">
        <v>810.32755615999793</v>
      </c>
      <c r="PE41" s="44">
        <v>831.07626335999885</v>
      </c>
      <c r="PF41" s="44">
        <v>192.27066929999984</v>
      </c>
      <c r="PG41" s="44">
        <v>1023.346932659999</v>
      </c>
      <c r="PH41" s="44">
        <v>593.13253325000085</v>
      </c>
      <c r="PI41" s="44">
        <v>80.974267090000112</v>
      </c>
      <c r="PJ41" s="44">
        <v>674.10680033999904</v>
      </c>
      <c r="PK41" s="44">
        <v>1033.8881305799996</v>
      </c>
      <c r="PL41" s="44">
        <v>314.66049206999946</v>
      </c>
      <c r="PM41" s="44">
        <v>1348.5486226500002</v>
      </c>
      <c r="PN41" s="50">
        <f t="shared" si="88"/>
        <v>8180.3942710099955</v>
      </c>
      <c r="PO41" s="50">
        <f t="shared" ref="PO41:PO73" si="108">OE41+OH41+OK41+ON41+OQ41+OT41+OW41+OZ41+PC41+PF41+PI41+PL41</f>
        <v>1141.9034151899996</v>
      </c>
      <c r="PP41" s="50">
        <f t="shared" si="43"/>
        <v>9322.2976861999941</v>
      </c>
      <c r="PQ41" s="50">
        <f t="shared" si="101"/>
        <v>8174.2940306399996</v>
      </c>
      <c r="PR41" s="50">
        <f>PR42+PR47+PR48+PR53+PR57+PR60+PR61</f>
        <v>1141.9067453600001</v>
      </c>
      <c r="PS41" s="50">
        <f>PS42+PS47+PS48+PS53+PS57+PS60+PS61</f>
        <v>9316.2007759999997</v>
      </c>
      <c r="PT41" s="44">
        <v>490.85394561000066</v>
      </c>
      <c r="PU41" s="44">
        <v>53.343993580000067</v>
      </c>
      <c r="PV41" s="44">
        <v>544.19793919000062</v>
      </c>
      <c r="PW41" s="44">
        <v>716.70188105999955</v>
      </c>
      <c r="PX41" s="44">
        <v>153.56214882999981</v>
      </c>
      <c r="PY41" s="44">
        <v>870.26402988999769</v>
      </c>
      <c r="PZ41" s="44">
        <v>667.78809011999874</v>
      </c>
      <c r="QA41" s="44">
        <v>91.724769849999944</v>
      </c>
      <c r="QB41" s="44">
        <v>759.51285996999945</v>
      </c>
      <c r="QC41" s="44">
        <v>651.19684275000111</v>
      </c>
      <c r="QD41" s="44">
        <v>100.42954980999988</v>
      </c>
      <c r="QE41" s="44">
        <v>751.62639255999989</v>
      </c>
      <c r="QF41" s="50">
        <v>624.27915946999826</v>
      </c>
      <c r="QG41" s="44">
        <v>92.622421149999937</v>
      </c>
      <c r="QH41" s="44">
        <v>716.90158061999819</v>
      </c>
      <c r="QI41" s="50">
        <v>675.85679823999908</v>
      </c>
      <c r="QJ41" s="44">
        <v>93.865935639999918</v>
      </c>
      <c r="QK41" s="44">
        <v>769.72273387999894</v>
      </c>
      <c r="QL41" s="44">
        <v>597.98615748999975</v>
      </c>
      <c r="QM41" s="44">
        <v>81.807847010000117</v>
      </c>
      <c r="QN41" s="44">
        <v>679.79400449999855</v>
      </c>
      <c r="QO41" s="50">
        <v>511.57814385000336</v>
      </c>
      <c r="QP41" s="44">
        <v>102.02301780999993</v>
      </c>
      <c r="QQ41" s="44">
        <v>613.6011616600033</v>
      </c>
      <c r="QR41" s="44">
        <v>570.6515440500001</v>
      </c>
      <c r="QS41" s="44">
        <v>90.066654860000043</v>
      </c>
      <c r="QT41" s="44">
        <v>660.71819891000155</v>
      </c>
      <c r="QU41" s="50">
        <v>719.32307606000074</v>
      </c>
      <c r="QV41" s="44">
        <v>137.00536528000009</v>
      </c>
      <c r="QW41" s="44">
        <v>856.32844134000084</v>
      </c>
      <c r="QX41" s="50">
        <v>673.62239023000109</v>
      </c>
      <c r="QY41" s="44">
        <v>134.71252837</v>
      </c>
      <c r="QZ41" s="44">
        <v>808.33491860000106</v>
      </c>
      <c r="RA41" s="50">
        <v>1115.2012102900032</v>
      </c>
      <c r="RB41" s="44">
        <v>411.35991648999953</v>
      </c>
      <c r="RC41" s="44">
        <v>1526.5611267800027</v>
      </c>
      <c r="RD41" s="50">
        <f t="shared" si="52"/>
        <v>8015.0392392200056</v>
      </c>
      <c r="RE41" s="50">
        <f t="shared" si="53"/>
        <v>1542.5241486799994</v>
      </c>
      <c r="RF41" s="50">
        <f t="shared" si="54"/>
        <v>9557.5633879000034</v>
      </c>
      <c r="RG41" s="50">
        <f>RI41-RH41</f>
        <v>8011.0025380000006</v>
      </c>
      <c r="RH41" s="50">
        <f>RH42+RH47+RH48+RH53+RH57+RH60+RH61</f>
        <v>1542.5792299999996</v>
      </c>
      <c r="RI41" s="50">
        <f>RI42+RI47+RI48+RI53+RI57+RI60+RI61</f>
        <v>9553.581768</v>
      </c>
      <c r="RJ41" s="50">
        <v>631.48236705000011</v>
      </c>
      <c r="RK41" s="50">
        <v>126.96353527000005</v>
      </c>
      <c r="RL41" s="50">
        <v>758.44590232000053</v>
      </c>
      <c r="RM41" s="50">
        <v>633.88592720999964</v>
      </c>
      <c r="RN41" s="50">
        <v>69.559415419999951</v>
      </c>
      <c r="RO41" s="50">
        <v>703.44534262999866</v>
      </c>
      <c r="RP41" s="50">
        <v>691.90283950000037</v>
      </c>
      <c r="RQ41" s="50">
        <v>81.342370850000108</v>
      </c>
      <c r="RR41" s="50">
        <v>773.24521035000055</v>
      </c>
      <c r="RS41" s="50">
        <v>870.7635246899996</v>
      </c>
      <c r="RT41" s="50">
        <v>115.48154154999989</v>
      </c>
      <c r="RU41" s="50">
        <v>986.24506623999946</v>
      </c>
      <c r="RV41" s="50">
        <v>657.52511696999795</v>
      </c>
      <c r="RW41" s="50">
        <v>63.862553119999973</v>
      </c>
      <c r="RX41" s="50">
        <v>721.38767008999787</v>
      </c>
      <c r="RY41" s="50">
        <v>780.95230437999987</v>
      </c>
      <c r="RZ41" s="50">
        <v>69.269011139999833</v>
      </c>
      <c r="SA41" s="50">
        <v>850.22131551999973</v>
      </c>
      <c r="SB41" s="50">
        <v>719.83935033999899</v>
      </c>
      <c r="SC41" s="50">
        <v>97.617149020000085</v>
      </c>
      <c r="SD41" s="50">
        <v>817.45649935999904</v>
      </c>
      <c r="SE41" s="50">
        <v>547.93613292000055</v>
      </c>
      <c r="SF41" s="50">
        <v>88.757499169999775</v>
      </c>
      <c r="SG41" s="50">
        <v>636.69363209000028</v>
      </c>
      <c r="SH41" s="50">
        <v>584.62477508999734</v>
      </c>
      <c r="SI41" s="50">
        <v>81.940177250000175</v>
      </c>
      <c r="SJ41" s="50">
        <v>666.56495233999749</v>
      </c>
      <c r="SK41" s="50">
        <v>720.40959290000046</v>
      </c>
      <c r="SL41" s="50">
        <v>164.53924962000022</v>
      </c>
      <c r="SM41" s="50">
        <v>884.94884251999986</v>
      </c>
      <c r="SN41" s="50">
        <v>694.74898307000058</v>
      </c>
      <c r="SO41" s="50">
        <v>110.03272527999994</v>
      </c>
      <c r="SP41" s="50">
        <v>804.78170835000049</v>
      </c>
      <c r="SQ41" s="50">
        <v>946.03801862000705</v>
      </c>
      <c r="SR41" s="50">
        <v>366.07546601999996</v>
      </c>
      <c r="SS41" s="50">
        <v>1312.1134846400071</v>
      </c>
      <c r="ST41" s="50">
        <f t="shared" si="55"/>
        <v>8480.1089327400023</v>
      </c>
      <c r="SU41" s="50">
        <f t="shared" si="65"/>
        <v>1435.44069371</v>
      </c>
      <c r="SV41" s="50">
        <f t="shared" si="56"/>
        <v>9915.5496264500016</v>
      </c>
      <c r="SW41" s="50">
        <f t="shared" si="103"/>
        <v>8474.9192449999991</v>
      </c>
      <c r="SX41" s="50">
        <f>SX42+SX47+SX48+SX53+SX57+SX60+SX61</f>
        <v>1435.3823339999999</v>
      </c>
      <c r="SY41" s="50">
        <f>SY42+SY47+SY48+SY53+SY57+SY60+SY61</f>
        <v>9910.301578999999</v>
      </c>
      <c r="SZ41" s="50">
        <v>733.14978270000029</v>
      </c>
      <c r="TA41" s="50">
        <v>109.08013393999988</v>
      </c>
      <c r="TB41" s="50">
        <v>842.22991663999983</v>
      </c>
      <c r="TC41" s="50">
        <v>816.39493930000049</v>
      </c>
      <c r="TD41" s="50">
        <v>101.70428710000006</v>
      </c>
      <c r="TE41" s="50">
        <v>918.09922640000059</v>
      </c>
      <c r="TF41" s="50">
        <v>722.80356782000024</v>
      </c>
      <c r="TG41" s="50">
        <v>180.13918749999991</v>
      </c>
      <c r="TH41" s="50">
        <v>902.94275532000017</v>
      </c>
      <c r="TI41" s="50">
        <v>759.71817807999912</v>
      </c>
      <c r="TJ41" s="50">
        <v>157.51962960999984</v>
      </c>
      <c r="TK41" s="50">
        <v>917.23780768999893</v>
      </c>
      <c r="TL41" s="50">
        <v>744.91728466999757</v>
      </c>
      <c r="TM41" s="50">
        <v>86.266701800000178</v>
      </c>
      <c r="TN41" s="50">
        <v>831.18398646999776</v>
      </c>
      <c r="TO41" s="50">
        <v>793.25883612000041</v>
      </c>
      <c r="TP41" s="50">
        <v>107.84522138999998</v>
      </c>
      <c r="TQ41" s="50">
        <v>901.10405751000042</v>
      </c>
      <c r="TR41" s="50">
        <v>731.10980445000064</v>
      </c>
      <c r="TS41" s="50">
        <v>118.62990456999989</v>
      </c>
      <c r="TT41" s="50">
        <v>849.73970902000053</v>
      </c>
      <c r="TU41" s="50">
        <v>563.68535842000051</v>
      </c>
      <c r="TV41" s="50">
        <v>159.68819798999982</v>
      </c>
      <c r="TW41" s="50">
        <v>723.37355641000033</v>
      </c>
      <c r="TX41" s="50">
        <v>743.24694869999928</v>
      </c>
      <c r="TY41" s="50">
        <v>116.63009457999969</v>
      </c>
      <c r="TZ41" s="50">
        <v>859.87704327999893</v>
      </c>
      <c r="UA41" s="50">
        <v>697.33176579000121</v>
      </c>
      <c r="UB41" s="50">
        <v>213.19009874000002</v>
      </c>
      <c r="UC41" s="50">
        <v>910.52186453000127</v>
      </c>
      <c r="UD41" s="50">
        <v>649.19405620999999</v>
      </c>
      <c r="UE41" s="50">
        <v>134.77509675999997</v>
      </c>
      <c r="UF41" s="50">
        <v>783.96915296999998</v>
      </c>
      <c r="UG41" s="50">
        <v>1079.5493041299978</v>
      </c>
      <c r="UH41" s="50">
        <v>364.01481878999891</v>
      </c>
      <c r="UI41" s="50">
        <v>1443.5641229199969</v>
      </c>
      <c r="UJ41" s="50">
        <f t="shared" si="45"/>
        <v>9034.3598263899985</v>
      </c>
      <c r="UK41" s="50">
        <f t="shared" si="15"/>
        <v>1849.4833727699979</v>
      </c>
      <c r="UL41" s="50">
        <f t="shared" si="16"/>
        <v>10883.843199159995</v>
      </c>
      <c r="UM41" s="50">
        <v>783.29175791000205</v>
      </c>
      <c r="UN41" s="50">
        <v>136.88750895999991</v>
      </c>
      <c r="UO41" s="50">
        <v>920.17926687000192</v>
      </c>
      <c r="UP41" s="50">
        <v>734.31552366999847</v>
      </c>
      <c r="UQ41" s="50">
        <v>112.01837839000004</v>
      </c>
      <c r="UR41" s="50">
        <v>846.33390205999854</v>
      </c>
      <c r="US41" s="50">
        <v>709.86249977000068</v>
      </c>
      <c r="UT41" s="50">
        <v>144.42065589000006</v>
      </c>
      <c r="UU41" s="50">
        <v>854.28315566000072</v>
      </c>
      <c r="UV41" s="50">
        <v>773.27379886999938</v>
      </c>
      <c r="UW41" s="50">
        <v>96.007062440000112</v>
      </c>
      <c r="UX41" s="50">
        <v>869.28086130999952</v>
      </c>
      <c r="UY41" s="50"/>
      <c r="UZ41" s="50"/>
      <c r="VA41" s="50"/>
      <c r="VB41" s="50"/>
      <c r="VC41" s="50"/>
      <c r="VD41" s="50"/>
      <c r="VE41" s="50"/>
      <c r="VF41" s="50"/>
      <c r="VG41" s="50"/>
      <c r="VH41" s="50"/>
      <c r="VI41" s="50"/>
      <c r="VJ41" s="50"/>
      <c r="VK41" s="50"/>
      <c r="VL41" s="50"/>
      <c r="VM41" s="50"/>
      <c r="VN41" s="50"/>
      <c r="VO41" s="50"/>
      <c r="VP41" s="50"/>
      <c r="VQ41" s="50"/>
      <c r="VR41" s="50"/>
      <c r="VS41" s="50"/>
      <c r="VT41" s="50"/>
      <c r="VU41" s="50"/>
      <c r="VV41" s="50"/>
      <c r="VW41" s="276">
        <f t="shared" si="57"/>
        <v>3032.066468</v>
      </c>
      <c r="VX41" s="292">
        <f t="shared" si="58"/>
        <v>548.44323799999995</v>
      </c>
      <c r="VY41" s="292">
        <f t="shared" si="59"/>
        <v>3580.5097059999998</v>
      </c>
      <c r="VZ41" s="276">
        <f t="shared" si="60"/>
        <v>3000.7435799999998</v>
      </c>
      <c r="WA41" s="292">
        <f t="shared" si="61"/>
        <v>489.33360599999997</v>
      </c>
      <c r="WB41" s="292">
        <f t="shared" si="62"/>
        <v>3490.077186</v>
      </c>
      <c r="WC41" s="277">
        <f t="shared" si="63"/>
        <v>-90.43251999999984</v>
      </c>
      <c r="WD41" s="277">
        <f t="shared" si="104"/>
        <v>-2.5256884473307935</v>
      </c>
    </row>
    <row r="42" spans="1:602" s="12" customFormat="1" ht="20.5">
      <c r="A42" s="46" t="s">
        <v>118</v>
      </c>
      <c r="B42" s="12" t="s">
        <v>119</v>
      </c>
      <c r="C42" s="46" t="s">
        <v>120</v>
      </c>
      <c r="D42" s="45">
        <v>1747.2769264261444</v>
      </c>
      <c r="E42" s="42">
        <v>1972.8455373048532</v>
      </c>
      <c r="F42" s="42">
        <v>1311.58397504852</v>
      </c>
      <c r="G42" s="42">
        <v>1159.7400043255304</v>
      </c>
      <c r="H42" s="42">
        <v>73.069264403731339</v>
      </c>
      <c r="I42" s="42">
        <v>94.141021906534405</v>
      </c>
      <c r="J42" s="42">
        <v>93.991136490401317</v>
      </c>
      <c r="K42" s="42">
        <v>91.59528488739393</v>
      </c>
      <c r="L42" s="42">
        <v>89.82861617179185</v>
      </c>
      <c r="M42" s="42">
        <v>99.226100349457312</v>
      </c>
      <c r="N42" s="42">
        <v>99.096361147631484</v>
      </c>
      <c r="O42" s="42">
        <v>90.691152867655845</v>
      </c>
      <c r="P42" s="42">
        <v>95.977840194421205</v>
      </c>
      <c r="Q42" s="42">
        <v>98.74677150386168</v>
      </c>
      <c r="R42" s="42">
        <v>109.67559515882095</v>
      </c>
      <c r="S42" s="42">
        <v>165.17259826352728</v>
      </c>
      <c r="T42" s="42">
        <v>1087.7991819909967</v>
      </c>
      <c r="U42" s="42">
        <v>113.412561354232</v>
      </c>
      <c r="V42" s="42">
        <v>1201.2117433452286</v>
      </c>
      <c r="W42" s="42">
        <v>1201.2121060779393</v>
      </c>
      <c r="X42" s="42">
        <v>69.143953363953528</v>
      </c>
      <c r="Y42" s="42">
        <v>95.638212076197647</v>
      </c>
      <c r="Z42" s="42">
        <v>96.321242821611719</v>
      </c>
      <c r="AA42" s="42">
        <v>92.979781304602724</v>
      </c>
      <c r="AB42" s="42">
        <v>91.772798305075085</v>
      </c>
      <c r="AC42" s="42">
        <v>98.291310237278111</v>
      </c>
      <c r="AD42" s="42">
        <v>96.946046849477241</v>
      </c>
      <c r="AE42" s="42">
        <v>92.442022242332158</v>
      </c>
      <c r="AF42" s="42">
        <v>89.04551766922215</v>
      </c>
      <c r="AG42" s="42">
        <v>98.446521306082488</v>
      </c>
      <c r="AH42" s="42">
        <v>110.76711003352285</v>
      </c>
      <c r="AI42" s="42">
        <v>142.44389189589134</v>
      </c>
      <c r="AJ42" s="42">
        <v>1104.06344768954</v>
      </c>
      <c r="AK42" s="42">
        <v>70.174960230732907</v>
      </c>
      <c r="AL42" s="42">
        <v>1174.2384081052471</v>
      </c>
      <c r="AM42" s="42">
        <v>1174.1971801526456</v>
      </c>
      <c r="AN42" s="42">
        <v>77.328677696768935</v>
      </c>
      <c r="AO42" s="42">
        <v>95.619429997552643</v>
      </c>
      <c r="AP42" s="42">
        <v>98.084172059350848</v>
      </c>
      <c r="AQ42" s="42">
        <v>96.583914590696693</v>
      </c>
      <c r="AR42" s="42">
        <v>98.961778717821772</v>
      </c>
      <c r="AS42" s="42">
        <v>112.42110574214148</v>
      </c>
      <c r="AT42" s="42">
        <v>107.01779443486379</v>
      </c>
      <c r="AU42" s="42">
        <v>102.80906295354039</v>
      </c>
      <c r="AV42" s="42">
        <v>102.83426816011291</v>
      </c>
      <c r="AW42" s="42">
        <v>100.18582848134047</v>
      </c>
      <c r="AX42" s="42">
        <v>108.76165332012908</v>
      </c>
      <c r="AY42" s="42">
        <v>148.62563815800706</v>
      </c>
      <c r="AZ42" s="42">
        <v>1174.9192695118413</v>
      </c>
      <c r="BA42" s="42">
        <v>74.314054800484854</v>
      </c>
      <c r="BB42" s="42">
        <v>1249.233324312326</v>
      </c>
      <c r="BC42" s="42">
        <f t="shared" si="21"/>
        <v>1175.0708974337083</v>
      </c>
      <c r="BD42" s="42">
        <v>74.313502768908549</v>
      </c>
      <c r="BE42" s="42">
        <v>1249.3844002026169</v>
      </c>
      <c r="BF42" s="44">
        <f t="shared" ref="BF42:CI42" si="109">BF43+BF46</f>
        <v>83.343146469999994</v>
      </c>
      <c r="BG42" s="44">
        <f t="shared" si="109"/>
        <v>3.4205455799999998</v>
      </c>
      <c r="BH42" s="44">
        <f t="shared" si="109"/>
        <v>86.763692050000003</v>
      </c>
      <c r="BI42" s="44">
        <f t="shared" si="109"/>
        <v>98.158744049999996</v>
      </c>
      <c r="BJ42" s="44">
        <f t="shared" si="109"/>
        <v>5.3530213399999997</v>
      </c>
      <c r="BK42" s="44">
        <f t="shared" si="109"/>
        <v>103.51176538999999</v>
      </c>
      <c r="BL42" s="44">
        <f t="shared" si="109"/>
        <v>94.894459339999997</v>
      </c>
      <c r="BM42" s="44">
        <f t="shared" si="109"/>
        <v>6.4187097800000004</v>
      </c>
      <c r="BN42" s="44">
        <f t="shared" si="109"/>
        <v>101.31316912</v>
      </c>
      <c r="BO42" s="44">
        <f t="shared" si="109"/>
        <v>100.49817358</v>
      </c>
      <c r="BP42" s="44">
        <f t="shared" si="109"/>
        <v>5.62267881</v>
      </c>
      <c r="BQ42" s="44">
        <f t="shared" si="109"/>
        <v>106.12085239</v>
      </c>
      <c r="BR42" s="44">
        <f t="shared" si="109"/>
        <v>98.648820439999994</v>
      </c>
      <c r="BS42" s="44">
        <f t="shared" si="109"/>
        <v>4.6650508399999993</v>
      </c>
      <c r="BT42" s="44">
        <f t="shared" si="109"/>
        <v>103.31387128</v>
      </c>
      <c r="BU42" s="44">
        <f t="shared" si="109"/>
        <v>115.52391777</v>
      </c>
      <c r="BV42" s="44">
        <f t="shared" si="109"/>
        <v>7.3187598700000009</v>
      </c>
      <c r="BW42" s="44">
        <f t="shared" si="109"/>
        <v>122.84267763999999</v>
      </c>
      <c r="BX42" s="44">
        <f t="shared" si="109"/>
        <v>109.8349015</v>
      </c>
      <c r="BY42" s="44">
        <f t="shared" si="109"/>
        <v>6.1571751600000013</v>
      </c>
      <c r="BZ42" s="44">
        <f t="shared" si="109"/>
        <v>115.99207665999998</v>
      </c>
      <c r="CA42" s="44">
        <f t="shared" si="109"/>
        <v>97.244860060000008</v>
      </c>
      <c r="CB42" s="44">
        <f t="shared" si="109"/>
        <v>5.1823665700000001</v>
      </c>
      <c r="CC42" s="44">
        <f t="shared" si="109"/>
        <v>102.42722663000001</v>
      </c>
      <c r="CD42" s="44">
        <f t="shared" si="109"/>
        <v>94.655886179999982</v>
      </c>
      <c r="CE42" s="44">
        <f t="shared" si="109"/>
        <v>6.1809505900000001</v>
      </c>
      <c r="CF42" s="44">
        <f t="shared" si="109"/>
        <v>100.83683676999999</v>
      </c>
      <c r="CG42" s="44">
        <f t="shared" si="109"/>
        <v>105.97626060999995</v>
      </c>
      <c r="CH42" s="44">
        <f t="shared" si="109"/>
        <v>6.1028287400000032</v>
      </c>
      <c r="CI42" s="44">
        <f t="shared" si="109"/>
        <v>112.07908934999996</v>
      </c>
      <c r="CJ42" s="44">
        <f t="shared" ref="CJ42:CO42" si="110">CJ43+CJ46</f>
        <v>108.45137109000004</v>
      </c>
      <c r="CK42" s="44">
        <f t="shared" si="110"/>
        <v>6.7371756599999983</v>
      </c>
      <c r="CL42" s="44">
        <f t="shared" si="110"/>
        <v>115.18854675000004</v>
      </c>
      <c r="CM42" s="44">
        <f t="shared" si="110"/>
        <v>160.3516586400001</v>
      </c>
      <c r="CN42" s="44">
        <f t="shared" si="110"/>
        <v>11.831219330000003</v>
      </c>
      <c r="CO42" s="44">
        <f t="shared" si="110"/>
        <v>172.18287797000011</v>
      </c>
      <c r="CP42" s="50">
        <f t="shared" si="24"/>
        <v>1267.58219973</v>
      </c>
      <c r="CQ42" s="50">
        <f t="shared" si="25"/>
        <v>74.990482270000015</v>
      </c>
      <c r="CR42" s="50">
        <f t="shared" si="26"/>
        <v>1342.5726820000002</v>
      </c>
      <c r="CS42" s="42">
        <f t="shared" si="93"/>
        <v>1267.4539975</v>
      </c>
      <c r="CT42" s="42">
        <f>CT43+CT46</f>
        <v>74.991274500000003</v>
      </c>
      <c r="CU42" s="42">
        <f>CU43+CU46</f>
        <v>1342.4452719999999</v>
      </c>
      <c r="CV42" s="44">
        <f>CV43+CV46</f>
        <v>88.880186459999933</v>
      </c>
      <c r="CW42" s="44">
        <f>CW43+CW46</f>
        <v>2.7337824299999998</v>
      </c>
      <c r="CX42" s="44">
        <f>CX43+CX46</f>
        <v>91.613968889999938</v>
      </c>
      <c r="CY42" s="44">
        <v>107.05546662000002</v>
      </c>
      <c r="CZ42" s="44">
        <v>5.2678434799999998</v>
      </c>
      <c r="DA42" s="44">
        <v>112.32331010000001</v>
      </c>
      <c r="DB42" s="44">
        <v>108.31652093000002</v>
      </c>
      <c r="DC42" s="44">
        <v>7.0820947600000004</v>
      </c>
      <c r="DD42" s="44">
        <v>115.39861569000004</v>
      </c>
      <c r="DE42" s="44">
        <v>104.41676234999994</v>
      </c>
      <c r="DF42" s="44">
        <v>5.9376058899999995</v>
      </c>
      <c r="DG42" s="44">
        <v>110.35436823999993</v>
      </c>
      <c r="DH42" s="44">
        <v>100.03549567999991</v>
      </c>
      <c r="DI42" s="44">
        <v>8.1592576799999996</v>
      </c>
      <c r="DJ42" s="44">
        <v>108.19475335999992</v>
      </c>
      <c r="DK42" s="44">
        <v>124.66250932000008</v>
      </c>
      <c r="DL42" s="44">
        <v>6.6874437400000009</v>
      </c>
      <c r="DM42" s="44">
        <v>131.34995306000008</v>
      </c>
      <c r="DN42" s="44">
        <v>116.93673296999989</v>
      </c>
      <c r="DO42" s="44">
        <v>6.852339959999993</v>
      </c>
      <c r="DP42" s="44">
        <v>123.78907292999988</v>
      </c>
      <c r="DQ42" s="44">
        <v>102.77538060000001</v>
      </c>
      <c r="DR42" s="44">
        <v>5.0285027399999995</v>
      </c>
      <c r="DS42" s="44">
        <v>107.80388334000001</v>
      </c>
      <c r="DT42" s="44">
        <v>103.63213390000001</v>
      </c>
      <c r="DU42" s="44">
        <v>7.1767951399999994</v>
      </c>
      <c r="DV42" s="44">
        <v>110.80892904000001</v>
      </c>
      <c r="DW42" s="44">
        <v>100.33135348000005</v>
      </c>
      <c r="DX42" s="44">
        <v>6.6267469000000041</v>
      </c>
      <c r="DY42" s="44">
        <v>106.95810038000005</v>
      </c>
      <c r="DZ42" s="44">
        <v>104.84406751000006</v>
      </c>
      <c r="EA42" s="44">
        <v>6.5854066900000019</v>
      </c>
      <c r="EB42" s="44">
        <v>111.42947420000004</v>
      </c>
      <c r="EC42" s="44">
        <v>169.22194502000008</v>
      </c>
      <c r="ED42" s="44">
        <v>15.735707169999985</v>
      </c>
      <c r="EE42" s="44">
        <v>184.95765219000003</v>
      </c>
      <c r="EF42" s="50">
        <f t="shared" si="27"/>
        <v>1331.1085548399999</v>
      </c>
      <c r="EG42" s="50">
        <f t="shared" si="28"/>
        <v>83.873526579999975</v>
      </c>
      <c r="EH42" s="50">
        <f t="shared" si="29"/>
        <v>1414.98208142</v>
      </c>
      <c r="EI42" s="50">
        <f t="shared" si="94"/>
        <v>1331.0888059499998</v>
      </c>
      <c r="EJ42" s="50">
        <f>EJ43+EJ46</f>
        <v>83.885850050000002</v>
      </c>
      <c r="EK42" s="50">
        <f>EK43+EK46</f>
        <v>1414.9746559999999</v>
      </c>
      <c r="EL42" s="50">
        <v>86.607834059999988</v>
      </c>
      <c r="EM42" s="50">
        <v>2.5113676699999994</v>
      </c>
      <c r="EN42" s="50">
        <v>89.119201729999986</v>
      </c>
      <c r="EO42" s="50">
        <v>104.90332782000003</v>
      </c>
      <c r="EP42" s="50">
        <v>5.15357588</v>
      </c>
      <c r="EQ42" s="50">
        <v>110.05690370000002</v>
      </c>
      <c r="ER42" s="50">
        <v>116.17481210999996</v>
      </c>
      <c r="ES42" s="50">
        <v>5.6105997099999971</v>
      </c>
      <c r="ET42" s="50">
        <v>121.78541181999996</v>
      </c>
      <c r="EU42" s="50">
        <v>109.11074774999994</v>
      </c>
      <c r="EV42" s="50">
        <v>5.5579596100000002</v>
      </c>
      <c r="EW42" s="50">
        <v>114.66870735999996</v>
      </c>
      <c r="EX42" s="50">
        <v>106.95122690999992</v>
      </c>
      <c r="EY42" s="50">
        <v>5.7649380200000024</v>
      </c>
      <c r="EZ42" s="50">
        <v>112.71616492999992</v>
      </c>
      <c r="FA42" s="50">
        <v>119.05048592999995</v>
      </c>
      <c r="FB42" s="50">
        <v>7.6794652400000025</v>
      </c>
      <c r="FC42" s="50">
        <v>126.72995116999996</v>
      </c>
      <c r="FD42" s="50">
        <v>123.55167914</v>
      </c>
      <c r="FE42" s="50">
        <v>5.4657083200000001</v>
      </c>
      <c r="FF42" s="50">
        <v>129.01738746000001</v>
      </c>
      <c r="FG42" s="50">
        <v>107.82632578999997</v>
      </c>
      <c r="FH42" s="50">
        <v>4.6972070400000012</v>
      </c>
      <c r="FI42" s="50">
        <v>112.52353282999997</v>
      </c>
      <c r="FJ42" s="50">
        <v>107.18322925000007</v>
      </c>
      <c r="FK42" s="50">
        <v>5.6923259199999983</v>
      </c>
      <c r="FL42" s="50">
        <v>112.87555517000006</v>
      </c>
      <c r="FM42" s="50">
        <v>123.34805539000001</v>
      </c>
      <c r="FN42" s="50">
        <v>6.0059395599999981</v>
      </c>
      <c r="FO42" s="50">
        <v>129.35399495000001</v>
      </c>
      <c r="FP42" s="50">
        <v>127.21200542999998</v>
      </c>
      <c r="FQ42" s="50">
        <v>6.7374745000000011</v>
      </c>
      <c r="FR42" s="50">
        <v>133.94947992999997</v>
      </c>
      <c r="FS42" s="50">
        <v>197.42758172000021</v>
      </c>
      <c r="FT42" s="50">
        <v>12.986135180000002</v>
      </c>
      <c r="FU42" s="50">
        <v>210.41371690000022</v>
      </c>
      <c r="FV42" s="50">
        <f t="shared" si="30"/>
        <v>1429.3473113000002</v>
      </c>
      <c r="FW42" s="50">
        <f t="shared" si="31"/>
        <v>73.862696650000018</v>
      </c>
      <c r="FX42" s="50">
        <f t="shared" si="32"/>
        <v>1503.2100079500001</v>
      </c>
      <c r="FY42" s="50">
        <f t="shared" si="95"/>
        <v>1429.021405</v>
      </c>
      <c r="FZ42" s="50">
        <f>FZ43+FZ46</f>
        <v>73.865901000000008</v>
      </c>
      <c r="GA42" s="50">
        <f>GA43+GA46</f>
        <v>1502.8873060000001</v>
      </c>
      <c r="GB42" s="50">
        <v>94.738989499999988</v>
      </c>
      <c r="GC42" s="50">
        <v>4.9049965299999974</v>
      </c>
      <c r="GD42" s="50">
        <v>99.643986029999979</v>
      </c>
      <c r="GE42" s="50">
        <v>118.72777203000001</v>
      </c>
      <c r="GF42" s="50">
        <v>6.1050458500000016</v>
      </c>
      <c r="GG42" s="50">
        <v>124.83281788000002</v>
      </c>
      <c r="GH42" s="50">
        <v>116.46529471000005</v>
      </c>
      <c r="GI42" s="50">
        <v>8.3236710000000027</v>
      </c>
      <c r="GJ42" s="50">
        <v>124.78896571000007</v>
      </c>
      <c r="GK42" s="50">
        <v>130.45017609999996</v>
      </c>
      <c r="GL42" s="50">
        <v>7.3372607000000034</v>
      </c>
      <c r="GM42" s="50">
        <v>137.78743679999997</v>
      </c>
      <c r="GN42" s="50">
        <v>117.15258232999994</v>
      </c>
      <c r="GO42" s="50">
        <v>8.604062540000001</v>
      </c>
      <c r="GP42" s="50">
        <v>125.75664486999995</v>
      </c>
      <c r="GQ42" s="50">
        <v>126.92643503000004</v>
      </c>
      <c r="GR42" s="50">
        <v>9.1074051300000072</v>
      </c>
      <c r="GS42" s="50">
        <v>136.03384016000004</v>
      </c>
      <c r="GT42" s="50">
        <v>128.3952905700001</v>
      </c>
      <c r="GU42" s="50">
        <v>7.9406010799999933</v>
      </c>
      <c r="GV42" s="50">
        <v>136.33589165000006</v>
      </c>
      <c r="GW42" s="50">
        <v>118.21056886000002</v>
      </c>
      <c r="GX42" s="50">
        <v>7.5293549899999999</v>
      </c>
      <c r="GY42" s="50">
        <v>125.73992385000004</v>
      </c>
      <c r="GZ42" s="50">
        <v>117.95019934000005</v>
      </c>
      <c r="HA42" s="50">
        <v>9.2846145099999955</v>
      </c>
      <c r="HB42" s="50">
        <v>127.23481385000005</v>
      </c>
      <c r="HC42" s="50">
        <v>122.4472114899999</v>
      </c>
      <c r="HD42" s="50">
        <v>9.5098840599999956</v>
      </c>
      <c r="HE42" s="50">
        <v>131.95709554999991</v>
      </c>
      <c r="HF42" s="50">
        <v>138.30412295000005</v>
      </c>
      <c r="HG42" s="50">
        <v>9.8713692500000043</v>
      </c>
      <c r="HH42" s="50">
        <v>148.17549220000006</v>
      </c>
      <c r="HI42" s="50">
        <v>223.55681946000004</v>
      </c>
      <c r="HJ42" s="50">
        <v>15.228832809999998</v>
      </c>
      <c r="HK42" s="50">
        <v>238.78565227000007</v>
      </c>
      <c r="HL42" s="50">
        <f t="shared" si="33"/>
        <v>1553.3254623700002</v>
      </c>
      <c r="HM42" s="50">
        <f t="shared" si="34"/>
        <v>103.74709845</v>
      </c>
      <c r="HN42" s="50">
        <f t="shared" si="35"/>
        <v>1657.0725608200003</v>
      </c>
      <c r="HO42" s="50">
        <f t="shared" si="96"/>
        <v>1553.6466840000001</v>
      </c>
      <c r="HP42" s="50">
        <f>HP43+HP46</f>
        <v>103.74530300000001</v>
      </c>
      <c r="HQ42" s="50">
        <f>HQ43+HQ46</f>
        <v>1657.391987</v>
      </c>
      <c r="HR42" s="50">
        <v>97.114567429999909</v>
      </c>
      <c r="HS42" s="50">
        <v>5.7794793300000018</v>
      </c>
      <c r="HT42" s="50">
        <v>102.89404676000008</v>
      </c>
      <c r="HU42" s="50">
        <v>119.8982218900001</v>
      </c>
      <c r="HV42" s="50">
        <v>8.0170127900000043</v>
      </c>
      <c r="HW42" s="50">
        <v>127.91523468000007</v>
      </c>
      <c r="HX42" s="50">
        <v>123.5638997500003</v>
      </c>
      <c r="HY42" s="50">
        <v>12.381807809999989</v>
      </c>
      <c r="HZ42" s="50">
        <v>135.94570756000013</v>
      </c>
      <c r="IA42" s="50">
        <v>133.28942941999992</v>
      </c>
      <c r="IB42" s="50">
        <v>8.3930743600000017</v>
      </c>
      <c r="IC42" s="50">
        <v>141.68250378000016</v>
      </c>
      <c r="ID42" s="50">
        <v>134.56457420000018</v>
      </c>
      <c r="IE42" s="50">
        <v>10.231544689999996</v>
      </c>
      <c r="IF42" s="50">
        <v>144.79611888999989</v>
      </c>
      <c r="IG42" s="50">
        <v>152.69070896000056</v>
      </c>
      <c r="IH42" s="50">
        <v>11.950039020000016</v>
      </c>
      <c r="II42" s="50">
        <v>164.64074798000001</v>
      </c>
      <c r="IJ42" s="50">
        <v>145.86310574999996</v>
      </c>
      <c r="IK42" s="50">
        <v>9.5023870200000182</v>
      </c>
      <c r="IL42" s="50">
        <v>155.36549277000017</v>
      </c>
      <c r="IM42" s="50">
        <v>132.05902798999978</v>
      </c>
      <c r="IN42" s="50">
        <v>8.5915819199999959</v>
      </c>
      <c r="IO42" s="50">
        <v>140.65060991000001</v>
      </c>
      <c r="IP42" s="50">
        <v>139.05087557000033</v>
      </c>
      <c r="IQ42" s="50">
        <v>12.039738570000004</v>
      </c>
      <c r="IR42" s="50">
        <v>151.09061413999993</v>
      </c>
      <c r="IS42" s="50">
        <v>140.21980373999992</v>
      </c>
      <c r="IT42" s="50">
        <v>10.664967379999993</v>
      </c>
      <c r="IU42" s="50">
        <v>150.88477112000012</v>
      </c>
      <c r="IV42" s="50">
        <v>195.96190953999991</v>
      </c>
      <c r="IW42" s="50">
        <v>12.696794220000003</v>
      </c>
      <c r="IX42" s="50">
        <v>208.65870376000004</v>
      </c>
      <c r="IY42" s="50">
        <v>255.63793203999998</v>
      </c>
      <c r="IZ42" s="50">
        <v>17.048846260000005</v>
      </c>
      <c r="JA42" s="50">
        <v>272.68677830000047</v>
      </c>
      <c r="JB42" s="50">
        <f t="shared" si="36"/>
        <v>1769.9140562800005</v>
      </c>
      <c r="JC42" s="50">
        <f t="shared" si="37"/>
        <v>127.29727337000003</v>
      </c>
      <c r="JD42" s="50">
        <f t="shared" si="38"/>
        <v>1897.2113296500008</v>
      </c>
      <c r="JE42" s="50">
        <f t="shared" si="97"/>
        <v>1769.8798380000001</v>
      </c>
      <c r="JF42" s="50">
        <f>JF43+JF46</f>
        <v>127.298497</v>
      </c>
      <c r="JG42" s="50">
        <f>JG43+JG46</f>
        <v>1897.1783350000001</v>
      </c>
      <c r="JH42" s="50">
        <v>124.84611523000029</v>
      </c>
      <c r="JI42" s="50">
        <v>6.5578742100000005</v>
      </c>
      <c r="JJ42" s="50">
        <v>131.40398943999998</v>
      </c>
      <c r="JK42" s="50">
        <v>140.62949267000039</v>
      </c>
      <c r="JL42" s="50">
        <v>8.2773576199999894</v>
      </c>
      <c r="JM42" s="50">
        <v>148.90685029000002</v>
      </c>
      <c r="JN42" s="50">
        <v>132.88922885999983</v>
      </c>
      <c r="JO42" s="50">
        <v>9.0083510899999908</v>
      </c>
      <c r="JP42" s="50">
        <v>141.89757994999991</v>
      </c>
      <c r="JQ42" s="50">
        <v>131.3009281600005</v>
      </c>
      <c r="JR42" s="50">
        <v>12.277225200000007</v>
      </c>
      <c r="JS42" s="50">
        <v>143.5781533599999</v>
      </c>
      <c r="JT42" s="50">
        <v>139.65501704999971</v>
      </c>
      <c r="JU42" s="50">
        <v>9.2544333799999876</v>
      </c>
      <c r="JV42" s="50">
        <v>148.90945042999985</v>
      </c>
      <c r="JW42" s="50">
        <v>142.36801470000046</v>
      </c>
      <c r="JX42" s="50">
        <v>10.250286489999997</v>
      </c>
      <c r="JY42" s="50">
        <v>152.61830118999993</v>
      </c>
      <c r="JZ42" s="50">
        <v>146.12277410999988</v>
      </c>
      <c r="KA42" s="50">
        <v>8.7694266300000088</v>
      </c>
      <c r="KB42" s="50">
        <v>154.89220074000011</v>
      </c>
      <c r="KC42" s="50">
        <v>139.56823553000024</v>
      </c>
      <c r="KD42" s="50">
        <v>9.5699638900000021</v>
      </c>
      <c r="KE42" s="50">
        <v>149.13819941999992</v>
      </c>
      <c r="KF42" s="50">
        <v>132.64065659999997</v>
      </c>
      <c r="KG42" s="50">
        <v>10.905464020000009</v>
      </c>
      <c r="KH42" s="50">
        <v>143.54612061999998</v>
      </c>
      <c r="KI42" s="50">
        <v>151.83042991999974</v>
      </c>
      <c r="KJ42" s="50">
        <v>9.6568802000000034</v>
      </c>
      <c r="KK42" s="50">
        <v>161.48731012000019</v>
      </c>
      <c r="KL42" s="50">
        <v>170.54180107000016</v>
      </c>
      <c r="KM42" s="50">
        <v>11.026302210000024</v>
      </c>
      <c r="KN42" s="50">
        <v>181.56810327999986</v>
      </c>
      <c r="KO42" s="50">
        <v>259.74160067000128</v>
      </c>
      <c r="KP42" s="50">
        <v>13.590417380000016</v>
      </c>
      <c r="KQ42" s="50">
        <v>273.33201804999953</v>
      </c>
      <c r="KR42" s="50">
        <f t="shared" si="48"/>
        <v>1812.1342945700026</v>
      </c>
      <c r="KS42" s="50">
        <f t="shared" si="39"/>
        <v>119.14398232000005</v>
      </c>
      <c r="KT42" s="50">
        <f t="shared" si="49"/>
        <v>1931.2782768899992</v>
      </c>
      <c r="KU42" s="50">
        <f t="shared" si="98"/>
        <v>1811.4408310000001</v>
      </c>
      <c r="KV42" s="50">
        <f>KV43+KV46</f>
        <v>119.14397700000001</v>
      </c>
      <c r="KW42" s="50">
        <f>KW43+KW46</f>
        <v>1930.5848080000001</v>
      </c>
      <c r="KX42" s="50">
        <v>107.84353133000036</v>
      </c>
      <c r="KY42" s="50">
        <v>7.6387552499999876</v>
      </c>
      <c r="KZ42" s="50">
        <v>115.48228657999994</v>
      </c>
      <c r="LA42" s="50">
        <v>131.78882663000033</v>
      </c>
      <c r="LB42" s="50">
        <v>8.8814383999999951</v>
      </c>
      <c r="LC42" s="50">
        <v>140.67026503</v>
      </c>
      <c r="LD42" s="50">
        <v>139.85548295000012</v>
      </c>
      <c r="LE42" s="50">
        <v>11.527670750000009</v>
      </c>
      <c r="LF42" s="87">
        <v>151.38315369999981</v>
      </c>
      <c r="LG42" s="50">
        <v>146.42209971999975</v>
      </c>
      <c r="LH42" s="50">
        <v>8.3842909000000052</v>
      </c>
      <c r="LI42" s="175">
        <v>154.80639062</v>
      </c>
      <c r="LJ42" s="174">
        <v>139.38732014000021</v>
      </c>
      <c r="LK42" s="50">
        <v>7.7401640400000069</v>
      </c>
      <c r="LL42" s="174">
        <v>147.12748418000001</v>
      </c>
      <c r="LM42" s="50">
        <v>159.6278131199999</v>
      </c>
      <c r="LN42" s="50">
        <v>9.1822393899999888</v>
      </c>
      <c r="LO42" s="50">
        <v>168.81005250999999</v>
      </c>
      <c r="LP42" s="50">
        <v>183.45792758000044</v>
      </c>
      <c r="LQ42" s="44">
        <v>8.9036029299999981</v>
      </c>
      <c r="LR42" s="44">
        <v>192.36153051000016</v>
      </c>
      <c r="LS42" s="50">
        <v>144.27824528000048</v>
      </c>
      <c r="LT42" s="50">
        <v>8.8348975299999974</v>
      </c>
      <c r="LU42" s="52">
        <v>153.11314280999983</v>
      </c>
      <c r="LV42" s="44">
        <v>148.84369235000045</v>
      </c>
      <c r="LW42" s="44">
        <v>7.7124320499999941</v>
      </c>
      <c r="LX42" s="44">
        <v>156.5561244000001</v>
      </c>
      <c r="LY42" s="44">
        <v>152.96801369999997</v>
      </c>
      <c r="LZ42" s="44">
        <v>8.6666502900000086</v>
      </c>
      <c r="MA42" s="44">
        <v>161.63466398999998</v>
      </c>
      <c r="MB42" s="44">
        <v>164.65241950999967</v>
      </c>
      <c r="MC42" s="44">
        <v>9.5244902999999841</v>
      </c>
      <c r="MD42" s="44">
        <v>174.1769098099997</v>
      </c>
      <c r="ME42" s="44">
        <v>267.50148710999997</v>
      </c>
      <c r="MF42" s="44">
        <v>13.822645400000006</v>
      </c>
      <c r="MG42" s="44">
        <v>281.32413251000025</v>
      </c>
      <c r="MH42" s="50">
        <f t="shared" si="66"/>
        <v>1886.6268594200017</v>
      </c>
      <c r="MI42" s="50">
        <f t="shared" si="50"/>
        <v>110.81927722999998</v>
      </c>
      <c r="MJ42" s="50">
        <f t="shared" si="51"/>
        <v>1997.4461366499995</v>
      </c>
      <c r="MK42" s="50">
        <f t="shared" si="99"/>
        <v>1885.7674079999999</v>
      </c>
      <c r="ML42" s="50">
        <v>110.81974700000001</v>
      </c>
      <c r="MM42" s="50">
        <f>MM43+MM46</f>
        <v>1996.5871549999999</v>
      </c>
      <c r="MN42" s="44">
        <v>105.81557616000052</v>
      </c>
      <c r="MO42" s="44">
        <v>5.0927382899999989</v>
      </c>
      <c r="MP42" s="44">
        <v>110.90831445000005</v>
      </c>
      <c r="MQ42" s="44">
        <v>145.6984744899998</v>
      </c>
      <c r="MR42" s="44">
        <v>8.2457043400000085</v>
      </c>
      <c r="MS42" s="44">
        <v>153.94417882999988</v>
      </c>
      <c r="MT42" s="50">
        <v>156.12847886000046</v>
      </c>
      <c r="MU42" s="50">
        <v>8.4907130700000035</v>
      </c>
      <c r="MV42" s="50">
        <v>164.61919193</v>
      </c>
      <c r="MW42" s="44">
        <v>158.77554230000061</v>
      </c>
      <c r="MX42" s="44">
        <v>12.394110539999996</v>
      </c>
      <c r="MY42" s="44">
        <v>171.16965283999983</v>
      </c>
      <c r="MZ42" s="44">
        <v>151.96379220999987</v>
      </c>
      <c r="NA42" s="44">
        <v>9.3715795099999983</v>
      </c>
      <c r="NB42" s="44">
        <v>161.3353717200001</v>
      </c>
      <c r="NC42" s="44">
        <v>179.86535805000071</v>
      </c>
      <c r="ND42" s="44">
        <v>10.724826629999992</v>
      </c>
      <c r="NE42" s="44">
        <v>190.59018467999974</v>
      </c>
      <c r="NF42" s="44">
        <v>169.06151019000004</v>
      </c>
      <c r="NG42" s="44">
        <v>9.5005448199999893</v>
      </c>
      <c r="NH42" s="44">
        <v>178.56205501000008</v>
      </c>
      <c r="NI42" s="44">
        <v>153.80177490999984</v>
      </c>
      <c r="NJ42" s="44">
        <v>8.4219539299999955</v>
      </c>
      <c r="NK42" s="44">
        <v>162.22372884000021</v>
      </c>
      <c r="NL42" s="44">
        <v>173.19042734000033</v>
      </c>
      <c r="NM42" s="44">
        <v>10.040581639999989</v>
      </c>
      <c r="NN42" s="44">
        <v>183.23100898000004</v>
      </c>
      <c r="NO42" s="44">
        <v>152.33347023999997</v>
      </c>
      <c r="NP42" s="44">
        <v>9.2156615799999937</v>
      </c>
      <c r="NQ42" s="44">
        <v>161.54913182000004</v>
      </c>
      <c r="NR42" s="44">
        <v>188.66517808999936</v>
      </c>
      <c r="NS42" s="44">
        <v>8.9296197200000087</v>
      </c>
      <c r="NT42" s="44">
        <v>197.59479780999965</v>
      </c>
      <c r="NU42" s="44">
        <v>305.55928449999925</v>
      </c>
      <c r="NV42" s="44">
        <v>18.472366190000017</v>
      </c>
      <c r="NW42" s="44">
        <v>324.03165069000067</v>
      </c>
      <c r="NX42" s="50">
        <f t="shared" si="67"/>
        <v>2040.8588673400004</v>
      </c>
      <c r="NY42" s="50">
        <f t="shared" si="40"/>
        <v>118.90040025999997</v>
      </c>
      <c r="NZ42" s="50">
        <f t="shared" si="41"/>
        <v>2159.7592675999999</v>
      </c>
      <c r="OA42" s="50">
        <f t="shared" si="100"/>
        <v>2040.1877849999998</v>
      </c>
      <c r="OB42" s="50">
        <v>118.900374</v>
      </c>
      <c r="OC42" s="50">
        <f>OC43+OC46</f>
        <v>2159.0881589999999</v>
      </c>
      <c r="OD42" s="44">
        <v>137.96306670999951</v>
      </c>
      <c r="OE42" s="44">
        <v>4.2856992400000005</v>
      </c>
      <c r="OF42" s="44">
        <v>142.24876595000012</v>
      </c>
      <c r="OG42" s="50">
        <v>162.37135120000005</v>
      </c>
      <c r="OH42" s="44">
        <v>8.6517992999999986</v>
      </c>
      <c r="OI42" s="44">
        <v>171.02315050000004</v>
      </c>
      <c r="OJ42" s="44">
        <f t="shared" si="107"/>
        <v>168.03006102000029</v>
      </c>
      <c r="OK42" s="44">
        <v>11.568523849999988</v>
      </c>
      <c r="OL42" s="44">
        <v>179.59858487000028</v>
      </c>
      <c r="OM42" s="44">
        <v>167.32916774000009</v>
      </c>
      <c r="ON42" s="44">
        <v>13.705451610000004</v>
      </c>
      <c r="OO42" s="44">
        <v>181.03461934999987</v>
      </c>
      <c r="OP42" s="44">
        <v>182.86876913999984</v>
      </c>
      <c r="OQ42" s="44">
        <v>12.948047229999982</v>
      </c>
      <c r="OR42" s="44">
        <v>195.81681636999963</v>
      </c>
      <c r="OS42" s="44">
        <v>182.86831457999958</v>
      </c>
      <c r="OT42" s="44">
        <v>12.272695230000011</v>
      </c>
      <c r="OU42" s="44">
        <v>195.14100980999919</v>
      </c>
      <c r="OV42" s="44">
        <v>182.89585756000065</v>
      </c>
      <c r="OW42" s="44">
        <v>10.355955240000011</v>
      </c>
      <c r="OX42" s="44">
        <v>193.25181280000058</v>
      </c>
      <c r="OY42" s="95">
        <v>167.25281197000038</v>
      </c>
      <c r="OZ42" s="95">
        <v>9.7673544399999894</v>
      </c>
      <c r="PA42" s="95">
        <v>177.02016641000037</v>
      </c>
      <c r="PB42" s="44">
        <v>370.02669407000008</v>
      </c>
      <c r="PC42" s="44">
        <v>12.664925359999998</v>
      </c>
      <c r="PD42" s="44">
        <v>382.69161943000023</v>
      </c>
      <c r="PE42" s="44">
        <v>405.29951440999986</v>
      </c>
      <c r="PF42" s="44">
        <v>10.721717509999987</v>
      </c>
      <c r="PG42" s="44">
        <v>416.02123191999976</v>
      </c>
      <c r="PH42" s="44">
        <v>196.23090899999974</v>
      </c>
      <c r="PI42" s="44">
        <v>12.652020099999989</v>
      </c>
      <c r="PJ42" s="44">
        <v>208.88292909999973</v>
      </c>
      <c r="PK42" s="44">
        <v>381.46814666000012</v>
      </c>
      <c r="PL42" s="44">
        <v>18.81009534</v>
      </c>
      <c r="PM42" s="44">
        <v>400.27824199999975</v>
      </c>
      <c r="PN42" s="50">
        <f t="shared" si="88"/>
        <v>2704.6046640600002</v>
      </c>
      <c r="PO42" s="50">
        <f t="shared" si="108"/>
        <v>138.40428444999998</v>
      </c>
      <c r="PP42" s="50">
        <f t="shared" si="43"/>
        <v>2843.0089485099998</v>
      </c>
      <c r="PQ42" s="50">
        <f t="shared" si="101"/>
        <v>2703.8336279999999</v>
      </c>
      <c r="PR42" s="50">
        <v>138.404301</v>
      </c>
      <c r="PS42" s="50">
        <f>PS43+PS46</f>
        <v>2842.2379289999999</v>
      </c>
      <c r="PT42" s="44">
        <v>132.18931701999998</v>
      </c>
      <c r="PU42" s="44">
        <v>6.1538560100000081</v>
      </c>
      <c r="PV42" s="44">
        <v>138.34317302999995</v>
      </c>
      <c r="PW42" s="44">
        <v>175.34263092000009</v>
      </c>
      <c r="PX42" s="44">
        <v>10.626557269999976</v>
      </c>
      <c r="PY42" s="44">
        <v>185.9691881900001</v>
      </c>
      <c r="PZ42" s="44">
        <v>189.15225665000028</v>
      </c>
      <c r="QA42" s="44">
        <v>16.74266772999998</v>
      </c>
      <c r="QB42" s="44">
        <v>205.89492438000059</v>
      </c>
      <c r="QC42" s="44">
        <v>180.06974470000034</v>
      </c>
      <c r="QD42" s="44">
        <v>14.352746550000006</v>
      </c>
      <c r="QE42" s="44">
        <v>194.42249125000038</v>
      </c>
      <c r="QF42" s="50">
        <v>188.55951267000043</v>
      </c>
      <c r="QG42" s="44">
        <v>13.850359080000006</v>
      </c>
      <c r="QH42" s="44">
        <v>202.40987175000043</v>
      </c>
      <c r="QI42" s="50">
        <v>209.46831380999873</v>
      </c>
      <c r="QJ42" s="44">
        <v>15.610113579999975</v>
      </c>
      <c r="QK42" s="44">
        <v>225.07842738999869</v>
      </c>
      <c r="QL42" s="44">
        <v>204.74982341000009</v>
      </c>
      <c r="QM42" s="44">
        <v>12.321193530000007</v>
      </c>
      <c r="QN42" s="44">
        <v>217.07101694000005</v>
      </c>
      <c r="QO42" s="50">
        <v>204.96715233000015</v>
      </c>
      <c r="QP42" s="44">
        <v>13.12201442000001</v>
      </c>
      <c r="QQ42" s="44">
        <v>218.08916675000015</v>
      </c>
      <c r="QR42" s="44">
        <v>222.28614523000005</v>
      </c>
      <c r="QS42" s="44">
        <v>12.196944949999988</v>
      </c>
      <c r="QT42" s="44">
        <v>234.48309017999981</v>
      </c>
      <c r="QU42" s="50">
        <v>209.51867953999999</v>
      </c>
      <c r="QV42" s="44">
        <v>22.749870870000006</v>
      </c>
      <c r="QW42" s="44">
        <v>232.26855040999999</v>
      </c>
      <c r="QX42" s="50">
        <v>224.05803014999981</v>
      </c>
      <c r="QY42" s="44">
        <v>12.804962800000013</v>
      </c>
      <c r="QZ42" s="44">
        <v>236.86299294999981</v>
      </c>
      <c r="RA42" s="50">
        <v>612.60089053999889</v>
      </c>
      <c r="RB42" s="44">
        <v>33.457952800000008</v>
      </c>
      <c r="RC42" s="44">
        <v>646.05884333999893</v>
      </c>
      <c r="RD42" s="50">
        <f t="shared" si="52"/>
        <v>2752.9624969699989</v>
      </c>
      <c r="RE42" s="50">
        <f t="shared" si="53"/>
        <v>183.98923958999998</v>
      </c>
      <c r="RF42" s="50">
        <f t="shared" si="54"/>
        <v>2936.9517365599991</v>
      </c>
      <c r="RG42" s="50">
        <f t="shared" ref="RG42:RG45" si="111">RI42-RH42</f>
        <v>2752.0965249999999</v>
      </c>
      <c r="RH42" s="50">
        <v>183.985649</v>
      </c>
      <c r="RI42" s="50">
        <f>RI43+RI46</f>
        <v>2936.0821740000001</v>
      </c>
      <c r="RJ42" s="50">
        <v>192.12613837999945</v>
      </c>
      <c r="RK42" s="50">
        <v>5.0877240900000009</v>
      </c>
      <c r="RL42" s="50">
        <v>197.21386246999927</v>
      </c>
      <c r="RM42" s="50">
        <v>207.26353637999964</v>
      </c>
      <c r="RN42" s="50">
        <v>10.683685409999983</v>
      </c>
      <c r="RO42" s="50">
        <v>217.9472217899997</v>
      </c>
      <c r="RP42" s="50">
        <v>197.84666725999998</v>
      </c>
      <c r="RQ42" s="50">
        <v>11.031766759999986</v>
      </c>
      <c r="RR42" s="50">
        <v>208.87843402000038</v>
      </c>
      <c r="RS42" s="50">
        <v>204.69503982000023</v>
      </c>
      <c r="RT42" s="50">
        <v>11.582862019999984</v>
      </c>
      <c r="RU42" s="50">
        <v>216.27790184000023</v>
      </c>
      <c r="RV42" s="50">
        <v>213.94670516000011</v>
      </c>
      <c r="RW42" s="50">
        <v>12.387832800000004</v>
      </c>
      <c r="RX42" s="50">
        <v>226.33453796000012</v>
      </c>
      <c r="RY42" s="50">
        <v>236.64705558999941</v>
      </c>
      <c r="RZ42" s="50">
        <v>11.088096379999996</v>
      </c>
      <c r="SA42" s="50">
        <v>247.73515196999941</v>
      </c>
      <c r="SB42" s="50">
        <v>222.01791272999972</v>
      </c>
      <c r="SC42" s="50">
        <v>11.680209410000025</v>
      </c>
      <c r="SD42" s="50">
        <v>233.69812213999975</v>
      </c>
      <c r="SE42" s="50">
        <v>210.71350163000048</v>
      </c>
      <c r="SF42" s="50">
        <v>11.692774149999998</v>
      </c>
      <c r="SG42" s="50">
        <v>222.40627578000047</v>
      </c>
      <c r="SH42" s="50">
        <v>226.27353459000045</v>
      </c>
      <c r="SI42" s="50">
        <v>13.517168030000008</v>
      </c>
      <c r="SJ42" s="50">
        <v>239.79070262000045</v>
      </c>
      <c r="SK42" s="50">
        <v>230.20645556999958</v>
      </c>
      <c r="SL42" s="50">
        <v>13.11813381999999</v>
      </c>
      <c r="SM42" s="50">
        <v>243.32458938999974</v>
      </c>
      <c r="SN42" s="50">
        <v>262.72732339999959</v>
      </c>
      <c r="SO42" s="50">
        <v>15.966853529999989</v>
      </c>
      <c r="SP42" s="50">
        <v>278.69417692999957</v>
      </c>
      <c r="SQ42" s="50">
        <v>455.77138166000043</v>
      </c>
      <c r="SR42" s="50">
        <v>21.506278340000012</v>
      </c>
      <c r="SS42" s="50">
        <v>477.27766000000042</v>
      </c>
      <c r="ST42" s="50">
        <f t="shared" si="55"/>
        <v>2860.2352521699991</v>
      </c>
      <c r="SU42" s="50">
        <f t="shared" si="65"/>
        <v>149.34338473999998</v>
      </c>
      <c r="SV42" s="50">
        <f t="shared" si="56"/>
        <v>3009.5786369099997</v>
      </c>
      <c r="SW42" s="50">
        <f t="shared" si="103"/>
        <v>2859.6808809999998</v>
      </c>
      <c r="SX42" s="50">
        <v>149.34268800000001</v>
      </c>
      <c r="SY42" s="50">
        <f>SY43+SY46</f>
        <v>3009.023569</v>
      </c>
      <c r="SZ42" s="50">
        <v>158.41818940999968</v>
      </c>
      <c r="TA42" s="50">
        <v>7.603060619999999</v>
      </c>
      <c r="TB42" s="50">
        <v>166.02125002999972</v>
      </c>
      <c r="TC42" s="50">
        <v>330.46662242999992</v>
      </c>
      <c r="TD42" s="50">
        <v>17.296355069999986</v>
      </c>
      <c r="TE42" s="50">
        <v>347.76297749999992</v>
      </c>
      <c r="TF42" s="50">
        <v>223.84248887000004</v>
      </c>
      <c r="TG42" s="50">
        <v>14.344037979999987</v>
      </c>
      <c r="TH42" s="50">
        <v>238.18652685000004</v>
      </c>
      <c r="TI42" s="50">
        <v>226.40149563999975</v>
      </c>
      <c r="TJ42" s="50">
        <v>13.931275340000004</v>
      </c>
      <c r="TK42" s="50">
        <v>240.33277097999976</v>
      </c>
      <c r="TL42" s="50">
        <v>221.9462977200003</v>
      </c>
      <c r="TM42" s="50">
        <v>13.330881310000001</v>
      </c>
      <c r="TN42" s="50">
        <v>235.2771790300003</v>
      </c>
      <c r="TO42" s="50">
        <v>252.8102428499993</v>
      </c>
      <c r="TP42" s="50">
        <v>16.692937979999975</v>
      </c>
      <c r="TQ42" s="50">
        <v>269.50318082999928</v>
      </c>
      <c r="TR42" s="50">
        <v>250.90162836999986</v>
      </c>
      <c r="TS42" s="50">
        <v>15.845051389999989</v>
      </c>
      <c r="TT42" s="50">
        <v>266.74667975999984</v>
      </c>
      <c r="TU42" s="50">
        <v>223.35953400000048</v>
      </c>
      <c r="TV42" s="50">
        <v>14.009562729999981</v>
      </c>
      <c r="TW42" s="50">
        <v>237.36909673000045</v>
      </c>
      <c r="TX42" s="50">
        <v>250.84186122999992</v>
      </c>
      <c r="TY42" s="50">
        <v>14.74555347000002</v>
      </c>
      <c r="TZ42" s="50">
        <v>265.58741469999995</v>
      </c>
      <c r="UA42" s="50">
        <v>232.29468741999983</v>
      </c>
      <c r="UB42" s="50">
        <v>18.227417090000003</v>
      </c>
      <c r="UC42" s="50">
        <v>250.52210450999985</v>
      </c>
      <c r="UD42" s="50">
        <v>253.80534889999936</v>
      </c>
      <c r="UE42" s="50">
        <v>15.664331470000011</v>
      </c>
      <c r="UF42" s="50">
        <v>269.46968036999937</v>
      </c>
      <c r="UG42" s="50">
        <v>469.44486853000006</v>
      </c>
      <c r="UH42" s="50">
        <v>28.61290036000004</v>
      </c>
      <c r="UI42" s="50">
        <v>498.05776889000009</v>
      </c>
      <c r="UJ42" s="50">
        <f t="shared" si="45"/>
        <v>3094.5332653699979</v>
      </c>
      <c r="UK42" s="50">
        <f t="shared" si="15"/>
        <v>190.30336481000001</v>
      </c>
      <c r="UL42" s="50">
        <f t="shared" si="16"/>
        <v>3284.8366301799983</v>
      </c>
      <c r="UM42" s="50">
        <v>162.33322928999974</v>
      </c>
      <c r="UN42" s="50">
        <v>6.4259299199999944</v>
      </c>
      <c r="UO42" s="50">
        <v>168.75915920999972</v>
      </c>
      <c r="UP42" s="50">
        <v>218.16819846000013</v>
      </c>
      <c r="UQ42" s="50">
        <v>13.413803359999998</v>
      </c>
      <c r="UR42" s="50">
        <v>231.58200182000013</v>
      </c>
      <c r="US42" s="50">
        <v>237.23262637000062</v>
      </c>
      <c r="UT42" s="50">
        <v>18.323654809999972</v>
      </c>
      <c r="UU42" s="50">
        <v>255.55628118000058</v>
      </c>
      <c r="UV42" s="50">
        <v>237.9921579500006</v>
      </c>
      <c r="UW42" s="50">
        <v>16.93100192</v>
      </c>
      <c r="UX42" s="50">
        <v>254.9231598700006</v>
      </c>
      <c r="UY42" s="50"/>
      <c r="UZ42" s="50"/>
      <c r="VA42" s="50"/>
      <c r="VB42" s="50"/>
      <c r="VC42" s="50"/>
      <c r="VD42" s="50"/>
      <c r="VE42" s="50"/>
      <c r="VF42" s="50"/>
      <c r="VG42" s="50"/>
      <c r="VH42" s="50"/>
      <c r="VI42" s="50"/>
      <c r="VJ42" s="50"/>
      <c r="VK42" s="50"/>
      <c r="VL42" s="50"/>
      <c r="VM42" s="50"/>
      <c r="VN42" s="50"/>
      <c r="VO42" s="50"/>
      <c r="VP42" s="50"/>
      <c r="VQ42" s="50"/>
      <c r="VR42" s="50"/>
      <c r="VS42" s="50"/>
      <c r="VT42" s="50"/>
      <c r="VU42" s="50"/>
      <c r="VV42" s="50"/>
      <c r="VW42" s="276">
        <f t="shared" si="57"/>
        <v>939.12879599999997</v>
      </c>
      <c r="VX42" s="292">
        <f t="shared" si="58"/>
        <v>53.174728999999999</v>
      </c>
      <c r="VY42" s="292">
        <f t="shared" si="59"/>
        <v>992.30352500000004</v>
      </c>
      <c r="VZ42" s="276">
        <f t="shared" si="60"/>
        <v>855.72621200000003</v>
      </c>
      <c r="WA42" s="292">
        <f t="shared" si="61"/>
        <v>55.094389999999997</v>
      </c>
      <c r="WB42" s="292">
        <f t="shared" si="62"/>
        <v>910.82060200000001</v>
      </c>
      <c r="WC42" s="277">
        <f t="shared" ref="WC42:WC71" si="112">WB42-VY42</f>
        <v>-81.482923000000028</v>
      </c>
      <c r="WD42" s="277">
        <f t="shared" si="104"/>
        <v>-8.2114918416721423</v>
      </c>
    </row>
    <row r="43" spans="1:602" s="12" customFormat="1" ht="20.5">
      <c r="A43" s="46" t="s">
        <v>121</v>
      </c>
      <c r="B43" s="12">
        <v>1000</v>
      </c>
      <c r="C43" s="46" t="s">
        <v>122</v>
      </c>
      <c r="D43" s="45">
        <v>1086.939062668966</v>
      </c>
      <c r="E43" s="42">
        <v>1256.0339226868373</v>
      </c>
      <c r="F43" s="42">
        <v>811.87886665414544</v>
      </c>
      <c r="G43" s="42">
        <v>647.20185855515911</v>
      </c>
      <c r="H43" s="42">
        <v>37.80613158149356</v>
      </c>
      <c r="I43" s="42">
        <v>53.513291671646719</v>
      </c>
      <c r="J43" s="42">
        <v>54.409994721145587</v>
      </c>
      <c r="K43" s="42">
        <v>53.697793865715049</v>
      </c>
      <c r="L43" s="42">
        <v>55.304904525301509</v>
      </c>
      <c r="M43" s="42">
        <v>60.042316534908736</v>
      </c>
      <c r="N43" s="42">
        <v>61.11028394829853</v>
      </c>
      <c r="O43" s="42">
        <v>53.196605312434194</v>
      </c>
      <c r="P43" s="42">
        <v>53.38071638749922</v>
      </c>
      <c r="Q43" s="42">
        <v>54.892322354454443</v>
      </c>
      <c r="R43" s="42">
        <v>58.22365281074098</v>
      </c>
      <c r="S43" s="42">
        <v>76.065033793205501</v>
      </c>
      <c r="T43" s="42">
        <v>643.72968077870928</v>
      </c>
      <c r="U43" s="42">
        <v>27.913366728134701</v>
      </c>
      <c r="V43" s="42">
        <v>671.64304750684403</v>
      </c>
      <c r="W43" s="42">
        <v>671.64331022589522</v>
      </c>
      <c r="X43" s="42">
        <v>36.387954536399903</v>
      </c>
      <c r="Y43" s="42">
        <v>55.461437328188232</v>
      </c>
      <c r="Z43" s="42">
        <v>55.652164074194232</v>
      </c>
      <c r="AA43" s="42">
        <v>54.307337764156159</v>
      </c>
      <c r="AB43" s="42">
        <v>55.846378222093215</v>
      </c>
      <c r="AC43" s="42">
        <v>61.057333196737645</v>
      </c>
      <c r="AD43" s="42">
        <v>60.274293416087566</v>
      </c>
      <c r="AE43" s="42">
        <v>53.894333270726975</v>
      </c>
      <c r="AF43" s="42">
        <v>51.93300550366817</v>
      </c>
      <c r="AG43" s="42">
        <v>55.747979365513004</v>
      </c>
      <c r="AH43" s="42">
        <v>60.549385034803443</v>
      </c>
      <c r="AI43" s="42">
        <v>69.382859232446037</v>
      </c>
      <c r="AJ43" s="42">
        <v>641.442843410112</v>
      </c>
      <c r="AK43" s="42">
        <v>29.0516172503287</v>
      </c>
      <c r="AL43" s="42">
        <v>670.49446094501445</v>
      </c>
      <c r="AM43" s="42">
        <v>670.4850541545012</v>
      </c>
      <c r="AN43" s="42">
        <v>39.330254238735122</v>
      </c>
      <c r="AO43" s="42">
        <v>57.874035833603678</v>
      </c>
      <c r="AP43" s="42">
        <v>57.35884969351342</v>
      </c>
      <c r="AQ43" s="42">
        <v>58.114220095503157</v>
      </c>
      <c r="AR43" s="42">
        <v>60.049860302445637</v>
      </c>
      <c r="AS43" s="42">
        <v>63.877541960489708</v>
      </c>
      <c r="AT43" s="42">
        <v>67.424539416394907</v>
      </c>
      <c r="AU43" s="42">
        <v>59.009075033722063</v>
      </c>
      <c r="AV43" s="42">
        <v>57.890835851816433</v>
      </c>
      <c r="AW43" s="42">
        <v>59.198661362200554</v>
      </c>
      <c r="AX43" s="42">
        <v>63.113508175821423</v>
      </c>
      <c r="AY43" s="42">
        <v>81.880552757240991</v>
      </c>
      <c r="AZ43" s="42">
        <v>692.65417200243598</v>
      </c>
      <c r="BA43" s="42">
        <v>32.467762719051102</v>
      </c>
      <c r="BB43" s="42">
        <v>725.12193472148704</v>
      </c>
      <c r="BC43" s="42">
        <f t="shared" si="21"/>
        <v>692.66585562973455</v>
      </c>
      <c r="BD43" s="42">
        <v>32.467333708971495</v>
      </c>
      <c r="BE43" s="42">
        <v>725.13318933870607</v>
      </c>
      <c r="BF43" s="44">
        <f t="shared" ref="BF43:CI43" si="113">BF44+BF45</f>
        <v>45.778901489999996</v>
      </c>
      <c r="BG43" s="44">
        <f t="shared" si="113"/>
        <v>1.2071501499999999</v>
      </c>
      <c r="BH43" s="44">
        <f t="shared" si="113"/>
        <v>46.986051639999999</v>
      </c>
      <c r="BI43" s="44">
        <f t="shared" si="113"/>
        <v>60.992393649999997</v>
      </c>
      <c r="BJ43" s="44">
        <f t="shared" si="113"/>
        <v>2.7363521300000002</v>
      </c>
      <c r="BK43" s="44">
        <f t="shared" si="113"/>
        <v>63.728745779999997</v>
      </c>
      <c r="BL43" s="44">
        <f t="shared" si="113"/>
        <v>60.03159265</v>
      </c>
      <c r="BM43" s="44">
        <f t="shared" si="113"/>
        <v>3.1251711000000002</v>
      </c>
      <c r="BN43" s="44">
        <f t="shared" si="113"/>
        <v>63.156763749999996</v>
      </c>
      <c r="BO43" s="44">
        <f t="shared" si="113"/>
        <v>62.109208930000001</v>
      </c>
      <c r="BP43" s="44">
        <f t="shared" si="113"/>
        <v>3.1398418799999996</v>
      </c>
      <c r="BQ43" s="44">
        <f t="shared" si="113"/>
        <v>65.24905081</v>
      </c>
      <c r="BR43" s="44">
        <f t="shared" si="113"/>
        <v>60.873501829999995</v>
      </c>
      <c r="BS43" s="44">
        <f t="shared" si="113"/>
        <v>2.3995207599999997</v>
      </c>
      <c r="BT43" s="44">
        <f t="shared" si="113"/>
        <v>63.273022589999997</v>
      </c>
      <c r="BU43" s="44">
        <f t="shared" si="113"/>
        <v>67.370398269999995</v>
      </c>
      <c r="BV43" s="44">
        <f t="shared" si="113"/>
        <v>3.4788497500000002</v>
      </c>
      <c r="BW43" s="44">
        <f t="shared" si="113"/>
        <v>70.84924801999999</v>
      </c>
      <c r="BX43" s="44">
        <f t="shared" si="113"/>
        <v>68.732725070000029</v>
      </c>
      <c r="BY43" s="44">
        <f t="shared" si="113"/>
        <v>3.0499261000000004</v>
      </c>
      <c r="BZ43" s="44">
        <f t="shared" si="113"/>
        <v>71.782651170000022</v>
      </c>
      <c r="CA43" s="44">
        <f t="shared" si="113"/>
        <v>60.181590839999998</v>
      </c>
      <c r="CB43" s="44">
        <f t="shared" si="113"/>
        <v>2.6555017300000001</v>
      </c>
      <c r="CC43" s="44">
        <f t="shared" si="113"/>
        <v>62.837092570000003</v>
      </c>
      <c r="CD43" s="44">
        <f t="shared" si="113"/>
        <v>59.796332379999967</v>
      </c>
      <c r="CE43" s="44">
        <f t="shared" si="113"/>
        <v>2.8411007000000001</v>
      </c>
      <c r="CF43" s="44">
        <f t="shared" si="113"/>
        <v>62.637433079999965</v>
      </c>
      <c r="CG43" s="44">
        <f t="shared" si="113"/>
        <v>63.357408599999943</v>
      </c>
      <c r="CH43" s="44">
        <f t="shared" si="113"/>
        <v>2.7134552799999998</v>
      </c>
      <c r="CI43" s="44">
        <f t="shared" si="113"/>
        <v>66.070863879999948</v>
      </c>
      <c r="CJ43" s="44">
        <f t="shared" ref="CJ43:CO43" si="114">CJ44+CJ45</f>
        <v>66.471002810000002</v>
      </c>
      <c r="CK43" s="44">
        <f t="shared" si="114"/>
        <v>3.3583652399999999</v>
      </c>
      <c r="CL43" s="44">
        <f t="shared" si="114"/>
        <v>69.829368049999999</v>
      </c>
      <c r="CM43" s="44">
        <f t="shared" si="114"/>
        <v>82.777402730000034</v>
      </c>
      <c r="CN43" s="44">
        <f t="shared" si="114"/>
        <v>4.76375656</v>
      </c>
      <c r="CO43" s="44">
        <f t="shared" si="114"/>
        <v>87.541159290000024</v>
      </c>
      <c r="CP43" s="50">
        <f t="shared" si="24"/>
        <v>758.47245925000004</v>
      </c>
      <c r="CQ43" s="50">
        <f t="shared" si="25"/>
        <v>35.468991379999999</v>
      </c>
      <c r="CR43" s="50">
        <f t="shared" si="26"/>
        <v>793.94145062999985</v>
      </c>
      <c r="CS43" s="42">
        <f t="shared" si="93"/>
        <v>758.37195150000002</v>
      </c>
      <c r="CT43" s="42">
        <f>CT44+CT45</f>
        <v>35.468991500000001</v>
      </c>
      <c r="CU43" s="42">
        <f>CU44+CU45</f>
        <v>793.84094300000004</v>
      </c>
      <c r="CV43" s="44">
        <f>CV44+CV45</f>
        <v>46.87785731000001</v>
      </c>
      <c r="CW43" s="44">
        <f>CW44+CW45</f>
        <v>1.4122008600000002</v>
      </c>
      <c r="CX43" s="44">
        <f>CX44+CX45</f>
        <v>48.290058170000009</v>
      </c>
      <c r="CY43" s="44">
        <v>63.317039609999981</v>
      </c>
      <c r="CZ43" s="44">
        <v>2.8499740099999999</v>
      </c>
      <c r="DA43" s="44">
        <v>66.167013619999977</v>
      </c>
      <c r="DB43" s="44">
        <v>65.96983160000002</v>
      </c>
      <c r="DC43" s="44">
        <v>3.2748261300000001</v>
      </c>
      <c r="DD43" s="44">
        <v>69.244657730000029</v>
      </c>
      <c r="DE43" s="44">
        <v>65.64840516000001</v>
      </c>
      <c r="DF43" s="44">
        <v>2.8316962499999994</v>
      </c>
      <c r="DG43" s="44">
        <v>68.480101410000003</v>
      </c>
      <c r="DH43" s="44">
        <v>64.290533549999978</v>
      </c>
      <c r="DI43" s="44">
        <v>2.7891163699999995</v>
      </c>
      <c r="DJ43" s="44">
        <v>67.07964991999998</v>
      </c>
      <c r="DK43" s="44">
        <v>71.900185910000033</v>
      </c>
      <c r="DL43" s="44">
        <v>3.5648887899999999</v>
      </c>
      <c r="DM43" s="44">
        <v>75.465074700000031</v>
      </c>
      <c r="DN43" s="44">
        <v>75.247853299999974</v>
      </c>
      <c r="DO43" s="44">
        <v>3.3034090799999971</v>
      </c>
      <c r="DP43" s="44">
        <v>78.551262379999969</v>
      </c>
      <c r="DQ43" s="44">
        <v>65.803139110000004</v>
      </c>
      <c r="DR43" s="44">
        <v>2.9141561400000002</v>
      </c>
      <c r="DS43" s="44">
        <v>68.717295250000006</v>
      </c>
      <c r="DT43" s="44">
        <v>63.665081459999982</v>
      </c>
      <c r="DU43" s="44">
        <v>2.9667031200000009</v>
      </c>
      <c r="DV43" s="44">
        <v>66.631784579999987</v>
      </c>
      <c r="DW43" s="44">
        <v>63.285941879999953</v>
      </c>
      <c r="DX43" s="44">
        <v>2.8579365499999998</v>
      </c>
      <c r="DY43" s="44">
        <v>66.143878429999944</v>
      </c>
      <c r="DZ43" s="44">
        <v>66.520221560000039</v>
      </c>
      <c r="EA43" s="44">
        <v>3.4229052800000019</v>
      </c>
      <c r="EB43" s="44">
        <v>69.943126840000033</v>
      </c>
      <c r="EC43" s="44">
        <v>83.588468339999963</v>
      </c>
      <c r="ED43" s="44">
        <v>4.9861104699999999</v>
      </c>
      <c r="EE43" s="44">
        <v>88.574578809999963</v>
      </c>
      <c r="EF43" s="50">
        <f t="shared" si="27"/>
        <v>796.11455879000005</v>
      </c>
      <c r="EG43" s="50">
        <f t="shared" si="28"/>
        <v>37.173923049999999</v>
      </c>
      <c r="EH43" s="50">
        <f t="shared" si="29"/>
        <v>833.28848183999992</v>
      </c>
      <c r="EI43" s="50">
        <f t="shared" si="94"/>
        <v>796.11472594999998</v>
      </c>
      <c r="EJ43" s="50">
        <v>37.173923049999999</v>
      </c>
      <c r="EK43" s="50">
        <v>833.28864899999996</v>
      </c>
      <c r="EL43" s="50">
        <v>48.566411120000033</v>
      </c>
      <c r="EM43" s="50">
        <v>1.1616629599999999</v>
      </c>
      <c r="EN43" s="50">
        <v>49.728074080000034</v>
      </c>
      <c r="EO43" s="50">
        <v>64.946068019999998</v>
      </c>
      <c r="EP43" s="50">
        <v>2.8881653199999997</v>
      </c>
      <c r="EQ43" s="50">
        <v>67.834233339999997</v>
      </c>
      <c r="ER43" s="50">
        <v>69.200616420000017</v>
      </c>
      <c r="ES43" s="50">
        <v>3.2985205999999976</v>
      </c>
      <c r="ET43" s="50">
        <v>72.49913702000002</v>
      </c>
      <c r="EU43" s="50">
        <v>70.422496829999915</v>
      </c>
      <c r="EV43" s="50">
        <v>2.9038856300000013</v>
      </c>
      <c r="EW43" s="50">
        <v>73.32638245999992</v>
      </c>
      <c r="EX43" s="50">
        <v>69.548328809999916</v>
      </c>
      <c r="EY43" s="50">
        <v>2.9693648700000033</v>
      </c>
      <c r="EZ43" s="50">
        <v>72.517693679999908</v>
      </c>
      <c r="FA43" s="50">
        <v>75.63787210000001</v>
      </c>
      <c r="FB43" s="50">
        <v>3.3358013400000002</v>
      </c>
      <c r="FC43" s="50">
        <v>78.973673440000013</v>
      </c>
      <c r="FD43" s="50">
        <v>78.487232400000025</v>
      </c>
      <c r="FE43" s="50">
        <v>3.24244398</v>
      </c>
      <c r="FF43" s="50">
        <v>81.729676380000029</v>
      </c>
      <c r="FG43" s="50">
        <v>66.176513699999987</v>
      </c>
      <c r="FH43" s="50">
        <v>2.9660190300000009</v>
      </c>
      <c r="FI43" s="50">
        <v>69.142532729999985</v>
      </c>
      <c r="FJ43" s="50">
        <v>67.785957260000089</v>
      </c>
      <c r="FK43" s="50">
        <v>2.9174527699999979</v>
      </c>
      <c r="FL43" s="50">
        <v>70.703410030000086</v>
      </c>
      <c r="FM43" s="50">
        <v>69.361042590000011</v>
      </c>
      <c r="FN43" s="50">
        <v>3.1466282199999993</v>
      </c>
      <c r="FO43" s="50">
        <v>72.507670810000022</v>
      </c>
      <c r="FP43" s="50">
        <v>72.962606860000079</v>
      </c>
      <c r="FQ43" s="50">
        <v>3.8059722699999998</v>
      </c>
      <c r="FR43" s="50">
        <v>76.768579130000077</v>
      </c>
      <c r="FS43" s="50">
        <v>112.16973269000007</v>
      </c>
      <c r="FT43" s="50">
        <v>5.5318792899999991</v>
      </c>
      <c r="FU43" s="50">
        <v>117.70161198000008</v>
      </c>
      <c r="FV43" s="50">
        <f t="shared" si="30"/>
        <v>865.26487880000002</v>
      </c>
      <c r="FW43" s="50">
        <f t="shared" si="31"/>
        <v>38.167796280000005</v>
      </c>
      <c r="FX43" s="50">
        <f t="shared" si="32"/>
        <v>903.43267508000019</v>
      </c>
      <c r="FY43" s="50">
        <f t="shared" si="95"/>
        <v>865.308944</v>
      </c>
      <c r="FZ43" s="50">
        <v>38.16865</v>
      </c>
      <c r="GA43" s="50">
        <v>903.47759399999995</v>
      </c>
      <c r="GB43" s="50">
        <v>48.259094879999978</v>
      </c>
      <c r="GC43" s="50">
        <v>1.6324629900000005</v>
      </c>
      <c r="GD43" s="50">
        <v>49.891557869999978</v>
      </c>
      <c r="GE43" s="50">
        <v>71.28446989000004</v>
      </c>
      <c r="GF43" s="50">
        <v>3.52301982</v>
      </c>
      <c r="GG43" s="50">
        <v>74.807489710000041</v>
      </c>
      <c r="GH43" s="50">
        <v>77.110820200000049</v>
      </c>
      <c r="GI43" s="50">
        <v>4.255279129999999</v>
      </c>
      <c r="GJ43" s="50">
        <v>81.366099330000054</v>
      </c>
      <c r="GK43" s="50">
        <v>77.37999595999996</v>
      </c>
      <c r="GL43" s="50">
        <v>3.6940882899999994</v>
      </c>
      <c r="GM43" s="50">
        <v>81.074084249999956</v>
      </c>
      <c r="GN43" s="50">
        <v>76.162364149999945</v>
      </c>
      <c r="GO43" s="50">
        <v>3.8953246500000005</v>
      </c>
      <c r="GP43" s="50">
        <v>80.057688799999937</v>
      </c>
      <c r="GQ43" s="50">
        <v>83.132723250000055</v>
      </c>
      <c r="GR43" s="50">
        <v>4.425946800000002</v>
      </c>
      <c r="GS43" s="50">
        <v>87.55867005000006</v>
      </c>
      <c r="GT43" s="50">
        <v>83.606423280000001</v>
      </c>
      <c r="GU43" s="50">
        <v>4.0041838499999987</v>
      </c>
      <c r="GV43" s="50">
        <v>87.610607129999991</v>
      </c>
      <c r="GW43" s="50">
        <v>76.514402930000017</v>
      </c>
      <c r="GX43" s="50">
        <v>3.6616436199999995</v>
      </c>
      <c r="GY43" s="50">
        <v>80.176046550000024</v>
      </c>
      <c r="GZ43" s="50">
        <v>75.454156099999963</v>
      </c>
      <c r="HA43" s="50">
        <v>3.6887571799999987</v>
      </c>
      <c r="HB43" s="50">
        <v>79.142913279999959</v>
      </c>
      <c r="HC43" s="50">
        <v>74.485046459999964</v>
      </c>
      <c r="HD43" s="50">
        <v>3.7643990499999997</v>
      </c>
      <c r="HE43" s="50">
        <v>78.249445509999958</v>
      </c>
      <c r="HF43" s="50">
        <v>84.683206390000009</v>
      </c>
      <c r="HG43" s="50">
        <v>4.6618626000000001</v>
      </c>
      <c r="HH43" s="50">
        <v>89.345068990000016</v>
      </c>
      <c r="HI43" s="50">
        <v>118.97696760999997</v>
      </c>
      <c r="HJ43" s="50">
        <v>6.4197717700000023</v>
      </c>
      <c r="HK43" s="50">
        <v>125.39673937999997</v>
      </c>
      <c r="HL43" s="50">
        <f t="shared" si="33"/>
        <v>947.04967109999984</v>
      </c>
      <c r="HM43" s="50">
        <f t="shared" si="34"/>
        <v>47.626739749999999</v>
      </c>
      <c r="HN43" s="50">
        <f t="shared" si="35"/>
        <v>994.67641085000002</v>
      </c>
      <c r="HO43" s="50">
        <f t="shared" si="96"/>
        <v>947.04613900000004</v>
      </c>
      <c r="HP43" s="50">
        <v>47.626741000000003</v>
      </c>
      <c r="HQ43" s="50">
        <f>HQ44+HQ45</f>
        <v>994.67288000000008</v>
      </c>
      <c r="HR43" s="50">
        <v>45.022082390000001</v>
      </c>
      <c r="HS43" s="50">
        <v>1.8887629800000012</v>
      </c>
      <c r="HT43" s="50">
        <v>46.910845369999997</v>
      </c>
      <c r="HU43" s="50">
        <v>76.924606249999968</v>
      </c>
      <c r="HV43" s="50">
        <v>4.28501288</v>
      </c>
      <c r="HW43" s="50">
        <v>81.209619130000078</v>
      </c>
      <c r="HX43" s="50">
        <v>81.692998050000014</v>
      </c>
      <c r="HY43" s="50">
        <v>4.7004417699999976</v>
      </c>
      <c r="HZ43" s="50">
        <v>86.393439819999998</v>
      </c>
      <c r="IA43" s="50">
        <v>81.466381319999982</v>
      </c>
      <c r="IB43" s="50">
        <v>4.2924353000000011</v>
      </c>
      <c r="IC43" s="50">
        <v>85.758816620000047</v>
      </c>
      <c r="ID43" s="50">
        <v>82.148139860000001</v>
      </c>
      <c r="IE43" s="50">
        <v>4.3501166899999992</v>
      </c>
      <c r="IF43" s="50">
        <v>86.498256549999923</v>
      </c>
      <c r="IG43" s="50">
        <v>92.313805179999974</v>
      </c>
      <c r="IH43" s="50">
        <v>4.8879745000000012</v>
      </c>
      <c r="II43" s="50">
        <v>97.201779679999987</v>
      </c>
      <c r="IJ43" s="50">
        <v>89.062809729999998</v>
      </c>
      <c r="IK43" s="50">
        <v>4.6323585099999987</v>
      </c>
      <c r="IL43" s="50">
        <v>93.695168239999987</v>
      </c>
      <c r="IM43" s="50">
        <v>83.756246259999912</v>
      </c>
      <c r="IN43" s="50">
        <v>4.4184186600000013</v>
      </c>
      <c r="IO43" s="50">
        <v>88.174664919999941</v>
      </c>
      <c r="IP43" s="50">
        <v>81.778152749999848</v>
      </c>
      <c r="IQ43" s="50">
        <v>4.4177256900000019</v>
      </c>
      <c r="IR43" s="50">
        <v>86.195878439999888</v>
      </c>
      <c r="IS43" s="50">
        <v>81.444569410000071</v>
      </c>
      <c r="IT43" s="50">
        <v>4.2314455900000016</v>
      </c>
      <c r="IU43" s="50">
        <v>85.676014999999978</v>
      </c>
      <c r="IV43" s="50">
        <v>94.205550919999936</v>
      </c>
      <c r="IW43" s="50">
        <v>5.332054620000001</v>
      </c>
      <c r="IX43" s="50">
        <v>99.537605539999831</v>
      </c>
      <c r="IY43" s="50">
        <v>122.36410460000012</v>
      </c>
      <c r="IZ43" s="50">
        <v>7.0636967699999973</v>
      </c>
      <c r="JA43" s="50">
        <v>129.42780137000008</v>
      </c>
      <c r="JB43" s="50">
        <f t="shared" si="36"/>
        <v>1012.1794467199999</v>
      </c>
      <c r="JC43" s="50">
        <f t="shared" si="37"/>
        <v>54.500443960000005</v>
      </c>
      <c r="JD43" s="50">
        <f t="shared" si="38"/>
        <v>1066.6798906799997</v>
      </c>
      <c r="JE43" s="50">
        <f t="shared" si="97"/>
        <v>1012.155808</v>
      </c>
      <c r="JF43" s="50">
        <v>54.514254999999999</v>
      </c>
      <c r="JG43" s="50">
        <v>1066.670063</v>
      </c>
      <c r="JH43" s="50">
        <v>75.241859150000025</v>
      </c>
      <c r="JI43" s="50">
        <v>1.9803303700000017</v>
      </c>
      <c r="JJ43" s="50">
        <v>77.222189520000043</v>
      </c>
      <c r="JK43" s="50">
        <v>88.788992530000044</v>
      </c>
      <c r="JL43" s="50">
        <v>4.6272442199999988</v>
      </c>
      <c r="JM43" s="50">
        <v>93.416236749999996</v>
      </c>
      <c r="JN43" s="50">
        <v>84.750091709999893</v>
      </c>
      <c r="JO43" s="50">
        <v>4.8722867599999944</v>
      </c>
      <c r="JP43" s="50">
        <v>89.622378469999973</v>
      </c>
      <c r="JQ43" s="50">
        <v>87.100635050000108</v>
      </c>
      <c r="JR43" s="50">
        <v>4.7135118100000035</v>
      </c>
      <c r="JS43" s="50">
        <v>91.81414685999998</v>
      </c>
      <c r="JT43" s="50">
        <v>89.042071939999914</v>
      </c>
      <c r="JU43" s="50">
        <v>4.386233159999998</v>
      </c>
      <c r="JV43" s="50">
        <v>93.428305099999889</v>
      </c>
      <c r="JW43" s="50">
        <v>94.169255099999958</v>
      </c>
      <c r="JX43" s="50">
        <v>5.0230451900000039</v>
      </c>
      <c r="JY43" s="50">
        <v>99.192300289999906</v>
      </c>
      <c r="JZ43" s="50">
        <v>93.494073599999965</v>
      </c>
      <c r="KA43" s="50">
        <v>4.4559713900000011</v>
      </c>
      <c r="KB43" s="50">
        <v>97.950044989999952</v>
      </c>
      <c r="KC43" s="50">
        <v>87.111338890000027</v>
      </c>
      <c r="KD43" s="50">
        <v>4.529445970000002</v>
      </c>
      <c r="KE43" s="50">
        <v>91.640784859999869</v>
      </c>
      <c r="KF43" s="50">
        <v>88.043813409999871</v>
      </c>
      <c r="KG43" s="50">
        <v>4.5841358000000021</v>
      </c>
      <c r="KH43" s="50">
        <v>92.627949209999983</v>
      </c>
      <c r="KI43" s="50">
        <v>86.789924020000043</v>
      </c>
      <c r="KJ43" s="50">
        <v>4.121717300000002</v>
      </c>
      <c r="KK43" s="50">
        <v>90.91164132000003</v>
      </c>
      <c r="KL43" s="50">
        <v>96.854769680000047</v>
      </c>
      <c r="KM43" s="50">
        <v>5.4363576500000068</v>
      </c>
      <c r="KN43" s="50">
        <v>102.2911273299999</v>
      </c>
      <c r="KO43" s="50">
        <v>133.93994945999998</v>
      </c>
      <c r="KP43" s="50">
        <v>6.9176093400000056</v>
      </c>
      <c r="KQ43" s="50">
        <v>140.85755879999982</v>
      </c>
      <c r="KR43" s="50">
        <f t="shared" si="48"/>
        <v>1105.3267745399999</v>
      </c>
      <c r="KS43" s="50">
        <f t="shared" si="39"/>
        <v>55.647888960000024</v>
      </c>
      <c r="KT43" s="50">
        <f t="shared" si="49"/>
        <v>1160.9746634999992</v>
      </c>
      <c r="KU43" s="50">
        <f t="shared" si="98"/>
        <v>1105.326759</v>
      </c>
      <c r="KV43" s="50">
        <v>55.647903999999997</v>
      </c>
      <c r="KW43" s="50">
        <v>1160.974663</v>
      </c>
      <c r="KX43" s="50">
        <v>57.447281519999997</v>
      </c>
      <c r="KY43" s="50">
        <v>2.6706879199999984</v>
      </c>
      <c r="KZ43" s="50">
        <v>60.117969439999968</v>
      </c>
      <c r="LA43" s="50">
        <v>87.11508100999994</v>
      </c>
      <c r="LB43" s="50">
        <v>4.4964886400000017</v>
      </c>
      <c r="LC43" s="50">
        <v>91.61156964999995</v>
      </c>
      <c r="LD43" s="50">
        <v>92.104077209999957</v>
      </c>
      <c r="LE43" s="50">
        <v>5.1302382400000059</v>
      </c>
      <c r="LF43" s="87">
        <v>97.234315449999897</v>
      </c>
      <c r="LG43" s="50">
        <v>97.563609699999901</v>
      </c>
      <c r="LH43" s="50">
        <v>5.0035816900000007</v>
      </c>
      <c r="LI43" s="175">
        <v>102.56719138999991</v>
      </c>
      <c r="LJ43" s="174">
        <v>90.095167410000144</v>
      </c>
      <c r="LK43" s="50">
        <v>4.3886955700000012</v>
      </c>
      <c r="LL43" s="174">
        <v>94.483862979999969</v>
      </c>
      <c r="LM43" s="50">
        <v>100.68252782000013</v>
      </c>
      <c r="LN43" s="50">
        <v>4.8061440599999994</v>
      </c>
      <c r="LO43" s="50">
        <v>105.48867187999998</v>
      </c>
      <c r="LP43" s="50">
        <v>101.43888753000013</v>
      </c>
      <c r="LQ43" s="44">
        <v>4.6085508299999995</v>
      </c>
      <c r="LR43" s="44">
        <v>106.04743836000004</v>
      </c>
      <c r="LS43" s="50">
        <v>92.72786612000013</v>
      </c>
      <c r="LT43" s="50">
        <v>4.6279956699999962</v>
      </c>
      <c r="LU43" s="52">
        <v>97.355861789999921</v>
      </c>
      <c r="LV43" s="44">
        <v>95.540841160000056</v>
      </c>
      <c r="LW43" s="44">
        <v>4.4126719799999989</v>
      </c>
      <c r="LX43" s="44">
        <v>99.953513140000055</v>
      </c>
      <c r="LY43" s="44">
        <v>89.547500429999857</v>
      </c>
      <c r="LZ43" s="44">
        <v>4.5634856099999981</v>
      </c>
      <c r="MA43" s="44">
        <v>94.110986039999929</v>
      </c>
      <c r="MB43" s="44">
        <v>100.86385643999984</v>
      </c>
      <c r="MC43" s="44">
        <v>5.0570431999999945</v>
      </c>
      <c r="MD43" s="44">
        <v>105.9208996399999</v>
      </c>
      <c r="ME43" s="44">
        <v>137.80087647000005</v>
      </c>
      <c r="MF43" s="44">
        <v>7.0420421599999994</v>
      </c>
      <c r="MG43" s="44">
        <v>144.84291863000018</v>
      </c>
      <c r="MH43" s="50">
        <f t="shared" si="66"/>
        <v>1142.92757282</v>
      </c>
      <c r="MI43" s="50">
        <f t="shared" si="50"/>
        <v>56.807625569999999</v>
      </c>
      <c r="MJ43" s="50">
        <f t="shared" si="51"/>
        <v>1199.7351983899996</v>
      </c>
      <c r="MK43" s="50">
        <f t="shared" si="99"/>
        <v>1142.8910349999999</v>
      </c>
      <c r="ML43" s="50">
        <v>56.807617999999998</v>
      </c>
      <c r="MM43" s="50">
        <v>1199.6986529999999</v>
      </c>
      <c r="MN43" s="44">
        <v>62.733003810000064</v>
      </c>
      <c r="MO43" s="44">
        <v>2.7535699599999997</v>
      </c>
      <c r="MP43" s="44">
        <v>65.486573770000092</v>
      </c>
      <c r="MQ43" s="44">
        <v>97.101902629999969</v>
      </c>
      <c r="MR43" s="44">
        <v>4.7294515300000057</v>
      </c>
      <c r="MS43" s="44">
        <v>101.83135415999992</v>
      </c>
      <c r="MT43" s="50">
        <v>101.29763867000005</v>
      </c>
      <c r="MU43" s="50">
        <v>4.8998502600000053</v>
      </c>
      <c r="MV43" s="50">
        <v>106.19748892999995</v>
      </c>
      <c r="MW43" s="44">
        <v>103.9444404600001</v>
      </c>
      <c r="MX43" s="44">
        <v>5.2338085799999954</v>
      </c>
      <c r="MY43" s="44">
        <v>109.17824903999988</v>
      </c>
      <c r="MZ43" s="44">
        <v>100.25349114999996</v>
      </c>
      <c r="NA43" s="44">
        <v>4.844830919999997</v>
      </c>
      <c r="NB43" s="44">
        <v>105.09832206999999</v>
      </c>
      <c r="NC43" s="44">
        <v>111.82477188000017</v>
      </c>
      <c r="ND43" s="44">
        <v>5.1224555199999999</v>
      </c>
      <c r="NE43" s="44">
        <v>116.94722740000003</v>
      </c>
      <c r="NF43" s="44">
        <v>108.18915665000003</v>
      </c>
      <c r="NG43" s="44">
        <v>4.8464137399999965</v>
      </c>
      <c r="NH43" s="44">
        <v>113.03557038999999</v>
      </c>
      <c r="NI43" s="44">
        <v>100.85518704000016</v>
      </c>
      <c r="NJ43" s="44">
        <v>4.7296842999999997</v>
      </c>
      <c r="NK43" s="44">
        <v>105.58487133999998</v>
      </c>
      <c r="NL43" s="44">
        <v>104.65297253000008</v>
      </c>
      <c r="NM43" s="44">
        <v>4.6075048799999987</v>
      </c>
      <c r="NN43" s="44">
        <v>109.26047741000014</v>
      </c>
      <c r="NO43" s="44">
        <v>96.234961930000139</v>
      </c>
      <c r="NP43" s="44">
        <v>4.4962845400000004</v>
      </c>
      <c r="NQ43" s="44">
        <v>100.73124646999997</v>
      </c>
      <c r="NR43" s="44">
        <v>109.08263275999991</v>
      </c>
      <c r="NS43" s="44">
        <v>5.0194588999999965</v>
      </c>
      <c r="NT43" s="44">
        <v>114.10209165999999</v>
      </c>
      <c r="NU43" s="44">
        <v>154.85160893999998</v>
      </c>
      <c r="NV43" s="44">
        <v>8.180342750000003</v>
      </c>
      <c r="NW43" s="44">
        <v>163.03195169000006</v>
      </c>
      <c r="NX43" s="50">
        <f t="shared" si="67"/>
        <v>1251.0217684500008</v>
      </c>
      <c r="NY43" s="50">
        <f t="shared" si="40"/>
        <v>59.463655879999997</v>
      </c>
      <c r="NZ43" s="50">
        <f t="shared" si="41"/>
        <v>1310.4854243299999</v>
      </c>
      <c r="OA43" s="50">
        <f t="shared" si="100"/>
        <v>1251.0217680000001</v>
      </c>
      <c r="OB43" s="50">
        <v>59.463656</v>
      </c>
      <c r="OC43" s="50">
        <v>1310.485424</v>
      </c>
      <c r="OD43" s="44">
        <v>71.462043859999952</v>
      </c>
      <c r="OE43" s="44">
        <v>2.4847131800000017</v>
      </c>
      <c r="OF43" s="44">
        <v>73.94675703999998</v>
      </c>
      <c r="OG43" s="50">
        <v>97.873607689999943</v>
      </c>
      <c r="OH43" s="44">
        <v>4.5485399400000013</v>
      </c>
      <c r="OI43" s="44">
        <v>102.42214762999994</v>
      </c>
      <c r="OJ43" s="44">
        <f t="shared" si="107"/>
        <v>100.81400072000005</v>
      </c>
      <c r="OK43" s="44">
        <v>5.277014160000002</v>
      </c>
      <c r="OL43" s="44">
        <v>106.09101488000006</v>
      </c>
      <c r="OM43" s="44">
        <v>106.40653083000002</v>
      </c>
      <c r="ON43" s="44">
        <v>4.8268216600000065</v>
      </c>
      <c r="OO43" s="44">
        <v>111.23335249000014</v>
      </c>
      <c r="OP43" s="44">
        <v>110.89347861000019</v>
      </c>
      <c r="OQ43" s="44">
        <v>5.2912204100000046</v>
      </c>
      <c r="OR43" s="44">
        <v>116.1846990200002</v>
      </c>
      <c r="OS43" s="44">
        <v>114.34261895000009</v>
      </c>
      <c r="OT43" s="44">
        <v>5.7390039099999965</v>
      </c>
      <c r="OU43" s="44">
        <v>120.08162286000004</v>
      </c>
      <c r="OV43" s="44">
        <v>113.52461352999998</v>
      </c>
      <c r="OW43" s="44">
        <v>4.5593310299999983</v>
      </c>
      <c r="OX43" s="44">
        <v>118.08394456000003</v>
      </c>
      <c r="OY43" s="95">
        <v>104.71858645000005</v>
      </c>
      <c r="OZ43" s="95">
        <v>5.1132930899999982</v>
      </c>
      <c r="PA43" s="95">
        <v>109.83187954000005</v>
      </c>
      <c r="PB43" s="44">
        <v>109.86936255999983</v>
      </c>
      <c r="PC43" s="44">
        <v>5.6560427399999957</v>
      </c>
      <c r="PD43" s="44">
        <v>115.52540529999983</v>
      </c>
      <c r="PE43" s="44">
        <v>106.36156751000004</v>
      </c>
      <c r="PF43" s="44">
        <v>5.1372912100000026</v>
      </c>
      <c r="PG43" s="44">
        <v>111.49885872</v>
      </c>
      <c r="PH43" s="44">
        <v>117.86951285000001</v>
      </c>
      <c r="PI43" s="44">
        <v>6.2142734100000041</v>
      </c>
      <c r="PJ43" s="44">
        <v>124.08378625999994</v>
      </c>
      <c r="PK43" s="44">
        <v>183.25627526000008</v>
      </c>
      <c r="PL43" s="44">
        <v>9.0274797399999986</v>
      </c>
      <c r="PM43" s="44">
        <v>192.28375499999976</v>
      </c>
      <c r="PN43" s="50">
        <f t="shared" si="88"/>
        <v>1337.3921988200004</v>
      </c>
      <c r="PO43" s="50">
        <f t="shared" si="108"/>
        <v>63.875024480000008</v>
      </c>
      <c r="PP43" s="50">
        <f t="shared" si="43"/>
        <v>1401.2672232999998</v>
      </c>
      <c r="PQ43" s="50">
        <f t="shared" si="101"/>
        <v>1337.3476599999999</v>
      </c>
      <c r="PR43" s="50">
        <v>63.875022999999999</v>
      </c>
      <c r="PS43" s="50">
        <v>1401.222683</v>
      </c>
      <c r="PT43" s="44">
        <v>65.017174579999988</v>
      </c>
      <c r="PU43" s="44">
        <v>2.8533415799999982</v>
      </c>
      <c r="PV43" s="44">
        <v>67.87051615999998</v>
      </c>
      <c r="PW43" s="44">
        <v>109.98418420999994</v>
      </c>
      <c r="PX43" s="44">
        <v>5.2887020200000059</v>
      </c>
      <c r="PY43" s="44">
        <v>115.27288622999986</v>
      </c>
      <c r="PZ43" s="44">
        <v>115.17452837999996</v>
      </c>
      <c r="QA43" s="44">
        <v>6.2383075300000019</v>
      </c>
      <c r="QB43" s="44">
        <v>121.41283590999981</v>
      </c>
      <c r="QC43" s="44">
        <v>115.93546232000016</v>
      </c>
      <c r="QD43" s="44">
        <v>5.7675797299999934</v>
      </c>
      <c r="QE43" s="44">
        <v>121.70304205000026</v>
      </c>
      <c r="QF43" s="50">
        <v>125.00445122000015</v>
      </c>
      <c r="QG43" s="44">
        <v>6.0616292499999949</v>
      </c>
      <c r="QH43" s="44">
        <v>131.06608047000014</v>
      </c>
      <c r="QI43" s="50">
        <v>136.93730050999937</v>
      </c>
      <c r="QJ43" s="44">
        <v>6.7642252899999988</v>
      </c>
      <c r="QK43" s="44">
        <v>143.70152579999939</v>
      </c>
      <c r="QL43" s="44">
        <v>128.43762485999991</v>
      </c>
      <c r="QM43" s="44">
        <v>5.6514147199999982</v>
      </c>
      <c r="QN43" s="44">
        <v>134.0890395800003</v>
      </c>
      <c r="QO43" s="50">
        <v>126.14365826999995</v>
      </c>
      <c r="QP43" s="44">
        <v>6.4639287100000002</v>
      </c>
      <c r="QQ43" s="44">
        <v>132.60758697999995</v>
      </c>
      <c r="QR43" s="44">
        <v>131.6929275600001</v>
      </c>
      <c r="QS43" s="44">
        <v>5.9042873899999977</v>
      </c>
      <c r="QT43" s="44">
        <v>137.59721495000011</v>
      </c>
      <c r="QU43" s="50">
        <v>128.17220530999987</v>
      </c>
      <c r="QV43" s="44">
        <v>6.1964988299999986</v>
      </c>
      <c r="QW43" s="44">
        <v>134.36870413999986</v>
      </c>
      <c r="QX43" s="50">
        <v>138.5012929099999</v>
      </c>
      <c r="QY43" s="44">
        <v>7.1825649499999962</v>
      </c>
      <c r="QZ43" s="44">
        <v>145.6838578599999</v>
      </c>
      <c r="RA43" s="50">
        <v>215.76008294000039</v>
      </c>
      <c r="RB43" s="44">
        <v>12.597453400000004</v>
      </c>
      <c r="RC43" s="44">
        <v>228.35753634000039</v>
      </c>
      <c r="RD43" s="50">
        <f t="shared" si="52"/>
        <v>1536.7608930699998</v>
      </c>
      <c r="RE43" s="50">
        <f t="shared" si="53"/>
        <v>76.969933399999988</v>
      </c>
      <c r="RF43" s="50">
        <f t="shared" si="54"/>
        <v>1613.7308264700002</v>
      </c>
      <c r="RG43" s="50">
        <f t="shared" si="111"/>
        <v>1536.7608829999999</v>
      </c>
      <c r="RH43" s="50">
        <v>76.969943000000001</v>
      </c>
      <c r="RI43" s="50">
        <v>1613.730826</v>
      </c>
      <c r="RJ43" s="50">
        <v>103.52735061999989</v>
      </c>
      <c r="RK43" s="50">
        <v>1.5917856300000006</v>
      </c>
      <c r="RL43" s="50">
        <v>105.11913624999991</v>
      </c>
      <c r="RM43" s="50">
        <v>137.59583723999992</v>
      </c>
      <c r="RN43" s="50">
        <v>6.229143160000004</v>
      </c>
      <c r="RO43" s="50">
        <v>143.82498039999993</v>
      </c>
      <c r="RP43" s="50">
        <v>137.55716041000005</v>
      </c>
      <c r="RQ43" s="50">
        <v>5.9435430999999985</v>
      </c>
      <c r="RR43" s="50">
        <v>143.50070351000008</v>
      </c>
      <c r="RS43" s="50">
        <v>136.7080100499999</v>
      </c>
      <c r="RT43" s="50">
        <v>6.0602100699999992</v>
      </c>
      <c r="RU43" s="50">
        <v>142.76822011999991</v>
      </c>
      <c r="RV43" s="50">
        <v>143.47186450000001</v>
      </c>
      <c r="RW43" s="50">
        <v>6.4132281499999975</v>
      </c>
      <c r="RX43" s="50">
        <v>149.88509265000002</v>
      </c>
      <c r="RY43" s="50">
        <v>151.01271708999991</v>
      </c>
      <c r="RZ43" s="50">
        <v>6.2067748799999967</v>
      </c>
      <c r="SA43" s="50">
        <v>157.21949196999989</v>
      </c>
      <c r="SB43" s="50">
        <v>147.05336650999985</v>
      </c>
      <c r="SC43" s="50">
        <v>6.6203322600000014</v>
      </c>
      <c r="SD43" s="50">
        <v>153.67369876999985</v>
      </c>
      <c r="SE43" s="50">
        <v>140.38571389000003</v>
      </c>
      <c r="SF43" s="50">
        <v>6.43146489</v>
      </c>
      <c r="SG43" s="50">
        <v>146.81717878000003</v>
      </c>
      <c r="SH43" s="50">
        <v>140.80882035000036</v>
      </c>
      <c r="SI43" s="50">
        <v>6.0037826200000071</v>
      </c>
      <c r="SJ43" s="50">
        <v>146.81260297000037</v>
      </c>
      <c r="SK43" s="50">
        <v>140.38995553000009</v>
      </c>
      <c r="SL43" s="50">
        <v>6.5000338199999961</v>
      </c>
      <c r="SM43" s="50">
        <v>146.88998935000032</v>
      </c>
      <c r="SN43" s="50">
        <v>145.74228680000002</v>
      </c>
      <c r="SO43" s="50">
        <v>7.5699540400000069</v>
      </c>
      <c r="SP43" s="50">
        <v>153.31224084000002</v>
      </c>
      <c r="SQ43" s="50">
        <v>217.49468818000008</v>
      </c>
      <c r="SR43" s="50">
        <v>11.090098819999998</v>
      </c>
      <c r="SS43" s="50">
        <v>228.58478700000009</v>
      </c>
      <c r="ST43" s="50">
        <f t="shared" si="55"/>
        <v>1741.7477711700003</v>
      </c>
      <c r="SU43" s="50">
        <f t="shared" si="65"/>
        <v>76.660351440000014</v>
      </c>
      <c r="SV43" s="50">
        <f t="shared" si="56"/>
        <v>1818.4081226100004</v>
      </c>
      <c r="SW43" s="50">
        <f t="shared" si="103"/>
        <v>1741.747685</v>
      </c>
      <c r="SX43" s="50">
        <v>76.660342</v>
      </c>
      <c r="SY43" s="50">
        <v>1818.4080269999999</v>
      </c>
      <c r="SZ43" s="50">
        <v>87.919194949999934</v>
      </c>
      <c r="TA43" s="50">
        <v>3.0599074500000021</v>
      </c>
      <c r="TB43" s="50">
        <v>90.979102399999888</v>
      </c>
      <c r="TC43" s="50">
        <v>144.0908946000001</v>
      </c>
      <c r="TD43" s="50">
        <v>7.038284779999997</v>
      </c>
      <c r="TE43" s="50">
        <v>151.1291793800001</v>
      </c>
      <c r="TF43" s="50">
        <v>144.01696835000004</v>
      </c>
      <c r="TG43" s="50">
        <v>7.5295497599999957</v>
      </c>
      <c r="TH43" s="50">
        <v>151.54651811000005</v>
      </c>
      <c r="TI43" s="50">
        <v>159.73423478999982</v>
      </c>
      <c r="TJ43" s="50">
        <v>7.6435972499999965</v>
      </c>
      <c r="TK43" s="50">
        <v>167.37783203999982</v>
      </c>
      <c r="TL43" s="50">
        <v>147.2840070400002</v>
      </c>
      <c r="TM43" s="50">
        <v>7.2998714100000042</v>
      </c>
      <c r="TN43" s="50">
        <v>154.58387845000021</v>
      </c>
      <c r="TO43" s="50">
        <v>160.26225947999981</v>
      </c>
      <c r="TP43" s="50">
        <v>7.4917493000000022</v>
      </c>
      <c r="TQ43" s="50">
        <v>167.75400877999982</v>
      </c>
      <c r="TR43" s="50">
        <v>162.63670626000007</v>
      </c>
      <c r="TS43" s="50">
        <v>7.6542425899999973</v>
      </c>
      <c r="TT43" s="50">
        <v>170.29094885000006</v>
      </c>
      <c r="TU43" s="50">
        <v>153.21380234999984</v>
      </c>
      <c r="TV43" s="50">
        <v>7.3171882599999991</v>
      </c>
      <c r="TW43" s="50">
        <v>160.53099060999983</v>
      </c>
      <c r="TX43" s="50">
        <v>151.50707002000001</v>
      </c>
      <c r="TY43" s="50">
        <v>6.8321813099999984</v>
      </c>
      <c r="TZ43" s="50">
        <v>158.33925133000002</v>
      </c>
      <c r="UA43" s="50">
        <v>152.79216546000029</v>
      </c>
      <c r="UB43" s="50">
        <v>7.3975985700000013</v>
      </c>
      <c r="UC43" s="50">
        <v>160.1897640300003</v>
      </c>
      <c r="UD43" s="50">
        <v>153.29581289000006</v>
      </c>
      <c r="UE43" s="50">
        <v>7.9635526700000012</v>
      </c>
      <c r="UF43" s="50">
        <v>161.25936556000008</v>
      </c>
      <c r="UG43" s="50">
        <v>237.57944355000001</v>
      </c>
      <c r="UH43" s="50">
        <v>14.000401439999989</v>
      </c>
      <c r="UI43" s="50">
        <v>251.57984499</v>
      </c>
      <c r="UJ43" s="50">
        <f t="shared" si="45"/>
        <v>1854.3325597399999</v>
      </c>
      <c r="UK43" s="50">
        <f t="shared" si="15"/>
        <v>91.228124789999981</v>
      </c>
      <c r="UL43" s="50">
        <f t="shared" si="16"/>
        <v>1945.5606845300006</v>
      </c>
      <c r="UM43" s="50">
        <v>89.758970839999975</v>
      </c>
      <c r="UN43" s="50">
        <v>1.9123211299999987</v>
      </c>
      <c r="UO43" s="50">
        <v>91.67129196999997</v>
      </c>
      <c r="UP43" s="50">
        <v>144.51974577000018</v>
      </c>
      <c r="UQ43" s="50">
        <v>7.6319348500000066</v>
      </c>
      <c r="UR43" s="50">
        <v>152.15168062000018</v>
      </c>
      <c r="US43" s="50">
        <v>146.68207391000018</v>
      </c>
      <c r="UT43" s="50">
        <v>8.5929802799999973</v>
      </c>
      <c r="UU43" s="50">
        <v>155.27505419000019</v>
      </c>
      <c r="UV43" s="50">
        <v>158.20305385000017</v>
      </c>
      <c r="UW43" s="50">
        <v>8.5221630799999986</v>
      </c>
      <c r="UX43" s="50">
        <v>166.72521693000016</v>
      </c>
      <c r="UY43" s="50"/>
      <c r="UZ43" s="50"/>
      <c r="VA43" s="50"/>
      <c r="VB43" s="50"/>
      <c r="VC43" s="50"/>
      <c r="VD43" s="50"/>
      <c r="VE43" s="50"/>
      <c r="VF43" s="50"/>
      <c r="VG43" s="50"/>
      <c r="VH43" s="50"/>
      <c r="VI43" s="50"/>
      <c r="VJ43" s="50"/>
      <c r="VK43" s="50"/>
      <c r="VL43" s="50"/>
      <c r="VM43" s="50"/>
      <c r="VN43" s="50"/>
      <c r="VO43" s="50"/>
      <c r="VP43" s="50"/>
      <c r="VQ43" s="50"/>
      <c r="VR43" s="50"/>
      <c r="VS43" s="50"/>
      <c r="VT43" s="50"/>
      <c r="VU43" s="50"/>
      <c r="VV43" s="50"/>
      <c r="VW43" s="276">
        <f t="shared" si="57"/>
        <v>535.76129300000002</v>
      </c>
      <c r="VX43" s="292">
        <f t="shared" si="58"/>
        <v>25.271339000000001</v>
      </c>
      <c r="VY43" s="292">
        <f t="shared" si="59"/>
        <v>561.03263200000004</v>
      </c>
      <c r="VZ43" s="276">
        <f t="shared" si="60"/>
        <v>539.16384400000004</v>
      </c>
      <c r="WA43" s="292">
        <f t="shared" si="61"/>
        <v>26.659399000000001</v>
      </c>
      <c r="WB43" s="292">
        <f t="shared" si="62"/>
        <v>565.82324400000005</v>
      </c>
      <c r="WC43" s="277">
        <f t="shared" si="112"/>
        <v>4.7906120000000101</v>
      </c>
      <c r="WD43" s="277">
        <f t="shared" si="104"/>
        <v>0.85389186417235408</v>
      </c>
    </row>
    <row r="44" spans="1:602" s="12" customFormat="1" ht="20.5">
      <c r="A44" s="77" t="s">
        <v>123</v>
      </c>
      <c r="B44" s="13">
        <v>1100</v>
      </c>
      <c r="C44" s="77" t="s">
        <v>124</v>
      </c>
      <c r="D44" s="45">
        <v>796.61914986255056</v>
      </c>
      <c r="E44" s="42">
        <v>906.90245502302218</v>
      </c>
      <c r="F44" s="42">
        <v>591.84947154540953</v>
      </c>
      <c r="G44" s="42">
        <v>481.17637634390246</v>
      </c>
      <c r="H44" s="42">
        <v>29.130406969795274</v>
      </c>
      <c r="I44" s="42">
        <v>40.251470822590655</v>
      </c>
      <c r="J44" s="42">
        <v>41.093030930387421</v>
      </c>
      <c r="K44" s="42">
        <v>41.186700346042429</v>
      </c>
      <c r="L44" s="42">
        <v>42.505040139213783</v>
      </c>
      <c r="M44" s="42">
        <v>46.497559504499122</v>
      </c>
      <c r="N44" s="42">
        <v>47.6738706666439</v>
      </c>
      <c r="O44" s="42">
        <v>39.745576291540743</v>
      </c>
      <c r="P44" s="42">
        <v>40.434577777018916</v>
      </c>
      <c r="Q44" s="42">
        <v>41.458789363748643</v>
      </c>
      <c r="R44" s="42">
        <v>44.029121831975921</v>
      </c>
      <c r="S44" s="42">
        <v>55.786886756478339</v>
      </c>
      <c r="T44" s="42">
        <v>487.3059072799814</v>
      </c>
      <c r="U44" s="42">
        <v>22.487124119953801</v>
      </c>
      <c r="V44" s="42">
        <v>509.79303139993522</v>
      </c>
      <c r="W44" s="42">
        <v>509.79328518335126</v>
      </c>
      <c r="X44" s="42">
        <v>28.174031451158502</v>
      </c>
      <c r="Y44" s="42">
        <v>41.508938480714392</v>
      </c>
      <c r="Z44" s="42">
        <v>41.65807232172839</v>
      </c>
      <c r="AA44" s="42">
        <v>40.760571098058634</v>
      </c>
      <c r="AB44" s="42">
        <v>41.85387675653525</v>
      </c>
      <c r="AC44" s="42">
        <v>45.799470407112082</v>
      </c>
      <c r="AD44" s="42">
        <v>44.980333791498055</v>
      </c>
      <c r="AE44" s="42">
        <v>38.975486764446416</v>
      </c>
      <c r="AF44" s="42">
        <v>37.9545548972402</v>
      </c>
      <c r="AG44" s="42">
        <v>41.760137677076401</v>
      </c>
      <c r="AH44" s="42">
        <v>45.088428637287208</v>
      </c>
      <c r="AI44" s="42">
        <v>51.651210010187761</v>
      </c>
      <c r="AJ44" s="42">
        <v>477.24823871235799</v>
      </c>
      <c r="AK44" s="42">
        <v>22.916873466855598</v>
      </c>
      <c r="AL44" s="42">
        <v>500.16511229304325</v>
      </c>
      <c r="AM44" s="42">
        <v>500.16510862203404</v>
      </c>
      <c r="AN44" s="42">
        <v>29.697844633781251</v>
      </c>
      <c r="AO44" s="42">
        <v>42.985651589916962</v>
      </c>
      <c r="AP44" s="42">
        <v>43.368976272189691</v>
      </c>
      <c r="AQ44" s="42">
        <v>43.671520210471201</v>
      </c>
      <c r="AR44" s="42">
        <v>45.525386935760181</v>
      </c>
      <c r="AS44" s="42">
        <v>48.331389690440012</v>
      </c>
      <c r="AT44" s="42">
        <v>49.792903853706015</v>
      </c>
      <c r="AU44" s="42">
        <v>42.539379400231077</v>
      </c>
      <c r="AV44" s="42">
        <v>42.880954007091596</v>
      </c>
      <c r="AW44" s="42">
        <v>44.582616205940774</v>
      </c>
      <c r="AX44" s="42">
        <v>47.162462080466248</v>
      </c>
      <c r="AY44" s="42">
        <v>61.855892965890916</v>
      </c>
      <c r="AZ44" s="42">
        <v>517.11223217283907</v>
      </c>
      <c r="BA44" s="42">
        <v>25.282745673046854</v>
      </c>
      <c r="BB44" s="42">
        <v>542.39497784588593</v>
      </c>
      <c r="BC44" s="42">
        <f t="shared" si="21"/>
        <v>517.114179771316</v>
      </c>
      <c r="BD44" s="42">
        <v>25.282317687434904</v>
      </c>
      <c r="BE44" s="42">
        <v>542.3964974587509</v>
      </c>
      <c r="BF44" s="44">
        <v>33.398842209999998</v>
      </c>
      <c r="BG44" s="44">
        <v>0.93978868000000004</v>
      </c>
      <c r="BH44" s="44">
        <f>BF44+BG44</f>
        <v>34.338630889999997</v>
      </c>
      <c r="BI44" s="42">
        <v>45.483358389999999</v>
      </c>
      <c r="BJ44" s="42">
        <v>2.1540176200000003</v>
      </c>
      <c r="BK44" s="44">
        <f>BI44+BJ44</f>
        <v>47.637376009999997</v>
      </c>
      <c r="BL44" s="44">
        <v>45.31291264</v>
      </c>
      <c r="BM44" s="44">
        <v>2.3951052499999999</v>
      </c>
      <c r="BN44" s="44">
        <f>BL44+BM44</f>
        <v>47.708017890000001</v>
      </c>
      <c r="BO44" s="44">
        <v>46.765942130000006</v>
      </c>
      <c r="BP44" s="44">
        <v>2.4939768999999998</v>
      </c>
      <c r="BQ44" s="44">
        <f>BO44+BP44</f>
        <v>49.259919030000006</v>
      </c>
      <c r="BR44" s="44">
        <v>45.591038099999999</v>
      </c>
      <c r="BS44" s="44">
        <v>1.8301580900000001</v>
      </c>
      <c r="BT44" s="44">
        <f>BR44+BS44</f>
        <v>47.421196189999996</v>
      </c>
      <c r="BU44" s="44">
        <v>50.397256829999996</v>
      </c>
      <c r="BV44" s="44">
        <v>2.6419457500000001</v>
      </c>
      <c r="BW44" s="44">
        <f>BU44+BV44</f>
        <v>53.039202579999994</v>
      </c>
      <c r="BX44" s="44">
        <v>50.815778550000026</v>
      </c>
      <c r="BY44" s="44">
        <v>2.3544197700000007</v>
      </c>
      <c r="BZ44" s="44">
        <f>BX44+BY44</f>
        <v>53.170198320000026</v>
      </c>
      <c r="CA44" s="44">
        <v>43.130261709999999</v>
      </c>
      <c r="CB44" s="44">
        <v>1.9836990800000001</v>
      </c>
      <c r="CC44" s="44">
        <f>CA44+CB44</f>
        <v>45.11396079</v>
      </c>
      <c r="CD44" s="44">
        <v>43.727023569999979</v>
      </c>
      <c r="CE44" s="44">
        <v>2.1283417000000004</v>
      </c>
      <c r="CF44" s="44">
        <f>CD44+CE44</f>
        <v>45.855365269999979</v>
      </c>
      <c r="CG44" s="44">
        <v>47.666387669999963</v>
      </c>
      <c r="CH44" s="44">
        <v>2.1757430799999997</v>
      </c>
      <c r="CI44" s="44">
        <f>CG44+CH44</f>
        <v>49.84213074999996</v>
      </c>
      <c r="CJ44" s="42">
        <v>49.59364704</v>
      </c>
      <c r="CK44" s="42">
        <v>2.6695536899999999</v>
      </c>
      <c r="CL44" s="44">
        <f>CJ44+CK44</f>
        <v>52.263200730000001</v>
      </c>
      <c r="CM44" s="42">
        <v>60.677933970000019</v>
      </c>
      <c r="CN44" s="42">
        <v>3.60220421</v>
      </c>
      <c r="CO44" s="44">
        <f>CM44+CN44</f>
        <v>64.280138180000023</v>
      </c>
      <c r="CP44" s="50">
        <f t="shared" si="24"/>
        <v>562.56038280999996</v>
      </c>
      <c r="CQ44" s="50">
        <f t="shared" si="25"/>
        <v>27.368953820000002</v>
      </c>
      <c r="CR44" s="50">
        <f t="shared" si="26"/>
        <v>589.92933662999997</v>
      </c>
      <c r="CS44" s="42">
        <f t="shared" si="93"/>
        <v>562.50282400000003</v>
      </c>
      <c r="CT44" s="42">
        <v>27.368528000000001</v>
      </c>
      <c r="CU44" s="42">
        <v>589.871352</v>
      </c>
      <c r="CV44" s="42">
        <v>35.22777336</v>
      </c>
      <c r="CW44" s="42">
        <v>1.0947327700000002</v>
      </c>
      <c r="CX44" s="44">
        <f>CV44+CW44</f>
        <v>36.322506130000001</v>
      </c>
      <c r="CY44" s="42">
        <v>46.592943859999991</v>
      </c>
      <c r="CZ44" s="42">
        <v>2.2286748899999997</v>
      </c>
      <c r="DA44" s="44">
        <v>48.821618749999992</v>
      </c>
      <c r="DB44" s="42">
        <v>48.755985500000016</v>
      </c>
      <c r="DC44" s="42">
        <v>2.50184037</v>
      </c>
      <c r="DD44" s="44">
        <v>51.257825870000019</v>
      </c>
      <c r="DE44" s="42">
        <v>48.879834250000016</v>
      </c>
      <c r="DF44" s="42">
        <v>2.2727320899999999</v>
      </c>
      <c r="DG44" s="44">
        <v>51.152566340000014</v>
      </c>
      <c r="DH44" s="42">
        <v>47.307602599999967</v>
      </c>
      <c r="DI44" s="42">
        <v>2.1287856099999996</v>
      </c>
      <c r="DJ44" s="44">
        <v>49.436388209999969</v>
      </c>
      <c r="DK44" s="42">
        <v>53.084568750000031</v>
      </c>
      <c r="DL44" s="42">
        <v>2.7530378499999997</v>
      </c>
      <c r="DM44" s="44">
        <v>55.837606600000029</v>
      </c>
      <c r="DN44" s="42">
        <v>54.289466509999976</v>
      </c>
      <c r="DO44" s="42">
        <v>2.5368396199999972</v>
      </c>
      <c r="DP44" s="44">
        <v>56.826306129999971</v>
      </c>
      <c r="DQ44" s="42">
        <v>46.189606060000003</v>
      </c>
      <c r="DR44" s="42">
        <v>2.1767837299999995</v>
      </c>
      <c r="DS44" s="44">
        <v>48.366389789999999</v>
      </c>
      <c r="DT44" s="42">
        <v>46.340815579999976</v>
      </c>
      <c r="DU44" s="42">
        <v>2.268840920000001</v>
      </c>
      <c r="DV44" s="44">
        <v>48.609656499999979</v>
      </c>
      <c r="DW44" s="42">
        <v>46.366517869999946</v>
      </c>
      <c r="DX44" s="42">
        <v>2.2740932299999996</v>
      </c>
      <c r="DY44" s="44">
        <v>48.640611099999944</v>
      </c>
      <c r="DZ44" s="42">
        <v>49.697299520000044</v>
      </c>
      <c r="EA44" s="42">
        <v>2.7406535700000019</v>
      </c>
      <c r="EB44" s="44">
        <v>52.437953090000043</v>
      </c>
      <c r="EC44" s="42">
        <v>62.131810019999975</v>
      </c>
      <c r="ED44" s="42">
        <v>3.7846129699999995</v>
      </c>
      <c r="EE44" s="44">
        <v>65.916422989999973</v>
      </c>
      <c r="EF44" s="50">
        <f t="shared" si="27"/>
        <v>584.86422387999994</v>
      </c>
      <c r="EG44" s="50">
        <f t="shared" si="28"/>
        <v>28.761627619999999</v>
      </c>
      <c r="EH44" s="50">
        <f t="shared" si="29"/>
        <v>613.62585149999995</v>
      </c>
      <c r="EI44" s="50">
        <f t="shared" si="94"/>
        <v>584.86156937999999</v>
      </c>
      <c r="EJ44" s="50">
        <v>28.761627619999999</v>
      </c>
      <c r="EK44" s="50">
        <v>613.623197</v>
      </c>
      <c r="EL44" s="50">
        <v>35.937053640000052</v>
      </c>
      <c r="EM44" s="50">
        <v>0.91590528999999987</v>
      </c>
      <c r="EN44" s="50">
        <v>36.85295893000005</v>
      </c>
      <c r="EO44" s="50">
        <v>47.8571101</v>
      </c>
      <c r="EP44" s="50">
        <v>2.2551177499999993</v>
      </c>
      <c r="EQ44" s="50">
        <v>50.112227849999996</v>
      </c>
      <c r="ER44" s="50">
        <v>51.175022160000047</v>
      </c>
      <c r="ES44" s="50">
        <v>2.5294896899999979</v>
      </c>
      <c r="ET44" s="50">
        <v>53.704511850000046</v>
      </c>
      <c r="EU44" s="50">
        <v>52.227751219999924</v>
      </c>
      <c r="EV44" s="50">
        <v>2.2031567500000007</v>
      </c>
      <c r="EW44" s="50">
        <v>54.430907969999922</v>
      </c>
      <c r="EX44" s="50">
        <v>51.296464899999911</v>
      </c>
      <c r="EY44" s="50">
        <v>2.295478410000003</v>
      </c>
      <c r="EZ44" s="50">
        <v>53.591943309999913</v>
      </c>
      <c r="FA44" s="50">
        <v>55.604741720000014</v>
      </c>
      <c r="FB44" s="50">
        <v>2.5700142800000001</v>
      </c>
      <c r="FC44" s="50">
        <v>58.174756000000016</v>
      </c>
      <c r="FD44" s="50">
        <v>57.239347989999999</v>
      </c>
      <c r="FE44" s="50">
        <v>2.4969623200000002</v>
      </c>
      <c r="FF44" s="50">
        <v>59.73631031</v>
      </c>
      <c r="FG44" s="50">
        <v>46.155016209999992</v>
      </c>
      <c r="FH44" s="50">
        <v>2.1464764000000005</v>
      </c>
      <c r="FI44" s="50">
        <v>48.30149260999999</v>
      </c>
      <c r="FJ44" s="50">
        <v>48.326648550000101</v>
      </c>
      <c r="FK44" s="50">
        <v>2.2209278299999986</v>
      </c>
      <c r="FL44" s="50">
        <v>50.547576380000102</v>
      </c>
      <c r="FM44" s="50">
        <v>51.44123866000001</v>
      </c>
      <c r="FN44" s="50">
        <v>2.4981611499999996</v>
      </c>
      <c r="FO44" s="50">
        <v>53.939399810000012</v>
      </c>
      <c r="FP44" s="50">
        <v>55.218477000000071</v>
      </c>
      <c r="FQ44" s="50">
        <v>3.0373841100000001</v>
      </c>
      <c r="FR44" s="50">
        <v>58.255861110000069</v>
      </c>
      <c r="FS44" s="50">
        <v>83.476521040000065</v>
      </c>
      <c r="FT44" s="50">
        <v>4.3072621199999981</v>
      </c>
      <c r="FU44" s="50">
        <v>87.78378316000007</v>
      </c>
      <c r="FV44" s="50">
        <f t="shared" si="30"/>
        <v>635.95539319000022</v>
      </c>
      <c r="FW44" s="50">
        <f t="shared" si="31"/>
        <v>29.476336099999994</v>
      </c>
      <c r="FX44" s="50">
        <f t="shared" si="32"/>
        <v>665.43172929000025</v>
      </c>
      <c r="FY44" s="50">
        <f t="shared" si="95"/>
        <v>635.95455300000003</v>
      </c>
      <c r="FZ44" s="50">
        <v>29.477205999999999</v>
      </c>
      <c r="GA44" s="50">
        <v>665.43175900000006</v>
      </c>
      <c r="GB44" s="50">
        <v>34.756537289999976</v>
      </c>
      <c r="GC44" s="50">
        <v>1.2968596700000004</v>
      </c>
      <c r="GD44" s="50">
        <v>36.053396959999979</v>
      </c>
      <c r="GE44" s="50">
        <v>52.432015530000037</v>
      </c>
      <c r="GF44" s="50">
        <v>2.7574171700000001</v>
      </c>
      <c r="GG44" s="50">
        <v>55.18943270000004</v>
      </c>
      <c r="GH44" s="50">
        <v>57.161702220000066</v>
      </c>
      <c r="GI44" s="50">
        <v>3.2928686299999987</v>
      </c>
      <c r="GJ44" s="50">
        <v>60.454570850000067</v>
      </c>
      <c r="GK44" s="50">
        <v>57.361083649999976</v>
      </c>
      <c r="GL44" s="50">
        <v>2.9148779299999994</v>
      </c>
      <c r="GM44" s="50">
        <v>60.275961579999972</v>
      </c>
      <c r="GN44" s="50">
        <v>55.979723929999956</v>
      </c>
      <c r="GO44" s="50">
        <v>3.04154926</v>
      </c>
      <c r="GP44" s="50">
        <v>59.02127318999996</v>
      </c>
      <c r="GQ44" s="50">
        <v>62.162404790000053</v>
      </c>
      <c r="GR44" s="50">
        <v>3.4302994800000013</v>
      </c>
      <c r="GS44" s="50">
        <v>65.592704270000056</v>
      </c>
      <c r="GT44" s="50">
        <v>60.192041309999993</v>
      </c>
      <c r="GU44" s="50">
        <v>3.0309736099999984</v>
      </c>
      <c r="GV44" s="50">
        <v>63.22301491999999</v>
      </c>
      <c r="GW44" s="50">
        <v>53.255766170000022</v>
      </c>
      <c r="GX44" s="50">
        <v>2.7532023199999993</v>
      </c>
      <c r="GY44" s="50">
        <v>56.008968490000022</v>
      </c>
      <c r="GZ44" s="50">
        <v>53.793581909999972</v>
      </c>
      <c r="HA44" s="50">
        <v>2.6835227599999989</v>
      </c>
      <c r="HB44" s="50">
        <v>56.477104669999974</v>
      </c>
      <c r="HC44" s="50">
        <v>54.864245729999965</v>
      </c>
      <c r="HD44" s="50">
        <v>2.9597474399999997</v>
      </c>
      <c r="HE44" s="50">
        <v>57.823993169999966</v>
      </c>
      <c r="HF44" s="50">
        <v>63.585465930000019</v>
      </c>
      <c r="HG44" s="50">
        <v>3.7451573100000006</v>
      </c>
      <c r="HH44" s="50">
        <v>67.330623240000023</v>
      </c>
      <c r="HI44" s="50">
        <v>89.549608539999966</v>
      </c>
      <c r="HJ44" s="50">
        <v>4.8786912100000022</v>
      </c>
      <c r="HK44" s="50">
        <v>94.428299749999965</v>
      </c>
      <c r="HL44" s="50">
        <f t="shared" si="33"/>
        <v>695.09417700000006</v>
      </c>
      <c r="HM44" s="50">
        <f t="shared" si="34"/>
        <v>36.785166789999998</v>
      </c>
      <c r="HN44" s="50">
        <f t="shared" si="35"/>
        <v>731.87934379000001</v>
      </c>
      <c r="HO44" s="50">
        <f t="shared" si="96"/>
        <v>695.09044600000004</v>
      </c>
      <c r="HP44" s="50">
        <v>36.785167000000001</v>
      </c>
      <c r="HQ44" s="50">
        <v>731.87561300000004</v>
      </c>
      <c r="HR44" s="50">
        <v>31.933369529999986</v>
      </c>
      <c r="HS44" s="50">
        <v>1.5379097300000004</v>
      </c>
      <c r="HT44" s="50">
        <v>33.471279260000003</v>
      </c>
      <c r="HU44" s="50">
        <v>56.770967270000028</v>
      </c>
      <c r="HV44" s="50">
        <v>3.3419515000000004</v>
      </c>
      <c r="HW44" s="50">
        <v>60.112918770000071</v>
      </c>
      <c r="HX44" s="50">
        <v>60.513886869999979</v>
      </c>
      <c r="HY44" s="50">
        <v>3.6435433599999989</v>
      </c>
      <c r="HZ44" s="50">
        <v>64.157430229999989</v>
      </c>
      <c r="IA44" s="50">
        <v>59.536070600000009</v>
      </c>
      <c r="IB44" s="50">
        <v>3.3278887100000016</v>
      </c>
      <c r="IC44" s="50">
        <v>62.863959310000062</v>
      </c>
      <c r="ID44" s="50">
        <v>60.264663179999971</v>
      </c>
      <c r="IE44" s="50">
        <v>3.2977528899999982</v>
      </c>
      <c r="IF44" s="50">
        <v>63.562416069999934</v>
      </c>
      <c r="IG44" s="50">
        <v>67.338589159999998</v>
      </c>
      <c r="IH44" s="50">
        <v>3.7723868599999992</v>
      </c>
      <c r="II44" s="50">
        <v>71.11097602000001</v>
      </c>
      <c r="IJ44" s="50">
        <v>64.31933826999996</v>
      </c>
      <c r="IK44" s="50">
        <v>3.5250412499999997</v>
      </c>
      <c r="IL44" s="50">
        <v>67.844379519999976</v>
      </c>
      <c r="IM44" s="50">
        <v>58.199637569999915</v>
      </c>
      <c r="IN44" s="50">
        <v>3.2634235499999988</v>
      </c>
      <c r="IO44" s="50">
        <v>61.463061119999942</v>
      </c>
      <c r="IP44" s="50">
        <v>58.248624719999924</v>
      </c>
      <c r="IQ44" s="50">
        <v>3.36199483</v>
      </c>
      <c r="IR44" s="50">
        <v>61.610619549999875</v>
      </c>
      <c r="IS44" s="50">
        <v>60.319695730000007</v>
      </c>
      <c r="IT44" s="50">
        <v>3.3440604599999997</v>
      </c>
      <c r="IU44" s="50">
        <v>63.663756190000008</v>
      </c>
      <c r="IV44" s="50">
        <v>70.884643639999908</v>
      </c>
      <c r="IW44" s="50">
        <v>4.2622246100000005</v>
      </c>
      <c r="IX44" s="50">
        <v>75.146868249999855</v>
      </c>
      <c r="IY44" s="50">
        <v>89.120559700000044</v>
      </c>
      <c r="IZ44" s="50">
        <v>5.3347055200000018</v>
      </c>
      <c r="JA44" s="50">
        <v>94.455265220000115</v>
      </c>
      <c r="JB44" s="50">
        <f t="shared" si="36"/>
        <v>737.45004623999978</v>
      </c>
      <c r="JC44" s="50">
        <f t="shared" si="37"/>
        <v>42.012883270000003</v>
      </c>
      <c r="JD44" s="50">
        <f t="shared" si="38"/>
        <v>779.46292950999987</v>
      </c>
      <c r="JE44" s="50">
        <f t="shared" si="97"/>
        <v>737.45170873000006</v>
      </c>
      <c r="JF44" s="50">
        <v>42.012883270000003</v>
      </c>
      <c r="JG44" s="50">
        <v>779.46459200000004</v>
      </c>
      <c r="JH44" s="50">
        <v>35.136821459999972</v>
      </c>
      <c r="JI44" s="50">
        <v>1.5714160700000015</v>
      </c>
      <c r="JJ44" s="50">
        <v>36.708237530000048</v>
      </c>
      <c r="JK44" s="50">
        <v>58.726982399999997</v>
      </c>
      <c r="JL44" s="50">
        <v>3.5486041900000007</v>
      </c>
      <c r="JM44" s="50">
        <v>62.275586589999982</v>
      </c>
      <c r="JN44" s="50">
        <v>62.385230089999986</v>
      </c>
      <c r="JO44" s="50">
        <v>3.8553488900000006</v>
      </c>
      <c r="JP44" s="50">
        <v>66.240578979999981</v>
      </c>
      <c r="JQ44" s="50">
        <v>63.391953070000028</v>
      </c>
      <c r="JR44" s="50">
        <v>3.6513319600000029</v>
      </c>
      <c r="JS44" s="50">
        <v>67.043285029999964</v>
      </c>
      <c r="JT44" s="50">
        <v>65.568276529999977</v>
      </c>
      <c r="JU44" s="50">
        <v>3.3005719899999999</v>
      </c>
      <c r="JV44" s="50">
        <v>68.868848519999858</v>
      </c>
      <c r="JW44" s="50">
        <v>68.242337740000011</v>
      </c>
      <c r="JX44" s="50">
        <v>3.924727370000002</v>
      </c>
      <c r="JY44" s="50">
        <v>72.167065109999925</v>
      </c>
      <c r="JZ44" s="50">
        <v>68.030509549999934</v>
      </c>
      <c r="KA44" s="50">
        <v>3.3432758299999996</v>
      </c>
      <c r="KB44" s="50">
        <v>71.373785379999958</v>
      </c>
      <c r="KC44" s="50">
        <v>60.188976229999945</v>
      </c>
      <c r="KD44" s="50">
        <v>3.3531031699999998</v>
      </c>
      <c r="KE44" s="50">
        <v>63.542079399999864</v>
      </c>
      <c r="KF44" s="50">
        <v>63.179882939999963</v>
      </c>
      <c r="KG44" s="50">
        <v>3.5083039900000035</v>
      </c>
      <c r="KH44" s="50">
        <v>66.688186929999986</v>
      </c>
      <c r="KI44" s="50">
        <v>63.403489779999958</v>
      </c>
      <c r="KJ44" s="50">
        <v>3.2165292300000012</v>
      </c>
      <c r="KK44" s="50">
        <v>66.620019010000007</v>
      </c>
      <c r="KL44" s="50">
        <v>72.509702740000009</v>
      </c>
      <c r="KM44" s="50">
        <v>4.3317975200000047</v>
      </c>
      <c r="KN44" s="50">
        <v>76.84150025999989</v>
      </c>
      <c r="KO44" s="50">
        <v>99.651372509999987</v>
      </c>
      <c r="KP44" s="50">
        <v>5.33364189</v>
      </c>
      <c r="KQ44" s="50">
        <v>104.98501439999988</v>
      </c>
      <c r="KR44" s="50">
        <f t="shared" si="48"/>
        <v>780.41553503999967</v>
      </c>
      <c r="KS44" s="50">
        <f t="shared" si="39"/>
        <v>42.938652100000013</v>
      </c>
      <c r="KT44" s="50">
        <f t="shared" si="49"/>
        <v>823.35418713999923</v>
      </c>
      <c r="KU44" s="50">
        <f t="shared" si="98"/>
        <v>780.41553499999998</v>
      </c>
      <c r="KV44" s="50">
        <v>42.938651999999998</v>
      </c>
      <c r="KW44" s="50">
        <v>823.35418700000002</v>
      </c>
      <c r="KX44" s="50">
        <v>40.777966319999983</v>
      </c>
      <c r="KY44" s="50">
        <v>2.077535179999999</v>
      </c>
      <c r="KZ44" s="50">
        <v>42.85550149999996</v>
      </c>
      <c r="LA44" s="50">
        <v>63.588873589999913</v>
      </c>
      <c r="LB44" s="50">
        <v>3.4949904999999997</v>
      </c>
      <c r="LC44" s="50">
        <v>67.083864089999949</v>
      </c>
      <c r="LD44" s="50">
        <v>68.203220659999985</v>
      </c>
      <c r="LE44" s="50">
        <v>4.0300084300000014</v>
      </c>
      <c r="LF44" s="87">
        <v>72.233229089999895</v>
      </c>
      <c r="LG44" s="50">
        <v>70.832331119999978</v>
      </c>
      <c r="LH44" s="50">
        <v>3.8430359000000012</v>
      </c>
      <c r="LI44" s="175">
        <v>74.675367019999939</v>
      </c>
      <c r="LJ44" s="174">
        <v>66.197977559999984</v>
      </c>
      <c r="LK44" s="50">
        <v>3.3486349100000008</v>
      </c>
      <c r="LL44" s="174">
        <v>69.546612469999999</v>
      </c>
      <c r="LM44" s="50">
        <v>73.697164330000064</v>
      </c>
      <c r="LN44" s="50">
        <v>3.7295614899999978</v>
      </c>
      <c r="LO44" s="50">
        <v>77.426725820000001</v>
      </c>
      <c r="LP44" s="50">
        <v>73.392683200000008</v>
      </c>
      <c r="LQ44" s="44">
        <v>3.5586683299999988</v>
      </c>
      <c r="LR44" s="44">
        <v>76.951351530000025</v>
      </c>
      <c r="LS44" s="50">
        <v>64.235039040000018</v>
      </c>
      <c r="LT44" s="50">
        <v>3.3893655699999998</v>
      </c>
      <c r="LU44" s="52">
        <v>67.624404609999928</v>
      </c>
      <c r="LV44" s="44">
        <v>67.94552263000007</v>
      </c>
      <c r="LW44" s="44">
        <v>3.3776041999999986</v>
      </c>
      <c r="LX44" s="44">
        <v>71.323126830000064</v>
      </c>
      <c r="LY44" s="44">
        <v>65.332575509999913</v>
      </c>
      <c r="LZ44" s="44">
        <v>3.5803482399999993</v>
      </c>
      <c r="MA44" s="44">
        <v>68.912923749999905</v>
      </c>
      <c r="MB44" s="44">
        <v>75.708739639999976</v>
      </c>
      <c r="MC44" s="44">
        <v>4.0144484199999972</v>
      </c>
      <c r="MD44" s="44">
        <v>79.72318805999987</v>
      </c>
      <c r="ME44" s="44">
        <v>101.15488640000001</v>
      </c>
      <c r="MF44" s="44">
        <v>5.4315276199999998</v>
      </c>
      <c r="MG44" s="44">
        <v>106.58641402000013</v>
      </c>
      <c r="MH44" s="50">
        <f>KX44+LA44+LD44+LG44+LJ44+LM44+LP44+LS44+LV44+LY44+MB44+ME44</f>
        <v>831.06697999999994</v>
      </c>
      <c r="MI44" s="50">
        <f t="shared" si="50"/>
        <v>43.875728789999997</v>
      </c>
      <c r="MJ44" s="50">
        <f t="shared" si="51"/>
        <v>874.94270878999964</v>
      </c>
      <c r="MK44" s="50">
        <f t="shared" si="99"/>
        <v>831.03737520999994</v>
      </c>
      <c r="ML44" s="50">
        <v>43.875728789999997</v>
      </c>
      <c r="MM44" s="50">
        <v>874.91310399999998</v>
      </c>
      <c r="MN44" s="44">
        <v>46.616294560000021</v>
      </c>
      <c r="MO44" s="44">
        <v>2.1543486999999999</v>
      </c>
      <c r="MP44" s="44">
        <v>48.770643260000092</v>
      </c>
      <c r="MQ44" s="44">
        <v>72.314999730000039</v>
      </c>
      <c r="MR44" s="44">
        <v>3.7908869899999997</v>
      </c>
      <c r="MS44" s="44">
        <v>76.105886719999958</v>
      </c>
      <c r="MT44" s="50">
        <v>76.127610110000049</v>
      </c>
      <c r="MU44" s="50">
        <v>3.7978405200000025</v>
      </c>
      <c r="MV44" s="50">
        <v>79.925450629999972</v>
      </c>
      <c r="MW44" s="44">
        <v>77.293076590000013</v>
      </c>
      <c r="MX44" s="44">
        <v>4.1307714399999984</v>
      </c>
      <c r="MY44" s="44">
        <v>81.423848029999917</v>
      </c>
      <c r="MZ44" s="44">
        <v>73.858071099999989</v>
      </c>
      <c r="NA44" s="44">
        <v>3.6666601699999997</v>
      </c>
      <c r="NB44" s="44">
        <v>77.52473126999999</v>
      </c>
      <c r="NC44" s="44">
        <v>82.243343280000019</v>
      </c>
      <c r="ND44" s="44">
        <v>3.9381653500000007</v>
      </c>
      <c r="NE44" s="44">
        <v>86.181508630000053</v>
      </c>
      <c r="NF44" s="44">
        <v>78.455174329999991</v>
      </c>
      <c r="NG44" s="44">
        <v>3.6955555800000002</v>
      </c>
      <c r="NH44" s="44">
        <v>82.150729909999981</v>
      </c>
      <c r="NI44" s="44">
        <v>69.866178720000022</v>
      </c>
      <c r="NJ44" s="44">
        <v>3.4893432700000004</v>
      </c>
      <c r="NK44" s="44">
        <v>73.35552199</v>
      </c>
      <c r="NL44" s="44">
        <v>74.589255490000028</v>
      </c>
      <c r="NM44" s="44">
        <v>3.520873299999999</v>
      </c>
      <c r="NN44" s="44">
        <v>78.110128790000147</v>
      </c>
      <c r="NO44" s="44">
        <v>70.434881199999992</v>
      </c>
      <c r="NP44" s="44">
        <v>3.5695774199999994</v>
      </c>
      <c r="NQ44" s="44">
        <v>74.00445861999998</v>
      </c>
      <c r="NR44" s="44">
        <v>81.23295625999998</v>
      </c>
      <c r="NS44" s="44">
        <v>3.958202570000001</v>
      </c>
      <c r="NT44" s="44">
        <v>85.191158829999978</v>
      </c>
      <c r="NU44" s="44">
        <v>115.81342706000004</v>
      </c>
      <c r="NV44" s="44">
        <v>6.2505766299999985</v>
      </c>
      <c r="NW44" s="44">
        <v>122.06400369000008</v>
      </c>
      <c r="NX44" s="50">
        <f>MN44+MQ44+MT44+MW44+MZ44+NC44+NF44+NI44+NL44+NO44+NR44+NU44</f>
        <v>918.84526843000026</v>
      </c>
      <c r="NY44" s="50">
        <f t="shared" si="40"/>
        <v>45.962801940000006</v>
      </c>
      <c r="NZ44" s="50">
        <f>MP44+MS44+MV44+MY44+NB44+NE44+NH44+NK44+NN44+NQ44+NT44+NW44</f>
        <v>964.80807036999988</v>
      </c>
      <c r="OA44" s="50">
        <f t="shared" si="100"/>
        <v>918.84526906000008</v>
      </c>
      <c r="OB44" s="50">
        <v>45.962801940000006</v>
      </c>
      <c r="OC44" s="50">
        <v>964.80807100000004</v>
      </c>
      <c r="OD44" s="44">
        <v>51.213204089999998</v>
      </c>
      <c r="OE44" s="44">
        <v>2.0135059799999997</v>
      </c>
      <c r="OF44" s="44">
        <v>53.226710069999967</v>
      </c>
      <c r="OG44" s="50">
        <v>71.371196089999998</v>
      </c>
      <c r="OH44" s="44">
        <v>3.5357574199999973</v>
      </c>
      <c r="OI44" s="44">
        <v>74.906953509999994</v>
      </c>
      <c r="OJ44" s="44">
        <f t="shared" si="107"/>
        <v>75.498951380000051</v>
      </c>
      <c r="OK44" s="44">
        <v>4.1682956200000021</v>
      </c>
      <c r="OL44" s="44">
        <v>79.667247000000046</v>
      </c>
      <c r="OM44" s="44">
        <v>77.875952149999947</v>
      </c>
      <c r="ON44" s="44">
        <v>3.7805441800000001</v>
      </c>
      <c r="OO44" s="44">
        <v>81.656496330000053</v>
      </c>
      <c r="OP44" s="44">
        <v>82.030952419999991</v>
      </c>
      <c r="OQ44" s="44">
        <v>4.0559087800000002</v>
      </c>
      <c r="OR44" s="44">
        <v>86.086861200000101</v>
      </c>
      <c r="OS44" s="44">
        <v>84.136187080000013</v>
      </c>
      <c r="OT44" s="44">
        <v>4.4158340700000007</v>
      </c>
      <c r="OU44" s="44">
        <v>88.552021150000016</v>
      </c>
      <c r="OV44" s="44">
        <v>81.081240600000001</v>
      </c>
      <c r="OW44" s="44">
        <v>3.541068059999998</v>
      </c>
      <c r="OX44" s="44">
        <v>84.622308659999916</v>
      </c>
      <c r="OY44" s="95">
        <v>72.533097289999986</v>
      </c>
      <c r="OZ44" s="95">
        <v>3.8487686799999978</v>
      </c>
      <c r="PA44" s="95">
        <v>76.381865969999993</v>
      </c>
      <c r="PB44" s="44">
        <v>76.67049801999994</v>
      </c>
      <c r="PC44" s="44">
        <v>4.2407349999999973</v>
      </c>
      <c r="PD44" s="44">
        <v>80.911233019999941</v>
      </c>
      <c r="PE44" s="44">
        <v>77.442321150000041</v>
      </c>
      <c r="PF44" s="44">
        <v>4.0797704300000008</v>
      </c>
      <c r="PG44" s="44">
        <v>81.522091580000051</v>
      </c>
      <c r="PH44" s="44">
        <v>86.491511570000043</v>
      </c>
      <c r="PI44" s="44">
        <v>4.9577151000000033</v>
      </c>
      <c r="PJ44" s="44">
        <v>91.449226669999888</v>
      </c>
      <c r="PK44" s="44">
        <v>133.62546825000013</v>
      </c>
      <c r="PL44" s="44">
        <v>7.0085587499999997</v>
      </c>
      <c r="PM44" s="44">
        <v>140.634027</v>
      </c>
      <c r="PN44" s="50">
        <f t="shared" ref="PN44:PN50" si="115">OD44+OG44+OJ44+OM44+OP44+OS44+OV44+OY44+PB44+PE44+PH44+PK44</f>
        <v>969.97058009000011</v>
      </c>
      <c r="PO44" s="50">
        <f t="shared" si="108"/>
        <v>49.646462069999998</v>
      </c>
      <c r="PP44" s="50">
        <f>OF44+OI44+OL44+OO44+OR44+OU44+OX44+PA44+PD44+PG44+PJ44+PM44</f>
        <v>1019.61704216</v>
      </c>
      <c r="PQ44" s="50">
        <f t="shared" si="101"/>
        <v>969.93453693000004</v>
      </c>
      <c r="PR44" s="50">
        <v>49.646462069999998</v>
      </c>
      <c r="PS44" s="50">
        <v>1019.580999</v>
      </c>
      <c r="PT44" s="44">
        <v>45.198490290000045</v>
      </c>
      <c r="PU44" s="44">
        <v>2.2613864999999977</v>
      </c>
      <c r="PV44" s="44">
        <v>47.459876790000017</v>
      </c>
      <c r="PW44" s="44">
        <v>79.678799689999977</v>
      </c>
      <c r="PX44" s="44">
        <v>4.088245370000001</v>
      </c>
      <c r="PY44" s="44">
        <v>83.767045059999901</v>
      </c>
      <c r="PZ44" s="44">
        <v>84.03791784000002</v>
      </c>
      <c r="QA44" s="44">
        <v>4.9001860200000005</v>
      </c>
      <c r="QB44" s="44">
        <v>88.938103859999941</v>
      </c>
      <c r="QC44" s="44">
        <v>83.614304909999987</v>
      </c>
      <c r="QD44" s="44">
        <v>4.4947696699999975</v>
      </c>
      <c r="QE44" s="44">
        <v>88.109074579999998</v>
      </c>
      <c r="QF44" s="50">
        <v>91.387584800000013</v>
      </c>
      <c r="QG44" s="44">
        <v>4.5942311199999999</v>
      </c>
      <c r="QH44" s="44">
        <v>95.981815920000017</v>
      </c>
      <c r="QI44" s="50">
        <v>99.819757299999992</v>
      </c>
      <c r="QJ44" s="44">
        <v>5.1925815599999945</v>
      </c>
      <c r="QK44" s="44">
        <v>105.01233885999999</v>
      </c>
      <c r="QL44" s="44">
        <v>91.461821609999987</v>
      </c>
      <c r="QM44" s="44">
        <v>4.3058041899999981</v>
      </c>
      <c r="QN44" s="44">
        <v>95.767625800000161</v>
      </c>
      <c r="QO44" s="50">
        <v>87.802471870000034</v>
      </c>
      <c r="QP44" s="44">
        <v>4.8928713500000018</v>
      </c>
      <c r="QQ44" s="44">
        <v>92.695343220000041</v>
      </c>
      <c r="QR44" s="44">
        <v>94.272392629999942</v>
      </c>
      <c r="QS44" s="44">
        <v>4.4799849500000013</v>
      </c>
      <c r="QT44" s="44">
        <v>98.75237757999993</v>
      </c>
      <c r="QU44" s="50">
        <v>92.412320590000036</v>
      </c>
      <c r="QV44" s="44">
        <v>4.8868327200000046</v>
      </c>
      <c r="QW44" s="44">
        <v>97.299153310000037</v>
      </c>
      <c r="QX44" s="50">
        <v>101.93565851999995</v>
      </c>
      <c r="QY44" s="44">
        <v>5.7784966799999964</v>
      </c>
      <c r="QZ44" s="44">
        <v>107.71415519999995</v>
      </c>
      <c r="RA44" s="50">
        <v>158.93128947000031</v>
      </c>
      <c r="RB44" s="44">
        <v>9.4323635099999983</v>
      </c>
      <c r="RC44" s="44">
        <v>168.3636529800003</v>
      </c>
      <c r="RD44" s="50">
        <f t="shared" si="52"/>
        <v>1110.5528095200002</v>
      </c>
      <c r="RE44" s="50">
        <f t="shared" si="53"/>
        <v>59.307753639999987</v>
      </c>
      <c r="RF44" s="50">
        <f t="shared" si="54"/>
        <v>1169.8605631600003</v>
      </c>
      <c r="RG44" s="50">
        <f t="shared" si="111"/>
        <v>1110.552805</v>
      </c>
      <c r="RH44" s="50">
        <v>59.307758999999997</v>
      </c>
      <c r="RI44" s="50">
        <v>1169.8605640000001</v>
      </c>
      <c r="RJ44" s="50">
        <v>52.420546369999997</v>
      </c>
      <c r="RK44" s="50">
        <v>1.2722780199999999</v>
      </c>
      <c r="RL44" s="50">
        <v>53.692824389999942</v>
      </c>
      <c r="RM44" s="50">
        <v>94.188172750000049</v>
      </c>
      <c r="RN44" s="50">
        <v>4.8760645400000033</v>
      </c>
      <c r="RO44" s="50">
        <v>99.064237290000008</v>
      </c>
      <c r="RP44" s="50">
        <v>100.17920204000008</v>
      </c>
      <c r="RQ44" s="50">
        <v>4.5165083500000023</v>
      </c>
      <c r="RR44" s="50">
        <v>104.69571039000013</v>
      </c>
      <c r="RS44" s="50">
        <v>98.583468490000044</v>
      </c>
      <c r="RT44" s="50">
        <v>4.6563122699999981</v>
      </c>
      <c r="RU44" s="50">
        <v>103.23978076000004</v>
      </c>
      <c r="RV44" s="50">
        <v>104.46463803000005</v>
      </c>
      <c r="RW44" s="50">
        <v>4.7300226899999984</v>
      </c>
      <c r="RX44" s="50">
        <v>109.19466072000004</v>
      </c>
      <c r="RY44" s="50">
        <v>109.02265630999989</v>
      </c>
      <c r="RZ44" s="50">
        <v>4.8140286599999964</v>
      </c>
      <c r="SA44" s="50">
        <v>113.83668496999988</v>
      </c>
      <c r="SB44" s="50">
        <v>104.14837022999986</v>
      </c>
      <c r="SC44" s="50">
        <v>4.973810300000002</v>
      </c>
      <c r="SD44" s="50">
        <v>109.12218052999985</v>
      </c>
      <c r="SE44" s="50">
        <v>95.645499020000074</v>
      </c>
      <c r="SF44" s="50">
        <v>4.7446006900000031</v>
      </c>
      <c r="SG44" s="50">
        <v>100.39009971000007</v>
      </c>
      <c r="SH44" s="50">
        <v>99.407152410000123</v>
      </c>
      <c r="SI44" s="50">
        <v>4.5904683700000035</v>
      </c>
      <c r="SJ44" s="50">
        <v>103.99762078000012</v>
      </c>
      <c r="SK44" s="50">
        <v>101.34879581000007</v>
      </c>
      <c r="SL44" s="50">
        <v>5.1186491199999962</v>
      </c>
      <c r="SM44" s="50">
        <v>106.46744493000014</v>
      </c>
      <c r="SN44" s="50">
        <v>106.18592966999999</v>
      </c>
      <c r="SO44" s="50">
        <v>6.0084691100000027</v>
      </c>
      <c r="SP44" s="50">
        <v>112.19439878</v>
      </c>
      <c r="SQ44" s="50">
        <v>158.63980657000019</v>
      </c>
      <c r="SR44" s="50">
        <v>8.6735684299999996</v>
      </c>
      <c r="SS44" s="50">
        <v>167.31337500000018</v>
      </c>
      <c r="ST44" s="50">
        <f t="shared" si="55"/>
        <v>1224.2342377000004</v>
      </c>
      <c r="SU44" s="50">
        <f t="shared" si="65"/>
        <v>58.974780550000006</v>
      </c>
      <c r="SV44" s="50">
        <f t="shared" si="56"/>
        <v>1283.2090182500003</v>
      </c>
      <c r="SW44" s="50">
        <f t="shared" si="103"/>
        <v>1224.2337030000001</v>
      </c>
      <c r="SX44" s="50">
        <v>58.975212999999997</v>
      </c>
      <c r="SY44" s="50">
        <v>1283.208916</v>
      </c>
      <c r="SZ44" s="50">
        <v>61.781707529999913</v>
      </c>
      <c r="TA44" s="50">
        <v>2.351049740000001</v>
      </c>
      <c r="TB44" s="50">
        <v>64.1327572699999</v>
      </c>
      <c r="TC44" s="50">
        <v>104.01177674000017</v>
      </c>
      <c r="TD44" s="50">
        <v>5.5151853599999985</v>
      </c>
      <c r="TE44" s="50">
        <v>109.52696210000018</v>
      </c>
      <c r="TF44" s="50">
        <v>103.90035869000003</v>
      </c>
      <c r="TG44" s="50">
        <v>5.865724260000003</v>
      </c>
      <c r="TH44" s="50">
        <v>109.76608295000004</v>
      </c>
      <c r="TI44" s="50">
        <v>116.16709678999983</v>
      </c>
      <c r="TJ44" s="50">
        <v>5.8502040399999968</v>
      </c>
      <c r="TK44" s="50">
        <v>122.01730082999983</v>
      </c>
      <c r="TL44" s="50">
        <v>105.88894157999999</v>
      </c>
      <c r="TM44" s="50">
        <v>5.536401270000006</v>
      </c>
      <c r="TN44" s="50">
        <v>111.42534285000001</v>
      </c>
      <c r="TO44" s="50">
        <v>115.12802513000003</v>
      </c>
      <c r="TP44" s="50">
        <v>5.7101424399999976</v>
      </c>
      <c r="TQ44" s="50">
        <v>120.83816757000002</v>
      </c>
      <c r="TR44" s="50">
        <v>115.86998259000006</v>
      </c>
      <c r="TS44" s="50">
        <v>5.7832300399999994</v>
      </c>
      <c r="TT44" s="50">
        <v>121.65321263000006</v>
      </c>
      <c r="TU44" s="50">
        <v>105.02244423000015</v>
      </c>
      <c r="TV44" s="50">
        <v>5.3477523899999992</v>
      </c>
      <c r="TW44" s="50">
        <v>110.37019662000014</v>
      </c>
      <c r="TX44" s="50">
        <v>105.78538792000006</v>
      </c>
      <c r="TY44" s="50">
        <v>5.194024709999999</v>
      </c>
      <c r="TZ44" s="50">
        <v>110.97941263000006</v>
      </c>
      <c r="UA44" s="50">
        <v>108.69564733000004</v>
      </c>
      <c r="UB44" s="50">
        <v>5.8075726999999997</v>
      </c>
      <c r="UC44" s="50">
        <v>114.50322003000004</v>
      </c>
      <c r="UD44" s="50">
        <v>111.95749138000012</v>
      </c>
      <c r="UE44" s="50">
        <v>6.2950604399999994</v>
      </c>
      <c r="UF44" s="50">
        <v>118.25255182000012</v>
      </c>
      <c r="UG44" s="50">
        <v>169.80426554000002</v>
      </c>
      <c r="UH44" s="50">
        <v>10.992216749999997</v>
      </c>
      <c r="UI44" s="50">
        <v>180.79648229</v>
      </c>
      <c r="UJ44" s="50">
        <f t="shared" si="45"/>
        <v>1324.0131254500004</v>
      </c>
      <c r="UK44" s="50">
        <f t="shared" si="15"/>
        <v>70.248564139999999</v>
      </c>
      <c r="UL44" s="50">
        <f t="shared" si="16"/>
        <v>1394.2616895900003</v>
      </c>
      <c r="UM44" s="50">
        <v>62.735201660000008</v>
      </c>
      <c r="UN44" s="50">
        <v>1.4949023699999995</v>
      </c>
      <c r="UO44" s="50">
        <v>64.230104030000007</v>
      </c>
      <c r="UP44" s="50">
        <v>103.68376899000003</v>
      </c>
      <c r="UQ44" s="50">
        <v>5.9650249400000055</v>
      </c>
      <c r="UR44" s="50">
        <v>109.64879393000004</v>
      </c>
      <c r="US44" s="50">
        <v>106.1051549500001</v>
      </c>
      <c r="UT44" s="50">
        <v>6.6913464599999983</v>
      </c>
      <c r="UU44" s="50">
        <v>112.79650141000009</v>
      </c>
      <c r="UV44" s="50">
        <v>113.5443954700001</v>
      </c>
      <c r="UW44" s="50">
        <v>6.5449321999999981</v>
      </c>
      <c r="UX44" s="50">
        <v>120.08932767000009</v>
      </c>
      <c r="UY44" s="50"/>
      <c r="UZ44" s="50"/>
      <c r="VA44" s="50"/>
      <c r="VB44" s="50"/>
      <c r="VC44" s="50"/>
      <c r="VD44" s="50"/>
      <c r="VE44" s="50"/>
      <c r="VF44" s="50"/>
      <c r="VG44" s="50"/>
      <c r="VH44" s="50"/>
      <c r="VI44" s="50"/>
      <c r="VJ44" s="50"/>
      <c r="VK44" s="50"/>
      <c r="VL44" s="50"/>
      <c r="VM44" s="50"/>
      <c r="VN44" s="50"/>
      <c r="VO44" s="50"/>
      <c r="VP44" s="50"/>
      <c r="VQ44" s="50"/>
      <c r="VR44" s="50"/>
      <c r="VS44" s="50"/>
      <c r="VT44" s="50"/>
      <c r="VU44" s="50"/>
      <c r="VV44" s="50"/>
      <c r="VW44" s="276">
        <f t="shared" si="57"/>
        <v>385.86094000000003</v>
      </c>
      <c r="VX44" s="292">
        <f t="shared" si="58"/>
        <v>19.582163000000001</v>
      </c>
      <c r="VY44" s="292">
        <f t="shared" si="59"/>
        <v>405.44310300000001</v>
      </c>
      <c r="VZ44" s="276">
        <f t="shared" si="60"/>
        <v>386.06852099999998</v>
      </c>
      <c r="WA44" s="292">
        <f t="shared" si="61"/>
        <v>20.696206</v>
      </c>
      <c r="WB44" s="292">
        <f>ROUND(SUM(UO44+UR44+UU44+UX44),6)</f>
        <v>406.76472699999999</v>
      </c>
      <c r="WC44" s="277">
        <f t="shared" si="112"/>
        <v>1.3216239999999857</v>
      </c>
      <c r="WD44" s="277">
        <f t="shared" si="104"/>
        <v>0.32597027553826763</v>
      </c>
    </row>
    <row r="45" spans="1:602" s="12" customFormat="1" ht="20.5">
      <c r="A45" s="314" t="s">
        <v>125</v>
      </c>
      <c r="B45" s="13">
        <v>1200</v>
      </c>
      <c r="C45" s="77" t="s">
        <v>126</v>
      </c>
      <c r="D45" s="45">
        <v>290.31991280641546</v>
      </c>
      <c r="E45" s="42">
        <v>349.13146766381522</v>
      </c>
      <c r="F45" s="42">
        <v>220.02939510873588</v>
      </c>
      <c r="G45" s="42">
        <v>166.02548221125664</v>
      </c>
      <c r="H45" s="42">
        <v>8.6757246116982838</v>
      </c>
      <c r="I45" s="42">
        <v>13.261820849056067</v>
      </c>
      <c r="J45" s="42">
        <v>13.316963790758162</v>
      </c>
      <c r="K45" s="42">
        <v>12.511093519672626</v>
      </c>
      <c r="L45" s="42">
        <v>12.799864386087728</v>
      </c>
      <c r="M45" s="42">
        <v>13.54475703040962</v>
      </c>
      <c r="N45" s="42">
        <v>13.43641328165463</v>
      </c>
      <c r="O45" s="42">
        <v>13.451029020893449</v>
      </c>
      <c r="P45" s="42">
        <v>12.946138610480306</v>
      </c>
      <c r="Q45" s="42">
        <v>13.433532990705801</v>
      </c>
      <c r="R45" s="42">
        <v>14.19453097876506</v>
      </c>
      <c r="S45" s="42">
        <v>20.278147036727166</v>
      </c>
      <c r="T45" s="42">
        <v>156.42377349872802</v>
      </c>
      <c r="U45" s="42">
        <v>5.4262426081808997</v>
      </c>
      <c r="V45" s="42">
        <v>161.85001610690892</v>
      </c>
      <c r="W45" s="42">
        <v>161.8500250425439</v>
      </c>
      <c r="X45" s="42">
        <v>8.2139230852414045</v>
      </c>
      <c r="Y45" s="42">
        <v>13.952498847473835</v>
      </c>
      <c r="Z45" s="42">
        <v>13.994091752465836</v>
      </c>
      <c r="AA45" s="42">
        <v>13.546766666097518</v>
      </c>
      <c r="AB45" s="42">
        <v>13.992501465557964</v>
      </c>
      <c r="AC45" s="42">
        <v>15.257862789625555</v>
      </c>
      <c r="AD45" s="42">
        <v>15.293959624589503</v>
      </c>
      <c r="AE45" s="42">
        <v>14.918846506280557</v>
      </c>
      <c r="AF45" s="42">
        <v>13.978450606427966</v>
      </c>
      <c r="AG45" s="42">
        <v>13.987841688436605</v>
      </c>
      <c r="AH45" s="42">
        <v>15.460956397516235</v>
      </c>
      <c r="AI45" s="42">
        <v>17.73164922225827</v>
      </c>
      <c r="AJ45" s="42">
        <f>AJ43-AJ44</f>
        <v>164.19460469775402</v>
      </c>
      <c r="AK45" s="42">
        <f>AK43-AK44</f>
        <v>6.1347437834731018</v>
      </c>
      <c r="AL45" s="42">
        <v>170.32934865197126</v>
      </c>
      <c r="AM45" s="42">
        <v>170.31994553246713</v>
      </c>
      <c r="AN45" s="42">
        <v>9.632409604953871</v>
      </c>
      <c r="AO45" s="42">
        <v>14.888384243686717</v>
      </c>
      <c r="AP45" s="42">
        <v>13.989873421323725</v>
      </c>
      <c r="AQ45" s="42">
        <v>14.442699885031958</v>
      </c>
      <c r="AR45" s="42">
        <v>14.524473366685449</v>
      </c>
      <c r="AS45" s="42">
        <v>15.546152270049687</v>
      </c>
      <c r="AT45" s="42">
        <v>17.631635562688885</v>
      </c>
      <c r="AU45" s="42">
        <v>16.469695633490986</v>
      </c>
      <c r="AV45" s="42">
        <v>15.009881844724845</v>
      </c>
      <c r="AW45" s="42">
        <v>14.616045156259782</v>
      </c>
      <c r="AX45" s="42">
        <v>15.951046095355178</v>
      </c>
      <c r="AY45" s="42">
        <v>20.024659791350079</v>
      </c>
      <c r="AZ45" s="42">
        <v>175.54193982959686</v>
      </c>
      <c r="BA45" s="42">
        <v>7.1850170460042868</v>
      </c>
      <c r="BB45" s="42">
        <v>182.72695687560113</v>
      </c>
      <c r="BC45" s="42">
        <f t="shared" si="21"/>
        <v>175.55167585841855</v>
      </c>
      <c r="BD45" s="42">
        <v>7.1850160215365877</v>
      </c>
      <c r="BE45" s="42">
        <v>182.73669187995515</v>
      </c>
      <c r="BF45" s="44">
        <v>12.380059279999999</v>
      </c>
      <c r="BG45" s="44">
        <v>0.26736146999999999</v>
      </c>
      <c r="BH45" s="44">
        <f>BF45+BG45</f>
        <v>12.647420749999998</v>
      </c>
      <c r="BI45" s="42">
        <v>15.509035259999997</v>
      </c>
      <c r="BJ45" s="42">
        <v>0.58233450999999981</v>
      </c>
      <c r="BK45" s="44">
        <f>BI45+BJ45</f>
        <v>16.091369769999996</v>
      </c>
      <c r="BL45" s="44">
        <v>14.718680009999998</v>
      </c>
      <c r="BM45" s="44">
        <v>0.73006585000000013</v>
      </c>
      <c r="BN45" s="44">
        <f>BL45+BM45</f>
        <v>15.448745859999999</v>
      </c>
      <c r="BO45" s="44">
        <v>15.343266799999997</v>
      </c>
      <c r="BP45" s="44">
        <v>0.64586498000000003</v>
      </c>
      <c r="BQ45" s="44">
        <f>BO45+BP45</f>
        <v>15.989131779999997</v>
      </c>
      <c r="BR45" s="44">
        <v>15.282463729999996</v>
      </c>
      <c r="BS45" s="44">
        <v>0.56936266999999974</v>
      </c>
      <c r="BT45" s="44">
        <f>BR45+BS45</f>
        <v>15.851826399999997</v>
      </c>
      <c r="BU45" s="44">
        <v>16.973141439999999</v>
      </c>
      <c r="BV45" s="44">
        <v>0.83690399999999998</v>
      </c>
      <c r="BW45" s="44">
        <f>BU45+BV45</f>
        <v>17.81004544</v>
      </c>
      <c r="BX45" s="44">
        <v>17.91694652</v>
      </c>
      <c r="BY45" s="44">
        <v>0.69550632999999973</v>
      </c>
      <c r="BZ45" s="44">
        <f>BX45+BY45</f>
        <v>18.61245285</v>
      </c>
      <c r="CA45" s="44">
        <v>17.051329130000003</v>
      </c>
      <c r="CB45" s="44">
        <v>0.67180264999999995</v>
      </c>
      <c r="CC45" s="44">
        <f>CA45+CB45</f>
        <v>17.723131780000003</v>
      </c>
      <c r="CD45" s="44">
        <v>16.069308809999992</v>
      </c>
      <c r="CE45" s="44">
        <v>0.71275899999999992</v>
      </c>
      <c r="CF45" s="44">
        <f>CD45+CE45</f>
        <v>16.78206780999999</v>
      </c>
      <c r="CG45" s="44">
        <v>15.691020929999983</v>
      </c>
      <c r="CH45" s="44">
        <v>0.5377122000000002</v>
      </c>
      <c r="CI45" s="44">
        <f>CG45+CH45</f>
        <v>16.228733129999984</v>
      </c>
      <c r="CJ45" s="42">
        <v>16.877355770000005</v>
      </c>
      <c r="CK45" s="42">
        <v>0.68881155000000005</v>
      </c>
      <c r="CL45" s="44">
        <f>CJ45+CK45</f>
        <v>17.566167320000005</v>
      </c>
      <c r="CM45" s="42">
        <v>22.099468760000008</v>
      </c>
      <c r="CN45" s="42">
        <v>1.16155235</v>
      </c>
      <c r="CO45" s="44">
        <f>CM45+CN45</f>
        <v>23.261021110000009</v>
      </c>
      <c r="CP45" s="50">
        <f t="shared" si="24"/>
        <v>195.91207643999996</v>
      </c>
      <c r="CQ45" s="50">
        <f t="shared" si="25"/>
        <v>8.1000375600000005</v>
      </c>
      <c r="CR45" s="50">
        <f t="shared" si="26"/>
        <v>204.012114</v>
      </c>
      <c r="CS45" s="42">
        <f t="shared" si="93"/>
        <v>195.86912750000002</v>
      </c>
      <c r="CT45" s="42">
        <v>8.1004635</v>
      </c>
      <c r="CU45" s="42">
        <v>203.96959100000001</v>
      </c>
      <c r="CV45" s="42">
        <v>11.650083950000006</v>
      </c>
      <c r="CW45" s="42">
        <v>0.31746808999999998</v>
      </c>
      <c r="CX45" s="44">
        <f>CV45+CW45</f>
        <v>11.967552040000006</v>
      </c>
      <c r="CY45" s="42">
        <v>16.724095749999986</v>
      </c>
      <c r="CZ45" s="42">
        <v>0.62129912000000009</v>
      </c>
      <c r="DA45" s="44">
        <v>17.345394869999986</v>
      </c>
      <c r="DB45" s="42">
        <v>17.213846100000005</v>
      </c>
      <c r="DC45" s="42">
        <v>0.77298576000000019</v>
      </c>
      <c r="DD45" s="44">
        <v>17.986831860000006</v>
      </c>
      <c r="DE45" s="42">
        <v>16.768570909999998</v>
      </c>
      <c r="DF45" s="42">
        <v>0.55896415999999971</v>
      </c>
      <c r="DG45" s="44">
        <v>17.327535069999996</v>
      </c>
      <c r="DH45" s="42">
        <v>16.982930950000007</v>
      </c>
      <c r="DI45" s="42">
        <v>0.66033076000000013</v>
      </c>
      <c r="DJ45" s="44">
        <v>17.643261710000008</v>
      </c>
      <c r="DK45" s="42">
        <v>18.815617159999999</v>
      </c>
      <c r="DL45" s="42">
        <v>0.81185094000000013</v>
      </c>
      <c r="DM45" s="44">
        <v>19.627468099999998</v>
      </c>
      <c r="DN45" s="42">
        <v>20.958386790000006</v>
      </c>
      <c r="DO45" s="42">
        <v>0.76656946000000015</v>
      </c>
      <c r="DP45" s="44">
        <v>21.724956250000005</v>
      </c>
      <c r="DQ45" s="42">
        <v>19.613533050000001</v>
      </c>
      <c r="DR45" s="42">
        <v>0.73737241000000087</v>
      </c>
      <c r="DS45" s="44">
        <v>20.350905460000003</v>
      </c>
      <c r="DT45" s="42">
        <v>17.324265880000006</v>
      </c>
      <c r="DU45" s="42">
        <v>0.69786219999999999</v>
      </c>
      <c r="DV45" s="44">
        <v>18.022128080000005</v>
      </c>
      <c r="DW45" s="42">
        <v>16.919424010000004</v>
      </c>
      <c r="DX45" s="42">
        <v>0.58384331999999994</v>
      </c>
      <c r="DY45" s="44">
        <v>17.503267330000003</v>
      </c>
      <c r="DZ45" s="42">
        <v>16.822922039999991</v>
      </c>
      <c r="EA45" s="42">
        <v>0.68225171000000007</v>
      </c>
      <c r="EB45" s="44">
        <v>17.50517374999999</v>
      </c>
      <c r="EC45" s="42">
        <v>21.456658319999992</v>
      </c>
      <c r="ED45" s="42">
        <v>1.2014975000000006</v>
      </c>
      <c r="EE45" s="44">
        <v>22.658155819999994</v>
      </c>
      <c r="EF45" s="50">
        <f t="shared" si="27"/>
        <v>211.25033490999999</v>
      </c>
      <c r="EG45" s="50">
        <f t="shared" si="28"/>
        <v>8.4122954300000021</v>
      </c>
      <c r="EH45" s="50">
        <f t="shared" si="29"/>
        <v>219.66263033999999</v>
      </c>
      <c r="EI45" s="50">
        <f t="shared" si="94"/>
        <v>211.25315656999996</v>
      </c>
      <c r="EJ45" s="50">
        <f>EJ43-EJ44</f>
        <v>8.4122954300000004</v>
      </c>
      <c r="EK45" s="50">
        <f>EK43-EK44</f>
        <v>219.66545199999996</v>
      </c>
      <c r="EL45" s="50">
        <v>12.629357479999983</v>
      </c>
      <c r="EM45" s="50">
        <v>0.24575766999999996</v>
      </c>
      <c r="EN45" s="50">
        <v>12.875115149999983</v>
      </c>
      <c r="EO45" s="50">
        <v>17.088957919999995</v>
      </c>
      <c r="EP45" s="50">
        <v>0.63304757000000045</v>
      </c>
      <c r="EQ45" s="50">
        <v>17.722005489999994</v>
      </c>
      <c r="ER45" s="50">
        <v>18.025594259999977</v>
      </c>
      <c r="ES45" s="50">
        <v>0.76903090999999968</v>
      </c>
      <c r="ET45" s="50">
        <v>18.794625169999975</v>
      </c>
      <c r="EU45" s="50">
        <v>18.194745609999995</v>
      </c>
      <c r="EV45" s="50">
        <v>0.70072888000000066</v>
      </c>
      <c r="EW45" s="50">
        <v>18.895474489999994</v>
      </c>
      <c r="EX45" s="50">
        <v>18.251863910000001</v>
      </c>
      <c r="EY45" s="50">
        <v>0.67388646000000008</v>
      </c>
      <c r="EZ45" s="50">
        <v>18.925750369999999</v>
      </c>
      <c r="FA45" s="50">
        <v>20.033130379999992</v>
      </c>
      <c r="FB45" s="50">
        <v>0.76578706000000019</v>
      </c>
      <c r="FC45" s="50">
        <v>20.798917439999993</v>
      </c>
      <c r="FD45" s="50">
        <v>21.247884410000026</v>
      </c>
      <c r="FE45" s="50">
        <v>0.74548166000000005</v>
      </c>
      <c r="FF45" s="50">
        <v>21.993366070000025</v>
      </c>
      <c r="FG45" s="50">
        <v>20.021497489999991</v>
      </c>
      <c r="FH45" s="50">
        <v>0.81954263000000049</v>
      </c>
      <c r="FI45" s="50">
        <v>20.841040119999992</v>
      </c>
      <c r="FJ45" s="50">
        <v>19.459308709999981</v>
      </c>
      <c r="FK45" s="50">
        <v>0.6965249399999992</v>
      </c>
      <c r="FL45" s="50">
        <v>20.15583364999998</v>
      </c>
      <c r="FM45" s="50">
        <v>17.919803930000008</v>
      </c>
      <c r="FN45" s="50">
        <v>0.64846706999999981</v>
      </c>
      <c r="FO45" s="50">
        <v>18.568271000000006</v>
      </c>
      <c r="FP45" s="50">
        <v>17.744129860000005</v>
      </c>
      <c r="FQ45" s="50">
        <v>0.76858815999999952</v>
      </c>
      <c r="FR45" s="50">
        <v>18.512718020000005</v>
      </c>
      <c r="FS45" s="50">
        <v>28.693211650000016</v>
      </c>
      <c r="FT45" s="50">
        <v>1.2246171700000006</v>
      </c>
      <c r="FU45" s="50">
        <v>29.917828820000018</v>
      </c>
      <c r="FV45" s="50">
        <f t="shared" si="30"/>
        <v>229.30948561</v>
      </c>
      <c r="FW45" s="50">
        <f t="shared" si="31"/>
        <v>8.69146018</v>
      </c>
      <c r="FX45" s="50">
        <f t="shared" si="32"/>
        <v>238.00094578999997</v>
      </c>
      <c r="FY45" s="50">
        <f t="shared" si="95"/>
        <v>229.35439099999991</v>
      </c>
      <c r="FZ45" s="50">
        <f>FZ43-FZ44</f>
        <v>8.6914440000000006</v>
      </c>
      <c r="GA45" s="50">
        <f>GA43-GA44</f>
        <v>238.0458349999999</v>
      </c>
      <c r="GB45" s="50">
        <v>13.50255759</v>
      </c>
      <c r="GC45" s="50">
        <v>0.33560332000000026</v>
      </c>
      <c r="GD45" s="50">
        <v>13.838160910000001</v>
      </c>
      <c r="GE45" s="50">
        <v>18.852454359999999</v>
      </c>
      <c r="GF45" s="50">
        <v>0.76560265000000005</v>
      </c>
      <c r="GG45" s="50">
        <v>19.618057010000001</v>
      </c>
      <c r="GH45" s="50">
        <v>19.949117979999986</v>
      </c>
      <c r="GI45" s="50">
        <v>0.96241049999999995</v>
      </c>
      <c r="GJ45" s="50">
        <v>20.911528479999987</v>
      </c>
      <c r="GK45" s="50">
        <v>20.01891230999998</v>
      </c>
      <c r="GL45" s="50">
        <v>0.77921035999999999</v>
      </c>
      <c r="GM45" s="50">
        <v>20.79812266999998</v>
      </c>
      <c r="GN45" s="50">
        <v>20.182640219999985</v>
      </c>
      <c r="GO45" s="50">
        <v>0.85377539000000036</v>
      </c>
      <c r="GP45" s="50">
        <v>21.036415609999985</v>
      </c>
      <c r="GQ45" s="50">
        <v>20.970318460000001</v>
      </c>
      <c r="GR45" s="50">
        <v>0.99564732000000045</v>
      </c>
      <c r="GS45" s="50">
        <v>21.965965780000001</v>
      </c>
      <c r="GT45" s="50">
        <v>23.414381970000001</v>
      </c>
      <c r="GU45" s="50">
        <v>0.97321024000000012</v>
      </c>
      <c r="GV45" s="50">
        <v>24.387592210000001</v>
      </c>
      <c r="GW45" s="50">
        <v>23.258636759999995</v>
      </c>
      <c r="GX45" s="50">
        <v>0.90844130000000001</v>
      </c>
      <c r="GY45" s="50">
        <v>24.167078059999994</v>
      </c>
      <c r="GZ45" s="50">
        <v>21.660574189999991</v>
      </c>
      <c r="HA45" s="50">
        <v>1.0052344200000001</v>
      </c>
      <c r="HB45" s="50">
        <v>22.665808609999992</v>
      </c>
      <c r="HC45" s="50">
        <v>19.620800729999996</v>
      </c>
      <c r="HD45" s="50">
        <v>0.80465161000000029</v>
      </c>
      <c r="HE45" s="50">
        <v>20.425452339999996</v>
      </c>
      <c r="HF45" s="50">
        <v>21.097740459999997</v>
      </c>
      <c r="HG45" s="50">
        <v>0.91670528999999945</v>
      </c>
      <c r="HH45" s="50">
        <v>22.014445749999997</v>
      </c>
      <c r="HI45" s="50">
        <v>29.427359070000001</v>
      </c>
      <c r="HJ45" s="50">
        <v>1.5410805599999999</v>
      </c>
      <c r="HK45" s="50">
        <v>30.968439630000002</v>
      </c>
      <c r="HL45" s="50">
        <f t="shared" si="33"/>
        <v>251.95549409999992</v>
      </c>
      <c r="HM45" s="50">
        <f t="shared" si="34"/>
        <v>10.841572960000001</v>
      </c>
      <c r="HN45" s="50">
        <f t="shared" si="35"/>
        <v>262.79706705999996</v>
      </c>
      <c r="HO45" s="50">
        <f t="shared" si="96"/>
        <v>251.95569299999997</v>
      </c>
      <c r="HP45" s="50">
        <f>HP43-HP44</f>
        <v>10.841574000000001</v>
      </c>
      <c r="HQ45" s="50">
        <v>262.79726699999998</v>
      </c>
      <c r="HR45" s="50">
        <v>13.088712860000003</v>
      </c>
      <c r="HS45" s="50">
        <v>0.35085325000000001</v>
      </c>
      <c r="HT45" s="50">
        <v>13.439566109999992</v>
      </c>
      <c r="HU45" s="50">
        <v>20.153638980000018</v>
      </c>
      <c r="HV45" s="50">
        <v>0.94306138000000039</v>
      </c>
      <c r="HW45" s="50">
        <v>21.09670036000001</v>
      </c>
      <c r="HX45" s="50">
        <v>21.179111179999992</v>
      </c>
      <c r="HY45" s="50">
        <v>1.0568984100000003</v>
      </c>
      <c r="HZ45" s="50">
        <v>22.236009590000002</v>
      </c>
      <c r="IA45" s="50">
        <v>21.930310720000001</v>
      </c>
      <c r="IB45" s="50">
        <v>0.96454659000000009</v>
      </c>
      <c r="IC45" s="50">
        <v>22.894857309999988</v>
      </c>
      <c r="ID45" s="50">
        <v>21.883476679999998</v>
      </c>
      <c r="IE45" s="50">
        <v>1.0523637999999993</v>
      </c>
      <c r="IF45" s="50">
        <v>22.935840479999992</v>
      </c>
      <c r="IG45" s="50">
        <v>24.975216019999994</v>
      </c>
      <c r="IH45" s="50">
        <v>1.11558764</v>
      </c>
      <c r="II45" s="50">
        <v>26.090803659999981</v>
      </c>
      <c r="IJ45" s="50">
        <v>24.743471459999995</v>
      </c>
      <c r="IK45" s="50">
        <v>1.1073172599999994</v>
      </c>
      <c r="IL45" s="50">
        <v>25.850788719999994</v>
      </c>
      <c r="IM45" s="50">
        <v>25.556608690000004</v>
      </c>
      <c r="IN45" s="50">
        <v>1.1549951100000009</v>
      </c>
      <c r="IO45" s="50">
        <v>26.711603799999992</v>
      </c>
      <c r="IP45" s="50">
        <v>23.529528030000009</v>
      </c>
      <c r="IQ45" s="50">
        <v>1.0557308599999997</v>
      </c>
      <c r="IR45" s="50">
        <v>24.585258890000016</v>
      </c>
      <c r="IS45" s="50">
        <v>21.124873679999968</v>
      </c>
      <c r="IT45" s="50">
        <v>0.88738512999999952</v>
      </c>
      <c r="IU45" s="50">
        <v>22.012258809999977</v>
      </c>
      <c r="IV45" s="50">
        <v>23.32090728</v>
      </c>
      <c r="IW45" s="50">
        <v>1.06983001</v>
      </c>
      <c r="IX45" s="50">
        <v>24.390737289999979</v>
      </c>
      <c r="IY45" s="50">
        <v>33.243544899999968</v>
      </c>
      <c r="IZ45" s="50">
        <v>1.7289912500000006</v>
      </c>
      <c r="JA45" s="50">
        <v>34.972536149999968</v>
      </c>
      <c r="JB45" s="50">
        <f t="shared" si="36"/>
        <v>274.72940047999992</v>
      </c>
      <c r="JC45" s="50">
        <f t="shared" si="37"/>
        <v>12.48756069</v>
      </c>
      <c r="JD45" s="50">
        <f t="shared" si="38"/>
        <v>287.21696116999988</v>
      </c>
      <c r="JE45" s="50">
        <f>JG45-JF45</f>
        <v>274.70409926999997</v>
      </c>
      <c r="JF45" s="50">
        <f>JF43-JF44</f>
        <v>12.501371729999995</v>
      </c>
      <c r="JG45" s="50">
        <v>287.20547099999999</v>
      </c>
      <c r="JH45" s="50">
        <v>40.105037689999989</v>
      </c>
      <c r="JI45" s="50">
        <v>0.40891430000000001</v>
      </c>
      <c r="JJ45" s="50">
        <v>40.513951989999988</v>
      </c>
      <c r="JK45" s="50">
        <v>30.062010130000022</v>
      </c>
      <c r="JL45" s="50">
        <v>1.0786400300000005</v>
      </c>
      <c r="JM45" s="50">
        <v>31.140650160000021</v>
      </c>
      <c r="JN45" s="50">
        <v>22.364861619999996</v>
      </c>
      <c r="JO45" s="50">
        <v>1.01693787</v>
      </c>
      <c r="JP45" s="50">
        <v>23.381799489999988</v>
      </c>
      <c r="JQ45" s="50">
        <v>23.708681980000001</v>
      </c>
      <c r="JR45" s="50">
        <v>1.0621798500000006</v>
      </c>
      <c r="JS45" s="50">
        <v>24.770861830000008</v>
      </c>
      <c r="JT45" s="50">
        <v>23.473795410000001</v>
      </c>
      <c r="JU45" s="50">
        <v>1.0856611700000001</v>
      </c>
      <c r="JV45" s="50">
        <v>24.559456580000024</v>
      </c>
      <c r="JW45" s="50">
        <v>25.926917360000001</v>
      </c>
      <c r="JX45" s="50">
        <v>1.0983178199999994</v>
      </c>
      <c r="JY45" s="50">
        <v>27.025235179999971</v>
      </c>
      <c r="JZ45" s="50">
        <v>25.463564049999992</v>
      </c>
      <c r="KA45" s="50">
        <v>1.1126955599999997</v>
      </c>
      <c r="KB45" s="50">
        <v>26.576259609999983</v>
      </c>
      <c r="KC45" s="50">
        <v>26.92236265999999</v>
      </c>
      <c r="KD45" s="50">
        <v>1.1763427999999994</v>
      </c>
      <c r="KE45" s="50">
        <v>28.098705460000001</v>
      </c>
      <c r="KF45" s="50">
        <v>24.863930469999975</v>
      </c>
      <c r="KG45" s="50">
        <v>1.0758318099999995</v>
      </c>
      <c r="KH45" s="50">
        <v>25.939762279999986</v>
      </c>
      <c r="KI45" s="50">
        <v>23.386434240000032</v>
      </c>
      <c r="KJ45" s="50">
        <v>0.90518807000000023</v>
      </c>
      <c r="KK45" s="50">
        <v>24.291622310000015</v>
      </c>
      <c r="KL45" s="50">
        <v>24.345066939999995</v>
      </c>
      <c r="KM45" s="50">
        <v>1.1045601300000001</v>
      </c>
      <c r="KN45" s="50">
        <v>25.449627070000002</v>
      </c>
      <c r="KO45" s="50">
        <v>34.288576949999978</v>
      </c>
      <c r="KP45" s="50">
        <v>1.5839674500000007</v>
      </c>
      <c r="KQ45" s="50">
        <v>35.872544399999931</v>
      </c>
      <c r="KR45" s="50">
        <f t="shared" si="48"/>
        <v>324.91123950000002</v>
      </c>
      <c r="KS45" s="50">
        <f t="shared" si="39"/>
        <v>12.709236859999997</v>
      </c>
      <c r="KT45" s="50">
        <f t="shared" si="49"/>
        <v>337.62047635999994</v>
      </c>
      <c r="KU45" s="50">
        <f>KW45-KV45</f>
        <v>324.91122399999995</v>
      </c>
      <c r="KV45" s="50">
        <f>KV43-KV44</f>
        <v>12.709251999999999</v>
      </c>
      <c r="KW45" s="50">
        <f>KW43-KW44</f>
        <v>337.62047599999994</v>
      </c>
      <c r="KX45" s="50">
        <v>16.669315200000003</v>
      </c>
      <c r="KY45" s="50">
        <v>0.59315274000000018</v>
      </c>
      <c r="KZ45" s="50">
        <v>17.262467940000008</v>
      </c>
      <c r="LA45" s="50">
        <v>23.526207420000006</v>
      </c>
      <c r="LB45" s="50">
        <v>1.0014981400000003</v>
      </c>
      <c r="LC45" s="50">
        <v>24.527705560000001</v>
      </c>
      <c r="LD45" s="50">
        <v>23.900856550000032</v>
      </c>
      <c r="LE45" s="50">
        <v>1.1002298100000001</v>
      </c>
      <c r="LF45" s="87">
        <v>25.001086360000006</v>
      </c>
      <c r="LG45" s="50">
        <v>26.731278580000005</v>
      </c>
      <c r="LH45" s="50">
        <v>1.16054579</v>
      </c>
      <c r="LI45" s="175">
        <v>27.891824369999973</v>
      </c>
      <c r="LJ45" s="174">
        <v>23.897189849999972</v>
      </c>
      <c r="LK45" s="50">
        <v>1.04006066</v>
      </c>
      <c r="LL45" s="174">
        <v>24.937250509999974</v>
      </c>
      <c r="LM45" s="50">
        <v>26.985363489999976</v>
      </c>
      <c r="LN45" s="50">
        <v>1.07658257</v>
      </c>
      <c r="LO45" s="50">
        <v>28.061946059999972</v>
      </c>
      <c r="LP45" s="50">
        <v>28.046204329999991</v>
      </c>
      <c r="LQ45" s="44">
        <v>1.0498825000000001</v>
      </c>
      <c r="LR45" s="44">
        <v>29.096086830000004</v>
      </c>
      <c r="LS45" s="50">
        <v>28.492827079999987</v>
      </c>
      <c r="LT45" s="50">
        <v>1.2386301000000002</v>
      </c>
      <c r="LU45" s="52">
        <v>29.731457179999992</v>
      </c>
      <c r="LV45" s="44">
        <v>27.595318530000014</v>
      </c>
      <c r="LW45" s="44">
        <v>1.0350677800000001</v>
      </c>
      <c r="LX45" s="44">
        <v>28.630386310000002</v>
      </c>
      <c r="LY45" s="44">
        <v>24.214924920000023</v>
      </c>
      <c r="LZ45" s="44">
        <v>0.98313736999999968</v>
      </c>
      <c r="MA45" s="44">
        <v>25.198062290000024</v>
      </c>
      <c r="MB45" s="44">
        <v>25.155116800000023</v>
      </c>
      <c r="MC45" s="44">
        <v>1.0425947800000002</v>
      </c>
      <c r="MD45" s="44">
        <v>26.197711580000021</v>
      </c>
      <c r="ME45" s="44">
        <v>36.645990070000032</v>
      </c>
      <c r="MF45" s="44">
        <v>1.6105145399999996</v>
      </c>
      <c r="MG45" s="44">
        <v>38.25650461000005</v>
      </c>
      <c r="MH45" s="50">
        <f>KX45+LA45+LD45+LG45+LJ45+LM45+LP45+LS45+LV45+LY45+MB45+ME45</f>
        <v>311.86059282000008</v>
      </c>
      <c r="MI45" s="50">
        <f t="shared" si="50"/>
        <v>12.931896779999999</v>
      </c>
      <c r="MJ45" s="50">
        <f t="shared" si="51"/>
        <v>324.79248960000001</v>
      </c>
      <c r="MK45" s="50">
        <f>MM45-ML45</f>
        <v>311.85365978999994</v>
      </c>
      <c r="ML45" s="50">
        <f>ML43-ML44</f>
        <v>12.931889210000001</v>
      </c>
      <c r="MM45" s="50">
        <f>MM43-MM44</f>
        <v>324.78554899999995</v>
      </c>
      <c r="MN45" s="44">
        <v>16.116709249999996</v>
      </c>
      <c r="MO45" s="44">
        <v>0.59922125999999987</v>
      </c>
      <c r="MP45" s="44">
        <v>16.715930509999993</v>
      </c>
      <c r="MQ45" s="44">
        <v>24.786902899999987</v>
      </c>
      <c r="MR45" s="44">
        <v>0.93856453999999956</v>
      </c>
      <c r="MS45" s="44">
        <v>25.725467439999971</v>
      </c>
      <c r="MT45" s="50">
        <v>25.170028560000002</v>
      </c>
      <c r="MU45" s="50">
        <v>1.1020097399999997</v>
      </c>
      <c r="MV45" s="50">
        <v>26.272038299999984</v>
      </c>
      <c r="MW45" s="44">
        <v>26.65136386999999</v>
      </c>
      <c r="MX45" s="44">
        <v>1.1030371400000003</v>
      </c>
      <c r="MY45" s="44">
        <v>27.754401009999974</v>
      </c>
      <c r="MZ45" s="44">
        <v>26.395420050000009</v>
      </c>
      <c r="NA45" s="44">
        <v>1.1781707499999996</v>
      </c>
      <c r="NB45" s="44">
        <v>27.573590800000002</v>
      </c>
      <c r="NC45" s="44">
        <v>29.581428599999992</v>
      </c>
      <c r="ND45" s="44">
        <v>1.1842901699999999</v>
      </c>
      <c r="NE45" s="44">
        <v>30.765718769999975</v>
      </c>
      <c r="NF45" s="44">
        <v>29.733982320000006</v>
      </c>
      <c r="NG45" s="44">
        <v>1.1508581599999994</v>
      </c>
      <c r="NH45" s="44">
        <v>30.884840480000001</v>
      </c>
      <c r="NI45" s="44">
        <v>30.989008319999993</v>
      </c>
      <c r="NJ45" s="44">
        <v>1.2403410299999997</v>
      </c>
      <c r="NK45" s="44">
        <v>32.229349349999985</v>
      </c>
      <c r="NL45" s="44">
        <v>30.063717040000011</v>
      </c>
      <c r="NM45" s="44">
        <v>1.0866315799999999</v>
      </c>
      <c r="NN45" s="44">
        <v>31.150348619999988</v>
      </c>
      <c r="NO45" s="44">
        <v>25.800080730000008</v>
      </c>
      <c r="NP45" s="44">
        <v>0.92670712000000011</v>
      </c>
      <c r="NQ45" s="44">
        <v>26.72678784999999</v>
      </c>
      <c r="NR45" s="44">
        <v>27.849676499999998</v>
      </c>
      <c r="NS45" s="44">
        <v>1.06125633</v>
      </c>
      <c r="NT45" s="44">
        <v>28.910932829999993</v>
      </c>
      <c r="NU45" s="44">
        <v>39.03818188000001</v>
      </c>
      <c r="NV45" s="44">
        <v>1.9297661200000005</v>
      </c>
      <c r="NW45" s="44">
        <v>40.967947999999986</v>
      </c>
      <c r="NX45" s="50">
        <f>MN45+MQ45+MT45+MW45+MZ45+NC45+NF45+NI45+NL45+NO45+NR45+NU45</f>
        <v>332.17650001999999</v>
      </c>
      <c r="NY45" s="50">
        <f t="shared" si="40"/>
        <v>13.500853939999999</v>
      </c>
      <c r="NZ45" s="50">
        <f t="shared" si="41"/>
        <v>345.67735395999983</v>
      </c>
      <c r="OA45" s="50">
        <f>OC45-OB45</f>
        <v>332.17649905999991</v>
      </c>
      <c r="OB45" s="50">
        <v>13.500853939999999</v>
      </c>
      <c r="OC45" s="50">
        <f>OC43-OC44</f>
        <v>345.67735299999993</v>
      </c>
      <c r="OD45" s="44">
        <v>20.24883977</v>
      </c>
      <c r="OE45" s="44">
        <v>0.47120719999999988</v>
      </c>
      <c r="OF45" s="44">
        <v>20.720046970000006</v>
      </c>
      <c r="OG45" s="50">
        <v>26.502411599999995</v>
      </c>
      <c r="OH45" s="44">
        <v>1.0127825200000002</v>
      </c>
      <c r="OI45" s="44">
        <v>27.515194119999997</v>
      </c>
      <c r="OJ45" s="44">
        <f t="shared" si="107"/>
        <v>25.315049339999995</v>
      </c>
      <c r="OK45" s="44">
        <v>1.1087185399999997</v>
      </c>
      <c r="OL45" s="44">
        <v>26.423767879999993</v>
      </c>
      <c r="OM45" s="44">
        <v>28.530578679999994</v>
      </c>
      <c r="ON45" s="44">
        <v>1.0462774799999996</v>
      </c>
      <c r="OO45" s="44">
        <v>29.576856160000002</v>
      </c>
      <c r="OP45" s="44">
        <v>28.862526190000022</v>
      </c>
      <c r="OQ45" s="44">
        <v>1.2353116299999991</v>
      </c>
      <c r="OR45" s="44">
        <v>30.097837820000038</v>
      </c>
      <c r="OS45" s="44">
        <v>30.206431870000017</v>
      </c>
      <c r="OT45" s="44">
        <v>1.3231698400000003</v>
      </c>
      <c r="OU45" s="44">
        <v>31.529601710000041</v>
      </c>
      <c r="OV45" s="44">
        <v>32.443372930000017</v>
      </c>
      <c r="OW45" s="44">
        <v>1.0182629699999999</v>
      </c>
      <c r="OX45" s="44">
        <v>33.461635899999997</v>
      </c>
      <c r="OY45" s="95">
        <v>32.185489160000017</v>
      </c>
      <c r="OZ45" s="95">
        <v>1.2645244099999999</v>
      </c>
      <c r="PA45" s="95">
        <v>33.450013570000024</v>
      </c>
      <c r="PB45" s="44">
        <v>33.198864540000002</v>
      </c>
      <c r="PC45" s="44">
        <v>1.4153077399999998</v>
      </c>
      <c r="PD45" s="44">
        <v>34.614172280000027</v>
      </c>
      <c r="PE45" s="44">
        <v>28.919246359999988</v>
      </c>
      <c r="PF45" s="44">
        <v>1.0575207800000002</v>
      </c>
      <c r="PG45" s="44">
        <v>29.976767139999989</v>
      </c>
      <c r="PH45" s="44">
        <v>31.378001280000003</v>
      </c>
      <c r="PI45" s="44">
        <v>1.2565583100000002</v>
      </c>
      <c r="PJ45" s="44">
        <v>32.634559590000059</v>
      </c>
      <c r="PK45" s="44">
        <v>49.630807009999991</v>
      </c>
      <c r="PL45" s="44">
        <v>2.018920989999998</v>
      </c>
      <c r="PM45" s="44">
        <v>51.649728000000003</v>
      </c>
      <c r="PN45" s="50">
        <f t="shared" si="115"/>
        <v>367.42161872999998</v>
      </c>
      <c r="PO45" s="50">
        <f t="shared" si="108"/>
        <v>14.228562409999999</v>
      </c>
      <c r="PP45" s="50">
        <f t="shared" ref="PP45:PP73" si="116">OF45+OI45+OL45+OO45+OR45+OU45+OX45+PA45+PD45+PG45+PJ45+PM45</f>
        <v>381.65018114000014</v>
      </c>
      <c r="PQ45" s="50">
        <f>PS45-PR45</f>
        <v>367.41312158999995</v>
      </c>
      <c r="PR45" s="50">
        <v>14.228562409999999</v>
      </c>
      <c r="PS45" s="50">
        <f>PS43-PS44</f>
        <v>381.64168399999994</v>
      </c>
      <c r="PT45" s="44">
        <v>19.818684289999997</v>
      </c>
      <c r="PU45" s="44">
        <v>0.59195507999999986</v>
      </c>
      <c r="PV45" s="44">
        <v>20.410639370000005</v>
      </c>
      <c r="PW45" s="44">
        <v>30.305384520000029</v>
      </c>
      <c r="PX45" s="44">
        <v>1.2004566499999996</v>
      </c>
      <c r="PY45" s="44">
        <v>31.505841170000021</v>
      </c>
      <c r="PZ45" s="44">
        <v>31.136610540000007</v>
      </c>
      <c r="QA45" s="44">
        <v>1.3381215100000001</v>
      </c>
      <c r="QB45" s="44">
        <v>32.474732050000014</v>
      </c>
      <c r="QC45" s="44">
        <v>32.321157409999998</v>
      </c>
      <c r="QD45" s="44">
        <v>1.2728100599999994</v>
      </c>
      <c r="QE45" s="44">
        <v>33.593967470000024</v>
      </c>
      <c r="QF45" s="50">
        <v>33.616866420000001</v>
      </c>
      <c r="QG45" s="44">
        <v>1.4673981299999992</v>
      </c>
      <c r="QH45" s="44">
        <v>35.08426455</v>
      </c>
      <c r="QI45" s="50">
        <v>37.117543210000036</v>
      </c>
      <c r="QJ45" s="44">
        <v>1.5716437300000006</v>
      </c>
      <c r="QK45" s="44">
        <v>38.689186940000035</v>
      </c>
      <c r="QL45" s="44">
        <v>36.975803250000027</v>
      </c>
      <c r="QM45" s="44">
        <v>1.345610529999999</v>
      </c>
      <c r="QN45" s="44">
        <v>38.321413780000029</v>
      </c>
      <c r="QO45" s="50">
        <v>38.341186400000055</v>
      </c>
      <c r="QP45" s="44">
        <v>1.5710573599999995</v>
      </c>
      <c r="QQ45" s="44">
        <v>39.912243760000052</v>
      </c>
      <c r="QR45" s="44">
        <v>37.420534930000017</v>
      </c>
      <c r="QS45" s="44">
        <v>1.4243024400000006</v>
      </c>
      <c r="QT45" s="44">
        <v>38.84483737</v>
      </c>
      <c r="QU45" s="50">
        <v>35.759884719999967</v>
      </c>
      <c r="QV45" s="44">
        <v>1.3096661099999998</v>
      </c>
      <c r="QW45" s="44">
        <v>37.069550829999969</v>
      </c>
      <c r="QX45" s="50">
        <v>36.565634390000007</v>
      </c>
      <c r="QY45" s="44">
        <v>1.4040682699999991</v>
      </c>
      <c r="QZ45" s="44">
        <v>37.969702660000003</v>
      </c>
      <c r="RA45" s="50">
        <v>56.828793469999937</v>
      </c>
      <c r="RB45" s="44">
        <v>3.1650898899999995</v>
      </c>
      <c r="RC45" s="44">
        <v>59.993883359999934</v>
      </c>
      <c r="RD45" s="50">
        <f t="shared" si="52"/>
        <v>426.20808355000008</v>
      </c>
      <c r="RE45" s="50">
        <f t="shared" si="53"/>
        <v>17.662179759999997</v>
      </c>
      <c r="RF45" s="50">
        <f t="shared" si="54"/>
        <v>443.8702633100001</v>
      </c>
      <c r="RG45" s="50">
        <f t="shared" si="111"/>
        <v>426.20807799999989</v>
      </c>
      <c r="RH45" s="50">
        <v>17.662184</v>
      </c>
      <c r="RI45" s="50">
        <f>RI43-RI44</f>
        <v>443.87026199999991</v>
      </c>
      <c r="RJ45" s="50">
        <v>51.106804249999996</v>
      </c>
      <c r="RK45" s="50">
        <v>0.31950760999999994</v>
      </c>
      <c r="RL45" s="50">
        <v>51.426311859999963</v>
      </c>
      <c r="RM45" s="50">
        <v>43.407664490000002</v>
      </c>
      <c r="RN45" s="50">
        <v>1.3530786199999996</v>
      </c>
      <c r="RO45" s="50">
        <v>44.760743109999964</v>
      </c>
      <c r="RP45" s="50">
        <v>37.377958370000002</v>
      </c>
      <c r="RQ45" s="50">
        <v>1.4270347500000002</v>
      </c>
      <c r="RR45" s="50">
        <v>38.804993120000013</v>
      </c>
      <c r="RS45" s="50">
        <v>38.124541560000004</v>
      </c>
      <c r="RT45" s="50">
        <v>1.4038978000000004</v>
      </c>
      <c r="RU45" s="50">
        <v>39.528439360000007</v>
      </c>
      <c r="RV45" s="50">
        <v>39.007226470000028</v>
      </c>
      <c r="RW45" s="50">
        <v>1.6832054600000006</v>
      </c>
      <c r="RX45" s="50">
        <v>40.690431930000031</v>
      </c>
      <c r="RY45" s="50">
        <v>41.990060779999986</v>
      </c>
      <c r="RZ45" s="50">
        <v>1.39274622</v>
      </c>
      <c r="SA45" s="50">
        <v>43.382806999999985</v>
      </c>
      <c r="SB45" s="50">
        <v>42.904996279999999</v>
      </c>
      <c r="SC45" s="50">
        <v>1.6465219599999996</v>
      </c>
      <c r="SD45" s="50">
        <v>44.55151824</v>
      </c>
      <c r="SE45" s="50">
        <v>44.740214869999974</v>
      </c>
      <c r="SF45" s="50">
        <v>1.6868641999999998</v>
      </c>
      <c r="SG45" s="50">
        <v>46.427079069999976</v>
      </c>
      <c r="SH45" s="50">
        <v>41.401667939999975</v>
      </c>
      <c r="SI45" s="50">
        <v>1.4133142500000004</v>
      </c>
      <c r="SJ45" s="50">
        <v>42.814982189999974</v>
      </c>
      <c r="SK45" s="50">
        <v>39.041159720000003</v>
      </c>
      <c r="SL45" s="50">
        <v>1.3813847000000004</v>
      </c>
      <c r="SM45" s="50">
        <v>40.422544420000015</v>
      </c>
      <c r="SN45" s="50">
        <v>39.556357129999995</v>
      </c>
      <c r="SO45" s="50">
        <v>1.5614849300000007</v>
      </c>
      <c r="SP45" s="50">
        <v>41.117842059999994</v>
      </c>
      <c r="SQ45" s="50">
        <v>58.854881609999993</v>
      </c>
      <c r="SR45" s="50">
        <v>2.4165303900000019</v>
      </c>
      <c r="SS45" s="50">
        <v>61.271411999999991</v>
      </c>
      <c r="ST45" s="50">
        <f t="shared" si="55"/>
        <v>517.51353346999997</v>
      </c>
      <c r="SU45" s="50">
        <f t="shared" si="65"/>
        <v>17.685570890000005</v>
      </c>
      <c r="SV45" s="50">
        <f t="shared" si="56"/>
        <v>535.19910435999998</v>
      </c>
      <c r="SW45" s="50">
        <f t="shared" si="103"/>
        <v>517.51398199999994</v>
      </c>
      <c r="SX45" s="50">
        <v>17.685129</v>
      </c>
      <c r="SY45" s="50">
        <f>SY43-SY44</f>
        <v>535.1991109999999</v>
      </c>
      <c r="SZ45" s="50">
        <v>26.137487420000024</v>
      </c>
      <c r="TA45" s="50">
        <v>0.70885770999999986</v>
      </c>
      <c r="TB45" s="50">
        <v>26.846345130000017</v>
      </c>
      <c r="TC45" s="50">
        <v>40.079117859999975</v>
      </c>
      <c r="TD45" s="50">
        <v>1.5230994199999992</v>
      </c>
      <c r="TE45" s="50">
        <v>41.602217279999977</v>
      </c>
      <c r="TF45" s="50">
        <v>40.116609659999959</v>
      </c>
      <c r="TG45" s="50">
        <v>1.6638254999999997</v>
      </c>
      <c r="TH45" s="50">
        <v>41.780435159999961</v>
      </c>
      <c r="TI45" s="50">
        <v>43.567137999999957</v>
      </c>
      <c r="TJ45" s="50">
        <v>1.7933932099999996</v>
      </c>
      <c r="TK45" s="50">
        <v>45.360531209999955</v>
      </c>
      <c r="TL45" s="50">
        <v>41.395065459999962</v>
      </c>
      <c r="TM45" s="50">
        <v>1.7634701400000004</v>
      </c>
      <c r="TN45" s="50">
        <v>43.158535599999965</v>
      </c>
      <c r="TO45" s="50">
        <v>45.134234350000007</v>
      </c>
      <c r="TP45" s="50">
        <v>1.7816068600000006</v>
      </c>
      <c r="TQ45" s="50">
        <v>46.915841210000011</v>
      </c>
      <c r="TR45" s="50">
        <v>46.766723669999976</v>
      </c>
      <c r="TS45" s="50">
        <v>1.8710125499999994</v>
      </c>
      <c r="TT45" s="50">
        <v>48.637736219999972</v>
      </c>
      <c r="TU45" s="50">
        <v>48.191358119999983</v>
      </c>
      <c r="TV45" s="50">
        <v>1.9694358700000005</v>
      </c>
      <c r="TW45" s="50">
        <v>50.160793989999981</v>
      </c>
      <c r="TX45" s="50">
        <v>45.721682100000002</v>
      </c>
      <c r="TY45" s="50">
        <v>1.6381566000000001</v>
      </c>
      <c r="TZ45" s="50">
        <v>47.359838700000005</v>
      </c>
      <c r="UA45" s="50">
        <v>44.096518130000071</v>
      </c>
      <c r="UB45" s="50">
        <v>1.5900258699999994</v>
      </c>
      <c r="UC45" s="50">
        <v>45.686544000000069</v>
      </c>
      <c r="UD45" s="50">
        <v>41.33832151</v>
      </c>
      <c r="UE45" s="50">
        <v>1.6684922299999998</v>
      </c>
      <c r="UF45" s="50">
        <v>43.006813739999998</v>
      </c>
      <c r="UG45" s="50">
        <v>67.775178010000005</v>
      </c>
      <c r="UH45" s="50">
        <v>3.0081846899999984</v>
      </c>
      <c r="UI45" s="50">
        <v>70.783362699999998</v>
      </c>
      <c r="UJ45" s="50">
        <f t="shared" si="45"/>
        <v>530.31943428999989</v>
      </c>
      <c r="UK45" s="50">
        <f t="shared" si="15"/>
        <v>20.979560649999996</v>
      </c>
      <c r="UL45" s="50">
        <f t="shared" si="16"/>
        <v>551.29899493999994</v>
      </c>
      <c r="UM45" s="50">
        <v>27.023769179999995</v>
      </c>
      <c r="UN45" s="50">
        <v>0.41741876000000006</v>
      </c>
      <c r="UO45" s="50">
        <v>27.441187939999995</v>
      </c>
      <c r="UP45" s="50">
        <v>40.835976780000031</v>
      </c>
      <c r="UQ45" s="50">
        <v>1.6669099099999987</v>
      </c>
      <c r="UR45" s="50">
        <v>42.502886690000032</v>
      </c>
      <c r="US45" s="50">
        <v>40.576918959999979</v>
      </c>
      <c r="UT45" s="50">
        <v>1.9016338199999994</v>
      </c>
      <c r="UU45" s="50">
        <v>42.47855277999998</v>
      </c>
      <c r="UV45" s="50">
        <v>44.658658380000048</v>
      </c>
      <c r="UW45" s="50">
        <v>1.97723088</v>
      </c>
      <c r="UX45" s="50">
        <v>46.635889260000049</v>
      </c>
      <c r="UY45" s="50"/>
      <c r="UZ45" s="50"/>
      <c r="VA45" s="50"/>
      <c r="VB45" s="50"/>
      <c r="VC45" s="50"/>
      <c r="VD45" s="50"/>
      <c r="VE45" s="50"/>
      <c r="VF45" s="50"/>
      <c r="VG45" s="50"/>
      <c r="VH45" s="50"/>
      <c r="VI45" s="50"/>
      <c r="VJ45" s="50"/>
      <c r="VK45" s="50"/>
      <c r="VL45" s="50"/>
      <c r="VM45" s="50"/>
      <c r="VN45" s="50"/>
      <c r="VO45" s="50"/>
      <c r="VP45" s="50"/>
      <c r="VQ45" s="50"/>
      <c r="VR45" s="50"/>
      <c r="VS45" s="50"/>
      <c r="VT45" s="50"/>
      <c r="VU45" s="50"/>
      <c r="VV45" s="50"/>
      <c r="VW45" s="276">
        <f t="shared" si="57"/>
        <v>149.900353</v>
      </c>
      <c r="VX45" s="292">
        <f t="shared" si="58"/>
        <v>5.6891759999999998</v>
      </c>
      <c r="VY45" s="292">
        <f t="shared" si="59"/>
        <v>155.589529</v>
      </c>
      <c r="VZ45" s="276">
        <f t="shared" si="60"/>
        <v>153.09532300000001</v>
      </c>
      <c r="WA45" s="292">
        <f t="shared" si="61"/>
        <v>5.9631930000000004</v>
      </c>
      <c r="WB45" s="292">
        <f>ROUND(SUM(UO45+UR45+UU45+UX45),6)</f>
        <v>159.05851699999999</v>
      </c>
      <c r="WC45" s="277">
        <f t="shared" si="112"/>
        <v>3.468987999999996</v>
      </c>
      <c r="WD45" s="277">
        <f t="shared" si="104"/>
        <v>2.2295767731258991</v>
      </c>
    </row>
    <row r="46" spans="1:602" s="12" customFormat="1" ht="20.5">
      <c r="A46" s="46" t="s">
        <v>127</v>
      </c>
      <c r="B46" s="12">
        <v>2000</v>
      </c>
      <c r="C46" s="46" t="s">
        <v>128</v>
      </c>
      <c r="D46" s="45">
        <v>660.33786375717841</v>
      </c>
      <c r="E46" s="42">
        <v>716.81161461801582</v>
      </c>
      <c r="F46" s="42">
        <v>499.70510839437452</v>
      </c>
      <c r="G46" s="42">
        <v>512.53814577037133</v>
      </c>
      <c r="H46" s="42">
        <v>35.263132822237779</v>
      </c>
      <c r="I46" s="42">
        <v>40.627730234887679</v>
      </c>
      <c r="J46" s="42">
        <v>39.58114176925573</v>
      </c>
      <c r="K46" s="42">
        <v>37.897491021678881</v>
      </c>
      <c r="L46" s="42">
        <v>34.523711646490341</v>
      </c>
      <c r="M46" s="42">
        <v>39.183783814548576</v>
      </c>
      <c r="N46" s="42">
        <v>37.986077199332961</v>
      </c>
      <c r="O46" s="42">
        <v>37.494547555221658</v>
      </c>
      <c r="P46" s="42">
        <v>42.597123806921992</v>
      </c>
      <c r="Q46" s="42">
        <v>43.854449149407237</v>
      </c>
      <c r="R46" s="42">
        <v>51.451942348079982</v>
      </c>
      <c r="S46" s="42">
        <v>89.107564470321748</v>
      </c>
      <c r="T46" s="42">
        <v>444.06950121228692</v>
      </c>
      <c r="U46" s="42">
        <v>85.499194626097704</v>
      </c>
      <c r="V46" s="42">
        <v>529.56869583838466</v>
      </c>
      <c r="W46" s="42">
        <v>529.5687958520441</v>
      </c>
      <c r="X46" s="42">
        <v>32.755998827553626</v>
      </c>
      <c r="Y46" s="42">
        <v>40.176774748009407</v>
      </c>
      <c r="Z46" s="42">
        <v>40.669078747417494</v>
      </c>
      <c r="AA46" s="42">
        <v>38.672443540446558</v>
      </c>
      <c r="AB46" s="42">
        <v>35.926420082981885</v>
      </c>
      <c r="AC46" s="42">
        <v>37.233977040540466</v>
      </c>
      <c r="AD46" s="42">
        <v>36.671753433389682</v>
      </c>
      <c r="AE46" s="42">
        <v>38.547688971605176</v>
      </c>
      <c r="AF46" s="42">
        <v>37.11251216555398</v>
      </c>
      <c r="AG46" s="42">
        <v>42.698541940569491</v>
      </c>
      <c r="AH46" s="42">
        <v>50.217724998719419</v>
      </c>
      <c r="AI46" s="42">
        <v>73.061032663445289</v>
      </c>
      <c r="AJ46" s="42">
        <v>462.62060427942902</v>
      </c>
      <c r="AK46" s="42">
        <v>41.123342980404203</v>
      </c>
      <c r="AL46" s="42">
        <v>503.74394716023249</v>
      </c>
      <c r="AM46" s="42">
        <v>503.71212599814459</v>
      </c>
      <c r="AN46" s="42">
        <v>37.99842345803382</v>
      </c>
      <c r="AO46" s="42">
        <v>37.74539416394898</v>
      </c>
      <c r="AP46" s="42">
        <v>40.725322365837421</v>
      </c>
      <c r="AQ46" s="42">
        <v>38.469694495193536</v>
      </c>
      <c r="AR46" s="42">
        <v>38.911918415376121</v>
      </c>
      <c r="AS46" s="42">
        <v>48.543563781651777</v>
      </c>
      <c r="AT46" s="42">
        <v>39.593255018468881</v>
      </c>
      <c r="AU46" s="42">
        <v>43.799987919818328</v>
      </c>
      <c r="AV46" s="42">
        <v>44.943432308296487</v>
      </c>
      <c r="AW46" s="42">
        <v>40.987167119139905</v>
      </c>
      <c r="AX46" s="42">
        <v>45.648145144307662</v>
      </c>
      <c r="AY46" s="42">
        <v>66.745085400766072</v>
      </c>
      <c r="AZ46" s="42">
        <v>482.26509750940522</v>
      </c>
      <c r="BA46" s="42">
        <v>41.846292081433752</v>
      </c>
      <c r="BB46" s="42">
        <v>524.11138959083894</v>
      </c>
      <c r="BC46" s="42">
        <f t="shared" si="21"/>
        <v>482.4050418039738</v>
      </c>
      <c r="BD46" s="42">
        <v>41.846169059937054</v>
      </c>
      <c r="BE46" s="42">
        <v>524.25121086391084</v>
      </c>
      <c r="BF46" s="44">
        <v>37.564244979999998</v>
      </c>
      <c r="BG46" s="44">
        <v>2.2133954299999998</v>
      </c>
      <c r="BH46" s="44">
        <f>BF46+BG46</f>
        <v>39.777640409999997</v>
      </c>
      <c r="BI46" s="44">
        <v>37.166350399999999</v>
      </c>
      <c r="BJ46" s="44">
        <v>2.61666921</v>
      </c>
      <c r="BK46" s="44">
        <f>BI46+BJ46</f>
        <v>39.783019609999997</v>
      </c>
      <c r="BL46" s="44">
        <v>34.862866689999997</v>
      </c>
      <c r="BM46" s="44">
        <v>3.2935386800000002</v>
      </c>
      <c r="BN46" s="44">
        <f>BL46+BM46</f>
        <v>38.156405369999995</v>
      </c>
      <c r="BO46" s="44">
        <v>38.388964649999998</v>
      </c>
      <c r="BP46" s="44">
        <v>2.4828369300000004</v>
      </c>
      <c r="BQ46" s="44">
        <f>BO46+BP46</f>
        <v>40.871801579999996</v>
      </c>
      <c r="BR46" s="44">
        <v>37.775318609999999</v>
      </c>
      <c r="BS46" s="44">
        <v>2.26553008</v>
      </c>
      <c r="BT46" s="44">
        <f>BR46+BS46</f>
        <v>40.040848689999997</v>
      </c>
      <c r="BU46" s="44">
        <v>48.153519500000002</v>
      </c>
      <c r="BV46" s="44">
        <v>3.8399101200000003</v>
      </c>
      <c r="BW46" s="44">
        <f>BU46+BV46</f>
        <v>51.993429620000001</v>
      </c>
      <c r="BX46" s="44">
        <v>41.102176429999965</v>
      </c>
      <c r="BY46" s="44">
        <v>3.1072490600000009</v>
      </c>
      <c r="BZ46" s="44">
        <f>BX46+BY46</f>
        <v>44.209425489999965</v>
      </c>
      <c r="CA46" s="44">
        <v>37.063269220000002</v>
      </c>
      <c r="CB46" s="44">
        <v>2.52686484</v>
      </c>
      <c r="CC46" s="44">
        <f>CA46+CB46</f>
        <v>39.590134060000004</v>
      </c>
      <c r="CD46" s="44">
        <v>34.859553800000022</v>
      </c>
      <c r="CE46" s="44">
        <v>3.3398498900000004</v>
      </c>
      <c r="CF46" s="44">
        <f>CD46+CE46</f>
        <v>38.199403690000025</v>
      </c>
      <c r="CG46" s="44">
        <v>42.618852010000012</v>
      </c>
      <c r="CH46" s="44">
        <v>3.3893734600000034</v>
      </c>
      <c r="CI46" s="44">
        <f>CG46+CH46</f>
        <v>46.008225470000014</v>
      </c>
      <c r="CJ46" s="44">
        <v>41.980368280000043</v>
      </c>
      <c r="CK46" s="44">
        <v>3.3788104199999984</v>
      </c>
      <c r="CL46" s="44">
        <f>CJ46+CK46</f>
        <v>45.359178700000044</v>
      </c>
      <c r="CM46" s="44">
        <v>77.574255910000062</v>
      </c>
      <c r="CN46" s="44">
        <v>7.0674627700000023</v>
      </c>
      <c r="CO46" s="44">
        <f>CM46+CN46</f>
        <v>84.641718680000068</v>
      </c>
      <c r="CP46" s="50">
        <f t="shared" si="24"/>
        <v>509.10974048000014</v>
      </c>
      <c r="CQ46" s="50">
        <f t="shared" si="25"/>
        <v>39.52149089000001</v>
      </c>
      <c r="CR46" s="50">
        <f t="shared" si="26"/>
        <v>548.63123137000014</v>
      </c>
      <c r="CS46" s="42">
        <f t="shared" si="93"/>
        <v>509.08204599999999</v>
      </c>
      <c r="CT46" s="42">
        <v>39.522283000000002</v>
      </c>
      <c r="CU46" s="42">
        <v>548.60432900000001</v>
      </c>
      <c r="CV46" s="44">
        <v>42.002329149999923</v>
      </c>
      <c r="CW46" s="44">
        <v>1.3215815699999998</v>
      </c>
      <c r="CX46" s="44">
        <f>CV46+CW46</f>
        <v>43.323910719999922</v>
      </c>
      <c r="CY46" s="44">
        <v>43.738427010000038</v>
      </c>
      <c r="CZ46" s="44">
        <v>2.4178694700000003</v>
      </c>
      <c r="DA46" s="44">
        <v>46.156296480000037</v>
      </c>
      <c r="DB46" s="44">
        <v>42.346689330000011</v>
      </c>
      <c r="DC46" s="44">
        <v>3.8072686300000007</v>
      </c>
      <c r="DD46" s="44">
        <v>46.153957960000014</v>
      </c>
      <c r="DE46" s="44">
        <v>38.768357189999925</v>
      </c>
      <c r="DF46" s="44">
        <v>3.1059096400000001</v>
      </c>
      <c r="DG46" s="44">
        <v>41.874266829999925</v>
      </c>
      <c r="DH46" s="44">
        <v>35.744962129999941</v>
      </c>
      <c r="DI46" s="44">
        <v>5.3701413100000002</v>
      </c>
      <c r="DJ46" s="44">
        <v>41.115103439999942</v>
      </c>
      <c r="DK46" s="44">
        <v>52.762323410000057</v>
      </c>
      <c r="DL46" s="44">
        <v>3.1225549500000014</v>
      </c>
      <c r="DM46" s="44">
        <v>55.884878360000059</v>
      </c>
      <c r="DN46" s="44">
        <v>41.688879669999913</v>
      </c>
      <c r="DO46" s="44">
        <v>3.5489308799999959</v>
      </c>
      <c r="DP46" s="44">
        <v>45.237810549999907</v>
      </c>
      <c r="DQ46" s="44">
        <v>36.972241490000009</v>
      </c>
      <c r="DR46" s="44">
        <v>2.1143465999999993</v>
      </c>
      <c r="DS46" s="44">
        <v>39.086588090000006</v>
      </c>
      <c r="DT46" s="44">
        <v>39.967052440000032</v>
      </c>
      <c r="DU46" s="44">
        <v>4.2100920199999985</v>
      </c>
      <c r="DV46" s="44">
        <v>44.177144460000029</v>
      </c>
      <c r="DW46" s="44">
        <v>37.045411600000094</v>
      </c>
      <c r="DX46" s="44">
        <v>3.7688103500000047</v>
      </c>
      <c r="DY46" s="44">
        <v>40.814221950000096</v>
      </c>
      <c r="DZ46" s="44">
        <v>38.32384595000002</v>
      </c>
      <c r="EA46" s="44">
        <v>3.16250141</v>
      </c>
      <c r="EB46" s="44">
        <v>41.486347360000018</v>
      </c>
      <c r="EC46" s="44">
        <v>85.633476680000101</v>
      </c>
      <c r="ED46" s="44">
        <v>10.749596699999985</v>
      </c>
      <c r="EE46" s="44">
        <v>96.383073380000084</v>
      </c>
      <c r="EF46" s="50">
        <f t="shared" si="27"/>
        <v>534.99399604999996</v>
      </c>
      <c r="EG46" s="50">
        <f t="shared" si="28"/>
        <v>46.699603529999983</v>
      </c>
      <c r="EH46" s="50">
        <f t="shared" si="29"/>
        <v>581.69359958000007</v>
      </c>
      <c r="EI46" s="50">
        <f t="shared" si="94"/>
        <v>534.97407999999996</v>
      </c>
      <c r="EJ46" s="50">
        <v>46.711927000000003</v>
      </c>
      <c r="EK46" s="50">
        <v>581.68600700000002</v>
      </c>
      <c r="EL46" s="50">
        <v>38.041422939999954</v>
      </c>
      <c r="EM46" s="50">
        <v>1.3497047099999997</v>
      </c>
      <c r="EN46" s="50">
        <v>39.391127649999952</v>
      </c>
      <c r="EO46" s="50">
        <v>39.957259800000031</v>
      </c>
      <c r="EP46" s="50">
        <v>2.2654105600000007</v>
      </c>
      <c r="EQ46" s="50">
        <v>42.222670360000031</v>
      </c>
      <c r="ER46" s="50">
        <v>46.974195689999945</v>
      </c>
      <c r="ES46" s="50">
        <v>2.31207911</v>
      </c>
      <c r="ET46" s="50">
        <v>49.286274799999944</v>
      </c>
      <c r="EU46" s="50">
        <v>38.688250920000037</v>
      </c>
      <c r="EV46" s="50">
        <v>2.6540739799999988</v>
      </c>
      <c r="EW46" s="50">
        <v>41.342324900000037</v>
      </c>
      <c r="EX46" s="50">
        <v>37.402898100000009</v>
      </c>
      <c r="EY46" s="50">
        <v>2.7955731499999992</v>
      </c>
      <c r="EZ46" s="50">
        <v>40.198471250000011</v>
      </c>
      <c r="FA46" s="50">
        <v>43.412613829999948</v>
      </c>
      <c r="FB46" s="50">
        <v>4.3436639000000028</v>
      </c>
      <c r="FC46" s="50">
        <v>47.756277729999951</v>
      </c>
      <c r="FD46" s="50">
        <v>45.06444673999998</v>
      </c>
      <c r="FE46" s="50">
        <v>2.2232643400000001</v>
      </c>
      <c r="FF46" s="50">
        <v>47.28771107999998</v>
      </c>
      <c r="FG46" s="50">
        <v>41.649812089999983</v>
      </c>
      <c r="FH46" s="50">
        <v>1.7311880100000003</v>
      </c>
      <c r="FI46" s="50">
        <v>43.38100009999998</v>
      </c>
      <c r="FJ46" s="50">
        <v>39.397271989999972</v>
      </c>
      <c r="FK46" s="50">
        <v>2.7748731500000008</v>
      </c>
      <c r="FL46" s="50">
        <v>42.172145139999969</v>
      </c>
      <c r="FM46" s="50">
        <v>53.987012800000009</v>
      </c>
      <c r="FN46" s="50">
        <v>2.8593113399999988</v>
      </c>
      <c r="FO46" s="50">
        <v>56.846324140000007</v>
      </c>
      <c r="FP46" s="50">
        <v>54.249398569999897</v>
      </c>
      <c r="FQ46" s="50">
        <v>2.9315022300000013</v>
      </c>
      <c r="FR46" s="50">
        <v>57.180900799999897</v>
      </c>
      <c r="FS46" s="50">
        <v>85.257849030000145</v>
      </c>
      <c r="FT46" s="50">
        <v>7.4542558900000024</v>
      </c>
      <c r="FU46" s="50">
        <v>92.712104920000144</v>
      </c>
      <c r="FV46" s="50">
        <f t="shared" si="30"/>
        <v>564.08243249999987</v>
      </c>
      <c r="FW46" s="50">
        <f t="shared" si="31"/>
        <v>35.694900369999999</v>
      </c>
      <c r="FX46" s="50">
        <f t="shared" si="32"/>
        <v>599.7773328699999</v>
      </c>
      <c r="FY46" s="50">
        <f t="shared" si="95"/>
        <v>563.71246099999996</v>
      </c>
      <c r="FZ46" s="50">
        <v>35.697251000000001</v>
      </c>
      <c r="GA46" s="50">
        <v>599.40971200000001</v>
      </c>
      <c r="GB46" s="50">
        <v>46.47989462000001</v>
      </c>
      <c r="GC46" s="50">
        <v>3.2725335399999969</v>
      </c>
      <c r="GD46" s="50">
        <v>49.752428160000008</v>
      </c>
      <c r="GE46" s="50">
        <v>47.443302139999979</v>
      </c>
      <c r="GF46" s="50">
        <v>2.5820260300000015</v>
      </c>
      <c r="GG46" s="50">
        <v>50.02532816999998</v>
      </c>
      <c r="GH46" s="50">
        <v>39.35447451000001</v>
      </c>
      <c r="GI46" s="50">
        <v>4.0683918700000037</v>
      </c>
      <c r="GJ46" s="50">
        <v>43.422866380000016</v>
      </c>
      <c r="GK46" s="50">
        <v>53.070180140000005</v>
      </c>
      <c r="GL46" s="50">
        <v>3.6431724100000036</v>
      </c>
      <c r="GM46" s="50">
        <v>56.71335255000001</v>
      </c>
      <c r="GN46" s="50">
        <v>40.990218180000006</v>
      </c>
      <c r="GO46" s="50">
        <v>4.7087378900000001</v>
      </c>
      <c r="GP46" s="50">
        <v>45.698956070000008</v>
      </c>
      <c r="GQ46" s="50">
        <v>43.793711779999981</v>
      </c>
      <c r="GR46" s="50">
        <v>4.6814583300000043</v>
      </c>
      <c r="GS46" s="50">
        <v>48.475170109999986</v>
      </c>
      <c r="GT46" s="50">
        <v>44.788867290000084</v>
      </c>
      <c r="GU46" s="50">
        <v>3.9364172299999951</v>
      </c>
      <c r="GV46" s="50">
        <v>48.725284520000081</v>
      </c>
      <c r="GW46" s="50">
        <v>41.696165930000014</v>
      </c>
      <c r="GX46" s="50">
        <v>3.8677113700000008</v>
      </c>
      <c r="GY46" s="50">
        <v>45.563877300000016</v>
      </c>
      <c r="GZ46" s="50">
        <v>42.496043240000091</v>
      </c>
      <c r="HA46" s="50">
        <v>5.5958573299999967</v>
      </c>
      <c r="HB46" s="50">
        <v>48.091900570000085</v>
      </c>
      <c r="HC46" s="50">
        <v>47.962165029999937</v>
      </c>
      <c r="HD46" s="50">
        <v>5.7454850099999959</v>
      </c>
      <c r="HE46" s="50">
        <v>53.707650039999933</v>
      </c>
      <c r="HF46" s="50">
        <v>53.62091656000004</v>
      </c>
      <c r="HG46" s="50">
        <v>5.2095066500000042</v>
      </c>
      <c r="HH46" s="50">
        <v>58.830423210000042</v>
      </c>
      <c r="HI46" s="50">
        <v>104.57985185000008</v>
      </c>
      <c r="HJ46" s="50">
        <v>8.809061039999996</v>
      </c>
      <c r="HK46" s="50">
        <v>113.38891289000009</v>
      </c>
      <c r="HL46" s="50">
        <f t="shared" si="33"/>
        <v>606.27579127000024</v>
      </c>
      <c r="HM46" s="50">
        <f t="shared" si="34"/>
        <v>56.120358699999997</v>
      </c>
      <c r="HN46" s="50">
        <f t="shared" si="35"/>
        <v>662.39614997000012</v>
      </c>
      <c r="HO46" s="50">
        <f t="shared" si="96"/>
        <v>606.60054500000001</v>
      </c>
      <c r="HP46" s="50">
        <v>56.118561999999997</v>
      </c>
      <c r="HQ46" s="50">
        <v>662.71910700000001</v>
      </c>
      <c r="HR46" s="50">
        <v>52.092485040000128</v>
      </c>
      <c r="HS46" s="50">
        <v>3.8907163500000026</v>
      </c>
      <c r="HT46" s="50">
        <v>55.983201390000083</v>
      </c>
      <c r="HU46" s="50">
        <v>42.973615639999998</v>
      </c>
      <c r="HV46" s="50">
        <v>3.7319999099999985</v>
      </c>
      <c r="HW46" s="50">
        <v>46.705615549999983</v>
      </c>
      <c r="HX46" s="50">
        <v>41.87090170000009</v>
      </c>
      <c r="HY46" s="50">
        <v>7.681366040000003</v>
      </c>
      <c r="HZ46" s="50">
        <v>49.552267740000111</v>
      </c>
      <c r="IA46" s="50">
        <v>51.823048100000065</v>
      </c>
      <c r="IB46" s="50">
        <v>4.1006390600000007</v>
      </c>
      <c r="IC46" s="50">
        <v>55.923687160000107</v>
      </c>
      <c r="ID46" s="50">
        <v>52.416434340000045</v>
      </c>
      <c r="IE46" s="50">
        <v>5.881427999999997</v>
      </c>
      <c r="IF46" s="50">
        <v>58.29786233999998</v>
      </c>
      <c r="IG46" s="50">
        <v>60.376903780000049</v>
      </c>
      <c r="IH46" s="50">
        <v>7.0620645199999945</v>
      </c>
      <c r="II46" s="50">
        <v>67.438968300000013</v>
      </c>
      <c r="IJ46" s="50">
        <v>56.800296020000125</v>
      </c>
      <c r="IK46" s="50">
        <v>4.8700285100000009</v>
      </c>
      <c r="IL46" s="50">
        <v>61.670324530000187</v>
      </c>
      <c r="IM46" s="50">
        <v>48.302781730000127</v>
      </c>
      <c r="IN46" s="50">
        <v>4.1731632599999955</v>
      </c>
      <c r="IO46" s="50">
        <v>52.475944990000073</v>
      </c>
      <c r="IP46" s="50">
        <v>57.272722820000098</v>
      </c>
      <c r="IQ46" s="50">
        <v>7.622012879999998</v>
      </c>
      <c r="IR46" s="50">
        <v>64.894735700000027</v>
      </c>
      <c r="IS46" s="50">
        <v>58.775234330000089</v>
      </c>
      <c r="IT46" s="50">
        <v>6.4335217899999932</v>
      </c>
      <c r="IU46" s="50">
        <v>65.208756120000146</v>
      </c>
      <c r="IV46" s="50">
        <v>101.75635862000033</v>
      </c>
      <c r="IW46" s="50">
        <v>7.3647396000000001</v>
      </c>
      <c r="IX46" s="50">
        <v>109.12109822000022</v>
      </c>
      <c r="IY46" s="50">
        <v>133.27382744000019</v>
      </c>
      <c r="IZ46" s="50">
        <v>9.9851494900000066</v>
      </c>
      <c r="JA46" s="50">
        <v>143.25897693000039</v>
      </c>
      <c r="JB46" s="50">
        <f t="shared" si="36"/>
        <v>757.73460956000133</v>
      </c>
      <c r="JC46" s="50">
        <f t="shared" si="37"/>
        <v>72.796829410000001</v>
      </c>
      <c r="JD46" s="50">
        <f t="shared" si="38"/>
        <v>830.5314389700012</v>
      </c>
      <c r="JE46" s="50">
        <f t="shared" si="97"/>
        <v>757.72403000000008</v>
      </c>
      <c r="JF46" s="50">
        <v>72.784242000000006</v>
      </c>
      <c r="JG46" s="50">
        <v>830.50827200000003</v>
      </c>
      <c r="JH46" s="50">
        <v>49.604256079999985</v>
      </c>
      <c r="JI46" s="50">
        <v>4.5775438399999997</v>
      </c>
      <c r="JJ46" s="50">
        <v>54.181799919999932</v>
      </c>
      <c r="JK46" s="50">
        <v>51.840500139999911</v>
      </c>
      <c r="JL46" s="50">
        <v>3.6501134000000004</v>
      </c>
      <c r="JM46" s="50">
        <v>55.490613540000012</v>
      </c>
      <c r="JN46" s="50">
        <v>48.139137149999954</v>
      </c>
      <c r="JO46" s="50">
        <v>4.1360643300000008</v>
      </c>
      <c r="JP46" s="50">
        <v>52.275201479999936</v>
      </c>
      <c r="JQ46" s="50">
        <v>44.200293109999912</v>
      </c>
      <c r="JR46" s="50">
        <v>7.5637133899999975</v>
      </c>
      <c r="JS46" s="50">
        <v>51.764006499999915</v>
      </c>
      <c r="JT46" s="50">
        <v>50.61294510999992</v>
      </c>
      <c r="JU46" s="50">
        <v>4.8682002199999985</v>
      </c>
      <c r="JV46" s="50">
        <v>55.481145329999961</v>
      </c>
      <c r="JW46" s="50">
        <v>48.198759600000031</v>
      </c>
      <c r="JX46" s="50">
        <v>5.2272413000000029</v>
      </c>
      <c r="JY46" s="50">
        <v>53.42600090000002</v>
      </c>
      <c r="JZ46" s="50">
        <v>52.628700510000193</v>
      </c>
      <c r="KA46" s="50">
        <v>4.3134552399999997</v>
      </c>
      <c r="KB46" s="50">
        <v>56.942155750000147</v>
      </c>
      <c r="KC46" s="50">
        <v>52.456896640000039</v>
      </c>
      <c r="KD46" s="50">
        <v>5.040517920000001</v>
      </c>
      <c r="KE46" s="50">
        <v>57.49741456000006</v>
      </c>
      <c r="KF46" s="50">
        <v>44.596843190000016</v>
      </c>
      <c r="KG46" s="50">
        <v>6.3213282199999972</v>
      </c>
      <c r="KH46" s="50">
        <v>50.918171409999992</v>
      </c>
      <c r="KI46" s="50">
        <v>65.040505900000156</v>
      </c>
      <c r="KJ46" s="50">
        <v>5.5351628999999951</v>
      </c>
      <c r="KK46" s="50">
        <v>70.575668800000173</v>
      </c>
      <c r="KL46" s="50">
        <v>73.687031389999902</v>
      </c>
      <c r="KM46" s="50">
        <v>5.5899445599999984</v>
      </c>
      <c r="KN46" s="50">
        <v>79.276975949999979</v>
      </c>
      <c r="KO46" s="50">
        <v>125.8016512099999</v>
      </c>
      <c r="KP46" s="50">
        <v>6.6728080400000032</v>
      </c>
      <c r="KQ46" s="50">
        <v>132.47445924999971</v>
      </c>
      <c r="KR46" s="50">
        <f t="shared" si="48"/>
        <v>706.80752002999986</v>
      </c>
      <c r="KS46" s="50">
        <f t="shared" si="39"/>
        <v>63.496093359999989</v>
      </c>
      <c r="KT46" s="50">
        <f t="shared" si="49"/>
        <v>770.30361338999978</v>
      </c>
      <c r="KU46" s="50">
        <f t="shared" si="98"/>
        <v>706.11407199999996</v>
      </c>
      <c r="KV46" s="50">
        <v>63.496073000000003</v>
      </c>
      <c r="KW46" s="50">
        <v>769.61014499999999</v>
      </c>
      <c r="KX46" s="50">
        <v>50.396249809999958</v>
      </c>
      <c r="KY46" s="50">
        <v>4.9680673299999967</v>
      </c>
      <c r="KZ46" s="50">
        <v>55.364317139999969</v>
      </c>
      <c r="LA46" s="50">
        <v>44.673745620000048</v>
      </c>
      <c r="LB46" s="50">
        <v>4.3849497600000031</v>
      </c>
      <c r="LC46" s="50">
        <v>49.05869538000006</v>
      </c>
      <c r="LD46" s="50">
        <v>47.751405740000031</v>
      </c>
      <c r="LE46" s="50">
        <v>6.3974325099999927</v>
      </c>
      <c r="LF46" s="87">
        <v>54.148838249999919</v>
      </c>
      <c r="LG46" s="50">
        <v>48.85849002000004</v>
      </c>
      <c r="LH46" s="50">
        <v>3.3807092099999942</v>
      </c>
      <c r="LI46" s="175">
        <v>52.239199230000075</v>
      </c>
      <c r="LJ46" s="174">
        <v>49.29215273000009</v>
      </c>
      <c r="LK46" s="50">
        <v>3.3514684700000021</v>
      </c>
      <c r="LL46" s="174">
        <v>52.643621200000034</v>
      </c>
      <c r="LM46" s="50">
        <v>58.945285299999973</v>
      </c>
      <c r="LN46" s="50">
        <v>4.3760953300000036</v>
      </c>
      <c r="LO46" s="50">
        <v>63.32138063</v>
      </c>
      <c r="LP46" s="50">
        <v>82.019040050000157</v>
      </c>
      <c r="LQ46" s="44">
        <v>4.2950521000000039</v>
      </c>
      <c r="LR46" s="44">
        <v>86.314092150000135</v>
      </c>
      <c r="LS46" s="50">
        <v>51.55037915999992</v>
      </c>
      <c r="LT46" s="50">
        <v>4.2069018600000012</v>
      </c>
      <c r="LU46" s="52">
        <v>55.757281019999901</v>
      </c>
      <c r="LV46" s="44">
        <v>53.302851190000034</v>
      </c>
      <c r="LW46" s="44">
        <v>3.2997600700000027</v>
      </c>
      <c r="LX46" s="44">
        <v>56.602611260000025</v>
      </c>
      <c r="LY46" s="44">
        <v>63.42051327000005</v>
      </c>
      <c r="LZ46" s="44">
        <v>4.1031646800000017</v>
      </c>
      <c r="MA46" s="44">
        <v>67.523677950000049</v>
      </c>
      <c r="MB46" s="44">
        <v>63.788563069999867</v>
      </c>
      <c r="MC46" s="44">
        <v>4.4674471000000047</v>
      </c>
      <c r="MD46" s="44">
        <v>68.256010169999811</v>
      </c>
      <c r="ME46" s="44">
        <v>129.70061064000004</v>
      </c>
      <c r="MF46" s="44">
        <v>6.7806032399999987</v>
      </c>
      <c r="MG46" s="44">
        <v>136.48121388000004</v>
      </c>
      <c r="MH46" s="50">
        <f t="shared" si="66"/>
        <v>743.69928660000016</v>
      </c>
      <c r="MI46" s="50">
        <f t="shared" si="50"/>
        <v>54.011651660000005</v>
      </c>
      <c r="MJ46" s="50">
        <f t="shared" si="51"/>
        <v>797.71093826000015</v>
      </c>
      <c r="MK46" s="50">
        <f t="shared" si="99"/>
        <v>742.87637300000006</v>
      </c>
      <c r="ML46" s="50">
        <v>54.012129000000002</v>
      </c>
      <c r="MM46" s="50">
        <v>796.88850200000002</v>
      </c>
      <c r="MN46" s="44">
        <v>43.082572349999971</v>
      </c>
      <c r="MO46" s="44">
        <v>2.3391683299999997</v>
      </c>
      <c r="MP46" s="44">
        <v>45.421740679999964</v>
      </c>
      <c r="MQ46" s="44">
        <v>48.596571859999969</v>
      </c>
      <c r="MR46" s="44">
        <v>3.5162528100000001</v>
      </c>
      <c r="MS46" s="44">
        <v>52.112824669999974</v>
      </c>
      <c r="MT46" s="50">
        <v>54.830840190000103</v>
      </c>
      <c r="MU46" s="50">
        <v>3.5908628100000008</v>
      </c>
      <c r="MV46" s="50">
        <v>58.421703000000051</v>
      </c>
      <c r="MW46" s="44">
        <v>54.831101839999889</v>
      </c>
      <c r="MX46" s="44">
        <v>7.1603019600000009</v>
      </c>
      <c r="MY46" s="44">
        <v>61.991403799999937</v>
      </c>
      <c r="MZ46" s="44">
        <v>51.710301060000042</v>
      </c>
      <c r="NA46" s="44">
        <v>4.526748590000004</v>
      </c>
      <c r="NB46" s="44">
        <v>56.237049650000081</v>
      </c>
      <c r="NC46" s="44">
        <v>68.040586169999841</v>
      </c>
      <c r="ND46" s="44">
        <v>5.602371109999992</v>
      </c>
      <c r="NE46" s="44">
        <v>73.642957279999706</v>
      </c>
      <c r="NF46" s="44">
        <v>60.872353540000013</v>
      </c>
      <c r="NG46" s="44">
        <v>4.6541310800000009</v>
      </c>
      <c r="NH46" s="44">
        <v>65.52648462000009</v>
      </c>
      <c r="NI46" s="44">
        <v>52.94658787000018</v>
      </c>
      <c r="NJ46" s="44">
        <v>3.6922696299999971</v>
      </c>
      <c r="NK46" s="44">
        <v>56.638857500000228</v>
      </c>
      <c r="NL46" s="44">
        <v>68.53745481</v>
      </c>
      <c r="NM46" s="44">
        <v>5.4330767600000032</v>
      </c>
      <c r="NN46" s="44">
        <v>73.97053156999992</v>
      </c>
      <c r="NO46" s="44">
        <v>56.098508310000085</v>
      </c>
      <c r="NP46" s="44">
        <v>4.7193770399999959</v>
      </c>
      <c r="NQ46" s="44">
        <v>60.817885350000083</v>
      </c>
      <c r="NR46" s="44">
        <v>79.582545329999888</v>
      </c>
      <c r="NS46" s="44">
        <v>3.9101608199999998</v>
      </c>
      <c r="NT46" s="44">
        <v>83.492706149999677</v>
      </c>
      <c r="NU46" s="44">
        <v>150.7076755600003</v>
      </c>
      <c r="NV46" s="44">
        <v>10.292023439999999</v>
      </c>
      <c r="NW46" s="44">
        <v>160.99969900000056</v>
      </c>
      <c r="NX46" s="50">
        <f t="shared" ref="NX46:NX73" si="117">MN46+MQ46+MT46+MW46+MZ46+NC46+NF46+NI46+NL46+NO46+NR46+NU46</f>
        <v>789.83709889000033</v>
      </c>
      <c r="NY46" s="50">
        <f t="shared" si="40"/>
        <v>59.436744380000007</v>
      </c>
      <c r="NZ46" s="50">
        <f t="shared" si="41"/>
        <v>849.27384327000027</v>
      </c>
      <c r="OA46" s="50">
        <f t="shared" si="100"/>
        <v>789.16601700000001</v>
      </c>
      <c r="OB46" s="50">
        <v>59.436717999999999</v>
      </c>
      <c r="OC46" s="50">
        <v>848.60273500000005</v>
      </c>
      <c r="OD46" s="44">
        <v>66.501022850000041</v>
      </c>
      <c r="OE46" s="44">
        <v>1.8009860599999996</v>
      </c>
      <c r="OF46" s="44">
        <v>68.30200891000014</v>
      </c>
      <c r="OG46" s="50">
        <v>64.497743510000021</v>
      </c>
      <c r="OH46" s="44">
        <v>4.1032593600000018</v>
      </c>
      <c r="OI46" s="44">
        <v>68.601002870000016</v>
      </c>
      <c r="OJ46" s="44">
        <f t="shared" si="107"/>
        <v>67.21606030000008</v>
      </c>
      <c r="OK46" s="44">
        <v>6.2915096900000025</v>
      </c>
      <c r="OL46" s="44">
        <v>73.507569990000079</v>
      </c>
      <c r="OM46" s="44">
        <v>60.922636910000094</v>
      </c>
      <c r="ON46" s="44">
        <v>8.8786299500000148</v>
      </c>
      <c r="OO46" s="44">
        <v>69.801266860000069</v>
      </c>
      <c r="OP46" s="44">
        <v>71.975290529999981</v>
      </c>
      <c r="OQ46" s="44">
        <v>7.6568268199999965</v>
      </c>
      <c r="OR46" s="44">
        <v>79.632117350000001</v>
      </c>
      <c r="OS46" s="44">
        <v>68.525695630000001</v>
      </c>
      <c r="OT46" s="44">
        <v>6.5336913200000017</v>
      </c>
      <c r="OU46" s="44">
        <v>75.059386949999961</v>
      </c>
      <c r="OV46" s="44">
        <v>69.371244030000085</v>
      </c>
      <c r="OW46" s="44">
        <v>5.7966242100000027</v>
      </c>
      <c r="OX46" s="44">
        <v>75.167868240000033</v>
      </c>
      <c r="OY46" s="95">
        <v>62.53422551999995</v>
      </c>
      <c r="OZ46" s="95">
        <v>4.6540613499999983</v>
      </c>
      <c r="PA46" s="95">
        <v>67.188286870000027</v>
      </c>
      <c r="PB46" s="44">
        <v>260.15733151000063</v>
      </c>
      <c r="PC46" s="44">
        <v>7.0088826200000067</v>
      </c>
      <c r="PD46" s="44">
        <v>267.16621413000018</v>
      </c>
      <c r="PE46" s="44">
        <v>298.93794690000118</v>
      </c>
      <c r="PF46" s="44">
        <v>5.584426300000005</v>
      </c>
      <c r="PG46" s="44">
        <v>304.52237320000091</v>
      </c>
      <c r="PH46" s="44">
        <v>78.361396150000061</v>
      </c>
      <c r="PI46" s="44">
        <v>6.4377466900000089</v>
      </c>
      <c r="PJ46" s="44">
        <v>84.799142840000101</v>
      </c>
      <c r="PK46" s="44">
        <v>198.21187139999986</v>
      </c>
      <c r="PL46" s="44">
        <v>9.7826155999999891</v>
      </c>
      <c r="PM46" s="44">
        <v>207.99448699999999</v>
      </c>
      <c r="PN46" s="50">
        <f t="shared" si="115"/>
        <v>1367.2124652400021</v>
      </c>
      <c r="PO46" s="50">
        <f t="shared" si="108"/>
        <v>74.529259970000027</v>
      </c>
      <c r="PP46" s="50">
        <f t="shared" si="116"/>
        <v>1441.7417252100015</v>
      </c>
      <c r="PQ46" s="50">
        <f t="shared" ref="PQ46:PQ71" si="118">PS46-PR46</f>
        <v>1366.485968</v>
      </c>
      <c r="PR46" s="50">
        <v>74.529278000000005</v>
      </c>
      <c r="PS46" s="50">
        <v>1441.0152459999999</v>
      </c>
      <c r="PT46" s="44">
        <v>67.172142439999888</v>
      </c>
      <c r="PU46" s="44">
        <v>3.3005144300000002</v>
      </c>
      <c r="PV46" s="44">
        <v>70.472656869999867</v>
      </c>
      <c r="PW46" s="44">
        <v>65.358446710000109</v>
      </c>
      <c r="PX46" s="44">
        <v>5.3378552500000049</v>
      </c>
      <c r="PY46" s="44">
        <v>70.69630196000017</v>
      </c>
      <c r="PZ46" s="44">
        <v>73.977728270000199</v>
      </c>
      <c r="QA46" s="44">
        <v>10.504360199999997</v>
      </c>
      <c r="QB46" s="44">
        <v>84.48208847000015</v>
      </c>
      <c r="QC46" s="44">
        <v>64.134282379999974</v>
      </c>
      <c r="QD46" s="44">
        <v>8.5851668199999924</v>
      </c>
      <c r="QE46" s="44">
        <v>72.719449199999914</v>
      </c>
      <c r="QF46" s="50">
        <v>63.555061449999933</v>
      </c>
      <c r="QG46" s="44">
        <v>7.7887298300000012</v>
      </c>
      <c r="QH46" s="44">
        <v>71.343791279999934</v>
      </c>
      <c r="QI46" s="50">
        <v>72.531013299999984</v>
      </c>
      <c r="QJ46" s="44">
        <v>8.8458882899999978</v>
      </c>
      <c r="QK46" s="44">
        <v>81.376901589999989</v>
      </c>
      <c r="QL46" s="44">
        <v>76.312198549999877</v>
      </c>
      <c r="QM46" s="44">
        <v>6.6697788100000057</v>
      </c>
      <c r="QN46" s="44">
        <v>82.981977359999846</v>
      </c>
      <c r="QO46" s="50">
        <v>78.823494060000016</v>
      </c>
      <c r="QP46" s="44">
        <v>6.6580857099999955</v>
      </c>
      <c r="QQ46" s="44">
        <v>85.48157977000001</v>
      </c>
      <c r="QR46" s="44">
        <v>90.593217670000087</v>
      </c>
      <c r="QS46" s="44">
        <v>6.2926575599999968</v>
      </c>
      <c r="QT46" s="44">
        <v>96.885875230000011</v>
      </c>
      <c r="QU46" s="50">
        <v>81.346474230000226</v>
      </c>
      <c r="QV46" s="44">
        <v>16.553372039999999</v>
      </c>
      <c r="QW46" s="44">
        <v>97.899846270000225</v>
      </c>
      <c r="QX46" s="50">
        <v>85.55673724000016</v>
      </c>
      <c r="QY46" s="44">
        <v>5.6223978499999898</v>
      </c>
      <c r="QZ46" s="44">
        <v>91.179135090000145</v>
      </c>
      <c r="RA46" s="50">
        <v>396.84080759999995</v>
      </c>
      <c r="RB46" s="44">
        <v>20.860499400000009</v>
      </c>
      <c r="RC46" s="44">
        <v>417.70130699999999</v>
      </c>
      <c r="RD46" s="50">
        <f t="shared" si="52"/>
        <v>1216.2016039000005</v>
      </c>
      <c r="RE46" s="50">
        <f t="shared" si="53"/>
        <v>107.01930618999998</v>
      </c>
      <c r="RF46" s="50">
        <f t="shared" si="54"/>
        <v>1323.2209100900004</v>
      </c>
      <c r="RG46" s="50">
        <f t="shared" ref="RG46:RG71" si="119">RI46-RH46</f>
        <v>1215.335642</v>
      </c>
      <c r="RH46" s="113">
        <v>107.01570599999999</v>
      </c>
      <c r="RI46" s="50">
        <v>1322.3513479999999</v>
      </c>
      <c r="RJ46" s="50">
        <v>88.598787760000064</v>
      </c>
      <c r="RK46" s="50">
        <v>3.4959384600000001</v>
      </c>
      <c r="RL46" s="50">
        <v>92.094726220000112</v>
      </c>
      <c r="RM46" s="50">
        <v>69.667699139999968</v>
      </c>
      <c r="RN46" s="50">
        <v>4.4545422499999967</v>
      </c>
      <c r="RO46" s="50">
        <v>74.122241390000042</v>
      </c>
      <c r="RP46" s="50">
        <v>60.289506850000159</v>
      </c>
      <c r="RQ46" s="50">
        <v>5.088223659999997</v>
      </c>
      <c r="RR46" s="50">
        <v>65.377730510000063</v>
      </c>
      <c r="RS46" s="50">
        <v>67.987029769999921</v>
      </c>
      <c r="RT46" s="50">
        <v>5.5226519500000055</v>
      </c>
      <c r="RU46" s="50">
        <v>73.509681719999932</v>
      </c>
      <c r="RV46" s="50">
        <v>70.474840660000098</v>
      </c>
      <c r="RW46" s="50">
        <v>5.9746046500000016</v>
      </c>
      <c r="RX46" s="50">
        <v>76.449445310000101</v>
      </c>
      <c r="RY46" s="50">
        <v>85.634338499999998</v>
      </c>
      <c r="RZ46" s="50">
        <v>4.8813214999999985</v>
      </c>
      <c r="SA46" s="50">
        <v>90.515659999999997</v>
      </c>
      <c r="SB46" s="50">
        <v>74.964546220000329</v>
      </c>
      <c r="SC46" s="50">
        <v>5.0598771499999975</v>
      </c>
      <c r="SD46" s="50">
        <v>80.024423370000321</v>
      </c>
      <c r="SE46" s="50">
        <v>70.327787740000005</v>
      </c>
      <c r="SF46" s="50">
        <v>5.2613092599999911</v>
      </c>
      <c r="SG46" s="50">
        <v>75.589096999999995</v>
      </c>
      <c r="SH46" s="50">
        <v>85.464714240000092</v>
      </c>
      <c r="SI46" s="50">
        <v>7.5133854099999953</v>
      </c>
      <c r="SJ46" s="50">
        <v>92.97809965000009</v>
      </c>
      <c r="SK46" s="50">
        <v>89.81650003999988</v>
      </c>
      <c r="SL46" s="50">
        <v>6.618099999999993</v>
      </c>
      <c r="SM46" s="50">
        <v>96.434600039999978</v>
      </c>
      <c r="SN46" s="50">
        <v>116.9850366</v>
      </c>
      <c r="SO46" s="50">
        <v>8.3968994899999991</v>
      </c>
      <c r="SP46" s="50">
        <v>125.38193609</v>
      </c>
      <c r="SQ46" s="50">
        <v>238.2766934800006</v>
      </c>
      <c r="SR46" s="50">
        <v>10.416179519999993</v>
      </c>
      <c r="SS46" s="50">
        <v>248.69287300000059</v>
      </c>
      <c r="ST46" s="50">
        <f t="shared" si="55"/>
        <v>1118.4874810000013</v>
      </c>
      <c r="SU46" s="50">
        <f>RK46+RN46+RQ46+RT46+RW46+RZ46+SC46+SF46+SI46+SL46+SO46+SR46</f>
        <v>72.683033299999977</v>
      </c>
      <c r="SV46" s="50">
        <f t="shared" si="56"/>
        <v>1191.1705143000013</v>
      </c>
      <c r="SW46" s="50">
        <f t="shared" si="103"/>
        <v>1117.933196</v>
      </c>
      <c r="SX46" s="50">
        <v>72.682345999999995</v>
      </c>
      <c r="SY46" s="50">
        <v>1190.615542</v>
      </c>
      <c r="SZ46" s="50">
        <v>70.498994460000134</v>
      </c>
      <c r="TA46" s="50">
        <v>4.5431531700000098</v>
      </c>
      <c r="TB46" s="50">
        <v>75.042147630000088</v>
      </c>
      <c r="TC46" s="50">
        <v>186.37572782999982</v>
      </c>
      <c r="TD46" s="50">
        <v>10.258070290000004</v>
      </c>
      <c r="TE46" s="50">
        <v>196.63379811999982</v>
      </c>
      <c r="TF46" s="50">
        <v>79.825520519999884</v>
      </c>
      <c r="TG46" s="50">
        <v>6.8144882199999968</v>
      </c>
      <c r="TH46" s="50">
        <v>86.640008739999885</v>
      </c>
      <c r="TI46" s="50">
        <v>66.667260850000034</v>
      </c>
      <c r="TJ46" s="50">
        <v>6.2876780900000009</v>
      </c>
      <c r="TK46" s="50">
        <v>72.954938940000034</v>
      </c>
      <c r="TL46" s="50">
        <v>74.662290680000169</v>
      </c>
      <c r="TM46" s="50">
        <v>6.0310099000000008</v>
      </c>
      <c r="TN46" s="50">
        <v>80.693300580000169</v>
      </c>
      <c r="TO46" s="50">
        <v>92.547983369999869</v>
      </c>
      <c r="TP46" s="50">
        <v>9.2011886800000013</v>
      </c>
      <c r="TQ46" s="50">
        <v>101.74917204999987</v>
      </c>
      <c r="TR46" s="50">
        <v>88.264922109999986</v>
      </c>
      <c r="TS46" s="50">
        <v>8.1908087999999921</v>
      </c>
      <c r="TT46" s="50">
        <v>96.455730909999986</v>
      </c>
      <c r="TU46" s="50">
        <v>70.145731649999775</v>
      </c>
      <c r="TV46" s="50">
        <v>6.6923744699999981</v>
      </c>
      <c r="TW46" s="50">
        <v>76.838106119999779</v>
      </c>
      <c r="TX46" s="50">
        <v>99.334791209999878</v>
      </c>
      <c r="TY46" s="50">
        <v>7.91337215999999</v>
      </c>
      <c r="TZ46" s="50">
        <v>107.24816336999987</v>
      </c>
      <c r="UA46" s="50">
        <v>79.502521959999783</v>
      </c>
      <c r="UB46" s="50">
        <v>10.829818519999998</v>
      </c>
      <c r="UC46" s="50">
        <v>90.332340479999786</v>
      </c>
      <c r="UD46" s="50">
        <v>100.50953600999983</v>
      </c>
      <c r="UE46" s="50">
        <v>7.7007787999999948</v>
      </c>
      <c r="UF46" s="50">
        <v>108.21031480999983</v>
      </c>
      <c r="UG46" s="50">
        <v>231.86542498000014</v>
      </c>
      <c r="UH46" s="50">
        <v>14.61249891999999</v>
      </c>
      <c r="UI46" s="50">
        <v>246.47792390000012</v>
      </c>
      <c r="UJ46" s="50">
        <f t="shared" si="45"/>
        <v>1240.2007056299992</v>
      </c>
      <c r="UK46" s="50">
        <f t="shared" si="15"/>
        <v>99.075240019999981</v>
      </c>
      <c r="UL46" s="50">
        <f t="shared" si="16"/>
        <v>1339.2759456499994</v>
      </c>
      <c r="UM46" s="50">
        <v>72.574258450000059</v>
      </c>
      <c r="UN46" s="50">
        <v>4.5136087900000001</v>
      </c>
      <c r="UO46" s="50">
        <v>77.087867240000065</v>
      </c>
      <c r="UP46" s="50">
        <v>73.64845269000007</v>
      </c>
      <c r="UQ46" s="50">
        <v>5.7818685099999918</v>
      </c>
      <c r="UR46" s="50">
        <v>79.430321200000066</v>
      </c>
      <c r="US46" s="50">
        <v>90.550552460000134</v>
      </c>
      <c r="UT46" s="50">
        <v>9.7306745299999857</v>
      </c>
      <c r="UU46" s="50">
        <v>100.28122699000012</v>
      </c>
      <c r="UV46" s="50">
        <v>79.789104100000017</v>
      </c>
      <c r="UW46" s="50">
        <v>8.4088388399999836</v>
      </c>
      <c r="UX46" s="50">
        <v>88.197942940000004</v>
      </c>
      <c r="UY46" s="50"/>
      <c r="UZ46" s="50"/>
      <c r="VA46" s="50"/>
      <c r="VB46" s="50"/>
      <c r="VC46" s="50"/>
      <c r="VD46" s="50"/>
      <c r="VE46" s="50"/>
      <c r="VF46" s="50"/>
      <c r="VG46" s="50"/>
      <c r="VH46" s="50"/>
      <c r="VI46" s="50"/>
      <c r="VJ46" s="50"/>
      <c r="VK46" s="50"/>
      <c r="VL46" s="50"/>
      <c r="VM46" s="50"/>
      <c r="VN46" s="50"/>
      <c r="VO46" s="50"/>
      <c r="VP46" s="50"/>
      <c r="VQ46" s="50"/>
      <c r="VR46" s="50"/>
      <c r="VS46" s="50"/>
      <c r="VT46" s="50"/>
      <c r="VU46" s="50"/>
      <c r="VV46" s="50"/>
      <c r="VW46" s="276">
        <f t="shared" si="57"/>
        <v>403.367504</v>
      </c>
      <c r="VX46" s="292">
        <f t="shared" si="58"/>
        <v>27.903390000000002</v>
      </c>
      <c r="VY46" s="292">
        <f t="shared" si="59"/>
        <v>431.270893</v>
      </c>
      <c r="VZ46" s="276">
        <f t="shared" si="60"/>
        <v>316.56236799999999</v>
      </c>
      <c r="WA46" s="292">
        <f t="shared" si="61"/>
        <v>28.434991</v>
      </c>
      <c r="WB46" s="292">
        <f t="shared" si="62"/>
        <v>344.99735800000002</v>
      </c>
      <c r="WC46" s="277">
        <f t="shared" si="112"/>
        <v>-86.273534999999981</v>
      </c>
      <c r="WD46" s="277">
        <f t="shared" si="104"/>
        <v>-20.004488223136349</v>
      </c>
    </row>
    <row r="47" spans="1:602" s="12" customFormat="1" ht="20.5">
      <c r="A47" s="46" t="s">
        <v>129</v>
      </c>
      <c r="B47" s="12" t="s">
        <v>130</v>
      </c>
      <c r="C47" s="46" t="s">
        <v>131</v>
      </c>
      <c r="D47" s="45">
        <v>80.730491004604417</v>
      </c>
      <c r="E47" s="42">
        <v>114.87646769227267</v>
      </c>
      <c r="F47" s="42">
        <v>295.57308011906593</v>
      </c>
      <c r="G47" s="42">
        <v>337.51415757451582</v>
      </c>
      <c r="H47" s="42">
        <v>46.603489735402754</v>
      </c>
      <c r="I47" s="42">
        <v>23.962047341790893</v>
      </c>
      <c r="J47" s="42">
        <v>62.223448756694616</v>
      </c>
      <c r="K47" s="42">
        <v>48.677556758356523</v>
      </c>
      <c r="L47" s="42">
        <v>12.248259827775597</v>
      </c>
      <c r="M47" s="42">
        <v>8.1424508113215062</v>
      </c>
      <c r="N47" s="42">
        <v>6.2192318199668755</v>
      </c>
      <c r="O47" s="42">
        <v>11.283273857291649</v>
      </c>
      <c r="P47" s="42">
        <v>8.6892163391215771</v>
      </c>
      <c r="Q47" s="42">
        <v>10.74496161091855</v>
      </c>
      <c r="R47" s="42">
        <v>23.313996505426832</v>
      </c>
      <c r="S47" s="42">
        <v>21.586813521266244</v>
      </c>
      <c r="T47" s="42">
        <v>283.6944712608352</v>
      </c>
      <c r="U47" s="42">
        <v>2.7562449843768699E-4</v>
      </c>
      <c r="V47" s="42">
        <v>283.69474688533364</v>
      </c>
      <c r="W47" s="42">
        <v>283.6947470418495</v>
      </c>
      <c r="X47" s="42">
        <v>47.766775658647362</v>
      </c>
      <c r="Y47" s="42">
        <v>25.020490776944925</v>
      </c>
      <c r="Z47" s="42">
        <v>59.932931514334015</v>
      </c>
      <c r="AA47" s="42">
        <v>44.841312172383766</v>
      </c>
      <c r="AB47" s="42">
        <v>12.509470378654648</v>
      </c>
      <c r="AC47" s="42">
        <v>12.869497043272379</v>
      </c>
      <c r="AD47" s="42">
        <v>10.193389622142162</v>
      </c>
      <c r="AE47" s="42">
        <v>30.018357892100784</v>
      </c>
      <c r="AF47" s="42">
        <v>6.7056419713035211</v>
      </c>
      <c r="AG47" s="42">
        <v>15.418122477959715</v>
      </c>
      <c r="AH47" s="42">
        <v>15.660643650292259</v>
      </c>
      <c r="AI47" s="42">
        <v>27.864323481368917</v>
      </c>
      <c r="AJ47" s="42">
        <v>308.80095705203701</v>
      </c>
      <c r="AK47" s="42">
        <v>0</v>
      </c>
      <c r="AL47" s="42">
        <v>308.80095663940449</v>
      </c>
      <c r="AM47" s="42">
        <v>308.80095588528241</v>
      </c>
      <c r="AN47" s="42">
        <v>47.302801350020779</v>
      </c>
      <c r="AO47" s="42">
        <v>35.643990358620613</v>
      </c>
      <c r="AP47" s="42">
        <v>57.109980905060297</v>
      </c>
      <c r="AQ47" s="42">
        <v>47.099257602404087</v>
      </c>
      <c r="AR47" s="42">
        <v>4.2196868828293521</v>
      </c>
      <c r="AS47" s="42">
        <v>10.108471366127684</v>
      </c>
      <c r="AT47" s="42">
        <v>24.977391989800854</v>
      </c>
      <c r="AU47" s="42">
        <v>21.483526502410346</v>
      </c>
      <c r="AV47" s="42">
        <v>7.1998736489832167</v>
      </c>
      <c r="AW47" s="42">
        <v>16.877371215872422</v>
      </c>
      <c r="AX47" s="42">
        <v>10.431239719751169</v>
      </c>
      <c r="AY47" s="42">
        <v>16.634701851440798</v>
      </c>
      <c r="AZ47" s="42">
        <v>299.08829362098112</v>
      </c>
      <c r="BA47" s="42">
        <v>0</v>
      </c>
      <c r="BB47" s="42">
        <v>299.08829339332163</v>
      </c>
      <c r="BC47" s="42">
        <f t="shared" si="21"/>
        <v>299.08829488733699</v>
      </c>
      <c r="BD47" s="42">
        <v>0</v>
      </c>
      <c r="BE47" s="42">
        <v>299.08829488733699</v>
      </c>
      <c r="BF47" s="44">
        <v>58.704663320000002</v>
      </c>
      <c r="BG47" s="44"/>
      <c r="BH47" s="44">
        <f>BF47+BG47</f>
        <v>58.704663320000002</v>
      </c>
      <c r="BI47" s="44">
        <v>27.100312489999997</v>
      </c>
      <c r="BJ47" s="44"/>
      <c r="BK47" s="44">
        <f>BI47+BJ47</f>
        <v>27.100312489999997</v>
      </c>
      <c r="BL47" s="44">
        <v>56.583442650000002</v>
      </c>
      <c r="BM47" s="44"/>
      <c r="BN47" s="44">
        <f>BL47+BM47</f>
        <v>56.583442650000002</v>
      </c>
      <c r="BO47" s="44">
        <v>46.194176179999999</v>
      </c>
      <c r="BP47" s="44"/>
      <c r="BQ47" s="44">
        <f>BO47+BP47</f>
        <v>46.194176179999999</v>
      </c>
      <c r="BR47" s="44">
        <v>4.4667239000000007</v>
      </c>
      <c r="BS47" s="44"/>
      <c r="BT47" s="44">
        <f>BR47+BS47</f>
        <v>4.4667239000000007</v>
      </c>
      <c r="BU47" s="44">
        <v>9.9225645199999999</v>
      </c>
      <c r="BV47" s="44"/>
      <c r="BW47" s="44">
        <f>BU47+BV47</f>
        <v>9.9225645199999999</v>
      </c>
      <c r="BX47" s="44">
        <v>21.619613659999999</v>
      </c>
      <c r="BY47" s="44"/>
      <c r="BZ47" s="44">
        <f>BX47+BY47</f>
        <v>21.619613659999999</v>
      </c>
      <c r="CA47" s="44">
        <v>21.78771102</v>
      </c>
      <c r="CB47" s="44"/>
      <c r="CC47" s="44">
        <f>CA47+CB47</f>
        <v>21.78771102</v>
      </c>
      <c r="CD47" s="44">
        <v>5.1286546299999989</v>
      </c>
      <c r="CE47" s="44"/>
      <c r="CF47" s="44">
        <f>CD47+CE47</f>
        <v>5.1286546299999989</v>
      </c>
      <c r="CG47" s="44">
        <v>19.399719430000001</v>
      </c>
      <c r="CH47" s="44"/>
      <c r="CI47" s="44">
        <f>CG47+CH47</f>
        <v>19.399719430000001</v>
      </c>
      <c r="CJ47" s="44">
        <v>11.714536540000001</v>
      </c>
      <c r="CK47" s="44"/>
      <c r="CL47" s="44">
        <f>CJ47+CK47</f>
        <v>11.714536540000001</v>
      </c>
      <c r="CM47" s="44">
        <v>17.641718740000002</v>
      </c>
      <c r="CN47" s="44"/>
      <c r="CO47" s="44">
        <f>CM47+CN47</f>
        <v>17.641718740000002</v>
      </c>
      <c r="CP47" s="50">
        <f t="shared" si="24"/>
        <v>300.26383707999997</v>
      </c>
      <c r="CQ47" s="50">
        <f t="shared" si="25"/>
        <v>0</v>
      </c>
      <c r="CR47" s="50">
        <f t="shared" si="26"/>
        <v>300.26383707999997</v>
      </c>
      <c r="CS47" s="42">
        <f t="shared" si="93"/>
        <v>300.26383700000002</v>
      </c>
      <c r="CT47" s="42"/>
      <c r="CU47" s="42">
        <v>300.26383700000002</v>
      </c>
      <c r="CV47" s="44">
        <v>86.658232269999999</v>
      </c>
      <c r="CW47" s="44"/>
      <c r="CX47" s="44">
        <f>CV47+CW47</f>
        <v>86.658232269999999</v>
      </c>
      <c r="CY47" s="44">
        <v>28.959982960000001</v>
      </c>
      <c r="CZ47" s="44">
        <v>0</v>
      </c>
      <c r="DA47" s="44">
        <v>28.959982960000001</v>
      </c>
      <c r="DB47" s="44">
        <v>25.273879139999998</v>
      </c>
      <c r="DC47" s="44">
        <v>0</v>
      </c>
      <c r="DD47" s="44">
        <v>25.273879139999998</v>
      </c>
      <c r="DE47" s="44">
        <v>53.933570550000006</v>
      </c>
      <c r="DF47" s="44">
        <v>0</v>
      </c>
      <c r="DG47" s="44">
        <v>53.933570550000006</v>
      </c>
      <c r="DH47" s="44">
        <v>3.9273286299999999</v>
      </c>
      <c r="DI47" s="44">
        <v>0</v>
      </c>
      <c r="DJ47" s="44">
        <v>3.9273286299999999</v>
      </c>
      <c r="DK47" s="44">
        <v>11.80410644</v>
      </c>
      <c r="DL47" s="44">
        <v>0</v>
      </c>
      <c r="DM47" s="44">
        <v>11.80410644</v>
      </c>
      <c r="DN47" s="44">
        <v>23.994676490000003</v>
      </c>
      <c r="DO47" s="44">
        <v>0</v>
      </c>
      <c r="DP47" s="44">
        <v>23.994676490000003</v>
      </c>
      <c r="DQ47" s="44">
        <v>24.62562681</v>
      </c>
      <c r="DR47" s="44">
        <v>0</v>
      </c>
      <c r="DS47" s="44">
        <v>24.62562681</v>
      </c>
      <c r="DT47" s="44">
        <v>4.9601224300000002</v>
      </c>
      <c r="DU47" s="44">
        <v>0</v>
      </c>
      <c r="DV47" s="44">
        <v>4.9601224300000002</v>
      </c>
      <c r="DW47" s="44">
        <v>20.110437759999996</v>
      </c>
      <c r="DX47" s="44">
        <v>0</v>
      </c>
      <c r="DY47" s="44">
        <v>20.110437759999996</v>
      </c>
      <c r="DZ47" s="44">
        <v>11.73161313</v>
      </c>
      <c r="EA47" s="44">
        <v>0</v>
      </c>
      <c r="EB47" s="44">
        <v>11.73161313</v>
      </c>
      <c r="EC47" s="44">
        <v>89.167021439999999</v>
      </c>
      <c r="ED47" s="44">
        <v>0</v>
      </c>
      <c r="EE47" s="44">
        <v>89.167021439999999</v>
      </c>
      <c r="EF47" s="50">
        <f t="shared" si="27"/>
        <v>385.14659805000008</v>
      </c>
      <c r="EG47" s="50">
        <f t="shared" si="28"/>
        <v>0</v>
      </c>
      <c r="EH47" s="50">
        <f t="shared" si="29"/>
        <v>385.14659805000008</v>
      </c>
      <c r="EI47" s="50">
        <f t="shared" si="94"/>
        <v>385.14659699999999</v>
      </c>
      <c r="EJ47" s="50"/>
      <c r="EK47" s="50">
        <v>385.14659699999999</v>
      </c>
      <c r="EL47" s="50">
        <v>43.103413780000004</v>
      </c>
      <c r="EM47" s="50">
        <v>0</v>
      </c>
      <c r="EN47" s="50">
        <v>43.103413780000004</v>
      </c>
      <c r="EO47" s="50">
        <v>29.527281939999998</v>
      </c>
      <c r="EP47" s="50">
        <v>0</v>
      </c>
      <c r="EQ47" s="50">
        <v>29.527281939999998</v>
      </c>
      <c r="ER47" s="50">
        <v>25.17334237</v>
      </c>
      <c r="ES47" s="50">
        <v>0</v>
      </c>
      <c r="ET47" s="50">
        <v>25.17334237</v>
      </c>
      <c r="EU47" s="50">
        <v>25.165684640000006</v>
      </c>
      <c r="EV47" s="50">
        <v>0</v>
      </c>
      <c r="EW47" s="50">
        <v>25.165684640000006</v>
      </c>
      <c r="EX47" s="50">
        <v>32.11428986</v>
      </c>
      <c r="EY47" s="50">
        <v>0</v>
      </c>
      <c r="EZ47" s="50">
        <v>32.11428986</v>
      </c>
      <c r="FA47" s="50">
        <v>10.13609888</v>
      </c>
      <c r="FB47" s="50">
        <v>0</v>
      </c>
      <c r="FC47" s="50">
        <v>10.13609888</v>
      </c>
      <c r="FD47" s="50">
        <v>16.37698142</v>
      </c>
      <c r="FE47" s="50">
        <v>0</v>
      </c>
      <c r="FF47" s="50">
        <v>16.37698142</v>
      </c>
      <c r="FG47" s="50">
        <v>24.349924790000003</v>
      </c>
      <c r="FH47" s="50">
        <v>0</v>
      </c>
      <c r="FI47" s="50">
        <v>24.349924790000003</v>
      </c>
      <c r="FJ47" s="50">
        <v>6.9236996799999995</v>
      </c>
      <c r="FK47" s="50">
        <v>0</v>
      </c>
      <c r="FL47" s="50">
        <v>6.9236996799999995</v>
      </c>
      <c r="FM47" s="50">
        <v>20.460566750000002</v>
      </c>
      <c r="FN47" s="50">
        <v>0</v>
      </c>
      <c r="FO47" s="50">
        <v>20.460566750000002</v>
      </c>
      <c r="FP47" s="50">
        <v>11.52415349</v>
      </c>
      <c r="FQ47" s="50">
        <v>0</v>
      </c>
      <c r="FR47" s="50">
        <v>11.52415349</v>
      </c>
      <c r="FS47" s="50">
        <v>16.420406079999999</v>
      </c>
      <c r="FT47" s="50">
        <v>0</v>
      </c>
      <c r="FU47" s="50">
        <v>16.420406079999999</v>
      </c>
      <c r="FV47" s="50">
        <f t="shared" si="30"/>
        <v>261.27584367999998</v>
      </c>
      <c r="FW47" s="50">
        <f t="shared" si="31"/>
        <v>0</v>
      </c>
      <c r="FX47" s="50">
        <f t="shared" si="32"/>
        <v>261.27584367999998</v>
      </c>
      <c r="FY47" s="50">
        <f t="shared" si="95"/>
        <v>261.27584400000001</v>
      </c>
      <c r="FZ47" s="50"/>
      <c r="GA47" s="50">
        <v>261.27584400000001</v>
      </c>
      <c r="GB47" s="50">
        <v>40.709623999999998</v>
      </c>
      <c r="GC47" s="50">
        <v>0</v>
      </c>
      <c r="GD47" s="50">
        <v>40.709623999999998</v>
      </c>
      <c r="GE47" s="50">
        <v>36.53873755</v>
      </c>
      <c r="GF47" s="50">
        <v>0</v>
      </c>
      <c r="GG47" s="50">
        <v>36.53873755</v>
      </c>
      <c r="GH47" s="50">
        <v>29.440889410000004</v>
      </c>
      <c r="GI47" s="50">
        <v>0</v>
      </c>
      <c r="GJ47" s="50">
        <v>29.440889410000004</v>
      </c>
      <c r="GK47" s="50">
        <v>25.902583669999999</v>
      </c>
      <c r="GL47" s="50">
        <v>0</v>
      </c>
      <c r="GM47" s="50">
        <v>25.902583669999999</v>
      </c>
      <c r="GN47" s="50">
        <v>42.444636789999997</v>
      </c>
      <c r="GO47" s="50">
        <v>0</v>
      </c>
      <c r="GP47" s="50">
        <v>42.444636789999997</v>
      </c>
      <c r="GQ47" s="50">
        <v>10.353911260000002</v>
      </c>
      <c r="GR47" s="50">
        <v>0</v>
      </c>
      <c r="GS47" s="50">
        <v>10.353911260000002</v>
      </c>
      <c r="GT47" s="50">
        <v>11.003590059999999</v>
      </c>
      <c r="GU47" s="50">
        <v>0</v>
      </c>
      <c r="GV47" s="50">
        <v>11.003590059999999</v>
      </c>
      <c r="GW47" s="50">
        <v>1.4814033100000001</v>
      </c>
      <c r="GX47" s="50">
        <v>0</v>
      </c>
      <c r="GY47" s="50">
        <v>1.4814033100000001</v>
      </c>
      <c r="GZ47" s="50">
        <v>7.0000281700000002</v>
      </c>
      <c r="HA47" s="50">
        <v>0</v>
      </c>
      <c r="HB47" s="50">
        <v>7.0000281700000002</v>
      </c>
      <c r="HC47" s="50">
        <v>23.883085010000002</v>
      </c>
      <c r="HD47" s="50">
        <v>0</v>
      </c>
      <c r="HE47" s="50">
        <v>23.883085010000002</v>
      </c>
      <c r="HF47" s="50">
        <v>11.356115580000001</v>
      </c>
      <c r="HG47" s="50">
        <v>0</v>
      </c>
      <c r="HH47" s="50">
        <v>11.356115580000001</v>
      </c>
      <c r="HI47" s="50">
        <v>15.689110970000002</v>
      </c>
      <c r="HJ47" s="50">
        <v>0</v>
      </c>
      <c r="HK47" s="50">
        <v>15.689110970000002</v>
      </c>
      <c r="HL47" s="50">
        <f t="shared" si="33"/>
        <v>255.80371577999998</v>
      </c>
      <c r="HM47" s="50">
        <f t="shared" si="34"/>
        <v>0</v>
      </c>
      <c r="HN47" s="50">
        <f t="shared" si="35"/>
        <v>255.80371577999998</v>
      </c>
      <c r="HO47" s="50">
        <f t="shared" si="96"/>
        <v>255.80371600000001</v>
      </c>
      <c r="HP47" s="50"/>
      <c r="HQ47" s="50">
        <v>255.80371600000001</v>
      </c>
      <c r="HR47" s="50">
        <v>38.517432769999999</v>
      </c>
      <c r="HS47" s="50">
        <v>0</v>
      </c>
      <c r="HT47" s="50">
        <v>38.517432769999999</v>
      </c>
      <c r="HU47" s="50">
        <v>17.423207190000003</v>
      </c>
      <c r="HV47" s="50">
        <v>0</v>
      </c>
      <c r="HW47" s="50">
        <v>17.423207190000003</v>
      </c>
      <c r="HX47" s="50">
        <v>27.246666899999997</v>
      </c>
      <c r="HY47" s="50">
        <v>0</v>
      </c>
      <c r="HZ47" s="50">
        <v>27.246666899999997</v>
      </c>
      <c r="IA47" s="50">
        <v>54.020054969999997</v>
      </c>
      <c r="IB47" s="50">
        <v>0</v>
      </c>
      <c r="IC47" s="50">
        <v>54.020054969999997</v>
      </c>
      <c r="ID47" s="50">
        <v>14.520364980000002</v>
      </c>
      <c r="IE47" s="50">
        <v>0</v>
      </c>
      <c r="IF47" s="50">
        <v>14.520364980000002</v>
      </c>
      <c r="IG47" s="50">
        <v>10.166817400000001</v>
      </c>
      <c r="IH47" s="50">
        <v>0</v>
      </c>
      <c r="II47" s="50">
        <v>10.166817400000001</v>
      </c>
      <c r="IJ47" s="50">
        <v>9.9649470000000004</v>
      </c>
      <c r="IK47" s="50">
        <v>0</v>
      </c>
      <c r="IL47" s="50">
        <v>9.9649470000000004</v>
      </c>
      <c r="IM47" s="50">
        <v>2.2772843200000001</v>
      </c>
      <c r="IN47" s="50">
        <v>0</v>
      </c>
      <c r="IO47" s="50">
        <v>2.2772843200000001</v>
      </c>
      <c r="IP47" s="50">
        <v>7.1247050200000004</v>
      </c>
      <c r="IQ47" s="50">
        <v>0</v>
      </c>
      <c r="IR47" s="50">
        <v>7.1247050200000004</v>
      </c>
      <c r="IS47" s="50">
        <v>23.819136290000003</v>
      </c>
      <c r="IT47" s="50">
        <v>0</v>
      </c>
      <c r="IU47" s="50">
        <v>23.819136290000003</v>
      </c>
      <c r="IV47" s="50">
        <v>11.528739219999999</v>
      </c>
      <c r="IW47" s="50">
        <v>0</v>
      </c>
      <c r="IX47" s="50">
        <v>11.528739219999999</v>
      </c>
      <c r="IY47" s="50">
        <v>16.260627490000001</v>
      </c>
      <c r="IZ47" s="50">
        <v>0</v>
      </c>
      <c r="JA47" s="50">
        <v>16.260627490000001</v>
      </c>
      <c r="JB47" s="50">
        <f t="shared" si="36"/>
        <v>232.86998355</v>
      </c>
      <c r="JC47" s="50">
        <f t="shared" si="37"/>
        <v>0</v>
      </c>
      <c r="JD47" s="50">
        <f t="shared" si="38"/>
        <v>232.86998355</v>
      </c>
      <c r="JE47" s="50">
        <f t="shared" si="97"/>
        <v>232.86998399999999</v>
      </c>
      <c r="JF47" s="50"/>
      <c r="JG47" s="50">
        <v>232.86998399999999</v>
      </c>
      <c r="JH47" s="50">
        <v>36.17024984999999</v>
      </c>
      <c r="JI47" s="50">
        <v>0</v>
      </c>
      <c r="JJ47" s="50">
        <v>36.17024984999999</v>
      </c>
      <c r="JK47" s="50">
        <v>29.351477370000001</v>
      </c>
      <c r="JL47" s="50">
        <v>0</v>
      </c>
      <c r="JM47" s="50">
        <v>29.351477370000001</v>
      </c>
      <c r="JN47" s="50">
        <v>3.5126007800000001</v>
      </c>
      <c r="JO47" s="50">
        <v>0</v>
      </c>
      <c r="JP47" s="50">
        <v>3.5126007800000001</v>
      </c>
      <c r="JQ47" s="50">
        <v>54.307025100000004</v>
      </c>
      <c r="JR47" s="50">
        <v>0</v>
      </c>
      <c r="JS47" s="50">
        <v>54.307025100000004</v>
      </c>
      <c r="JT47" s="50">
        <v>22.075605439999993</v>
      </c>
      <c r="JU47" s="50">
        <v>0</v>
      </c>
      <c r="JV47" s="50">
        <v>22.075605439999993</v>
      </c>
      <c r="JW47" s="50">
        <v>10.44929052</v>
      </c>
      <c r="JX47" s="50">
        <v>0</v>
      </c>
      <c r="JY47" s="50">
        <v>10.44929052</v>
      </c>
      <c r="JZ47" s="50">
        <v>9.5242951300000005</v>
      </c>
      <c r="KA47" s="50">
        <v>0</v>
      </c>
      <c r="KB47" s="50">
        <v>9.5242951300000005</v>
      </c>
      <c r="KC47" s="50">
        <v>1.0384090100000001</v>
      </c>
      <c r="KD47" s="50">
        <v>0</v>
      </c>
      <c r="KE47" s="50">
        <v>1.0384090100000001</v>
      </c>
      <c r="KF47" s="50">
        <v>7.5399079999999987</v>
      </c>
      <c r="KG47" s="50">
        <v>0</v>
      </c>
      <c r="KH47" s="50">
        <v>7.5399079999999987</v>
      </c>
      <c r="KI47" s="50">
        <v>20.871897359999998</v>
      </c>
      <c r="KJ47" s="50">
        <v>0</v>
      </c>
      <c r="KK47" s="50">
        <v>20.871897359999998</v>
      </c>
      <c r="KL47" s="50">
        <v>11.816741540000001</v>
      </c>
      <c r="KM47" s="50">
        <v>0</v>
      </c>
      <c r="KN47" s="50">
        <v>11.816741540000001</v>
      </c>
      <c r="KO47" s="50">
        <v>16.368020469999998</v>
      </c>
      <c r="KP47" s="50">
        <v>0</v>
      </c>
      <c r="KQ47" s="50">
        <v>16.368020469999998</v>
      </c>
      <c r="KR47" s="50">
        <f t="shared" si="48"/>
        <v>223.02552057000003</v>
      </c>
      <c r="KS47" s="50">
        <f t="shared" si="39"/>
        <v>0</v>
      </c>
      <c r="KT47" s="50">
        <f t="shared" si="49"/>
        <v>223.02552057000003</v>
      </c>
      <c r="KU47" s="50">
        <f t="shared" si="98"/>
        <v>223.02552</v>
      </c>
      <c r="KV47" s="50"/>
      <c r="KW47" s="50">
        <v>223.02552</v>
      </c>
      <c r="KX47" s="50">
        <v>42.640369719999995</v>
      </c>
      <c r="KY47" s="50">
        <v>0</v>
      </c>
      <c r="KZ47" s="50">
        <v>42.640369719999995</v>
      </c>
      <c r="LA47" s="50">
        <v>48.264721840000007</v>
      </c>
      <c r="LB47" s="50">
        <v>0</v>
      </c>
      <c r="LC47" s="50">
        <v>48.264721840000007</v>
      </c>
      <c r="LD47" s="50">
        <v>3.5968802499999999</v>
      </c>
      <c r="LE47" s="50"/>
      <c r="LF47" s="87">
        <v>3.5968802499999999</v>
      </c>
      <c r="LG47" s="50">
        <v>36.578603439999995</v>
      </c>
      <c r="LH47" s="50"/>
      <c r="LI47" s="175">
        <v>36.578603439999995</v>
      </c>
      <c r="LJ47" s="174">
        <v>16.46083458</v>
      </c>
      <c r="LK47" s="50">
        <v>0</v>
      </c>
      <c r="LL47" s="174">
        <v>16.46083458</v>
      </c>
      <c r="LM47" s="50">
        <v>17.842776000000001</v>
      </c>
      <c r="LN47" s="50">
        <v>0</v>
      </c>
      <c r="LO47" s="50">
        <v>17.842776000000001</v>
      </c>
      <c r="LP47" s="50">
        <v>1.57406629</v>
      </c>
      <c r="LQ47" s="44">
        <v>0</v>
      </c>
      <c r="LR47" s="44">
        <v>1.57406629</v>
      </c>
      <c r="LS47" s="50">
        <v>8.3634950000000013E-2</v>
      </c>
      <c r="LT47" s="50">
        <v>0</v>
      </c>
      <c r="LU47" s="52">
        <v>8.3634950000000013E-2</v>
      </c>
      <c r="LV47" s="44">
        <v>9.1918729299999988</v>
      </c>
      <c r="LW47" s="44">
        <v>0</v>
      </c>
      <c r="LX47" s="44">
        <v>9.1918729299999988</v>
      </c>
      <c r="LY47" s="44">
        <v>21.962553019999998</v>
      </c>
      <c r="LZ47" s="44">
        <v>0</v>
      </c>
      <c r="MA47" s="44">
        <v>21.962553019999998</v>
      </c>
      <c r="MB47" s="44">
        <v>10.197389259999998</v>
      </c>
      <c r="MC47" s="44">
        <v>0</v>
      </c>
      <c r="MD47" s="44">
        <v>10.197389259999998</v>
      </c>
      <c r="ME47" s="44">
        <v>16.880703539999999</v>
      </c>
      <c r="MF47" s="44">
        <v>0</v>
      </c>
      <c r="MG47" s="44">
        <v>16.880703539999999</v>
      </c>
      <c r="MH47" s="50">
        <f t="shared" si="66"/>
        <v>225.27440581999997</v>
      </c>
      <c r="MI47" s="50">
        <f t="shared" si="50"/>
        <v>0</v>
      </c>
      <c r="MJ47" s="50">
        <f t="shared" si="51"/>
        <v>225.27440581999997</v>
      </c>
      <c r="MK47" s="50">
        <f t="shared" si="99"/>
        <v>225.274406</v>
      </c>
      <c r="ML47" s="50"/>
      <c r="MM47" s="50">
        <v>225.274406</v>
      </c>
      <c r="MN47" s="44">
        <v>40.214358820000001</v>
      </c>
      <c r="MO47" s="44">
        <v>0</v>
      </c>
      <c r="MP47" s="44">
        <v>40.214358820000001</v>
      </c>
      <c r="MQ47" s="44">
        <v>47.971966860000002</v>
      </c>
      <c r="MR47" s="44">
        <v>0</v>
      </c>
      <c r="MS47" s="44">
        <v>47.971966860000002</v>
      </c>
      <c r="MT47" s="50">
        <v>3.72179729</v>
      </c>
      <c r="MU47" s="50">
        <v>0</v>
      </c>
      <c r="MV47" s="50">
        <v>3.72179729</v>
      </c>
      <c r="MW47" s="44">
        <v>39.032623350000001</v>
      </c>
      <c r="MX47" s="44">
        <v>0</v>
      </c>
      <c r="MY47" s="44">
        <v>39.032623350000001</v>
      </c>
      <c r="MZ47" s="44">
        <v>20.97958083</v>
      </c>
      <c r="NA47" s="44">
        <v>0</v>
      </c>
      <c r="NB47" s="44">
        <v>20.97958083</v>
      </c>
      <c r="NC47" s="44">
        <v>15.797455150000001</v>
      </c>
      <c r="ND47" s="44">
        <v>0</v>
      </c>
      <c r="NE47" s="44">
        <v>15.797455150000001</v>
      </c>
      <c r="NF47" s="44">
        <v>0.75938311000000003</v>
      </c>
      <c r="NG47" s="44">
        <v>0</v>
      </c>
      <c r="NH47" s="44">
        <v>0.75938311000000003</v>
      </c>
      <c r="NI47" s="44">
        <v>0.10992785000000001</v>
      </c>
      <c r="NJ47" s="44">
        <v>0</v>
      </c>
      <c r="NK47" s="44">
        <v>0.10992785000000001</v>
      </c>
      <c r="NL47" s="44">
        <v>9.3240285000000007</v>
      </c>
      <c r="NM47" s="44">
        <v>0</v>
      </c>
      <c r="NN47" s="44">
        <v>9.3240285000000007</v>
      </c>
      <c r="NO47" s="44">
        <v>23.56312475</v>
      </c>
      <c r="NP47" s="44">
        <v>0</v>
      </c>
      <c r="NQ47" s="44">
        <v>23.56312475</v>
      </c>
      <c r="NR47" s="44">
        <v>14.40398656</v>
      </c>
      <c r="NS47" s="44">
        <v>0</v>
      </c>
      <c r="NT47" s="44">
        <v>14.40398656</v>
      </c>
      <c r="NU47" s="44">
        <v>5.0350933600000003</v>
      </c>
      <c r="NV47" s="44">
        <v>0</v>
      </c>
      <c r="NW47" s="44">
        <v>5.0350933600000003</v>
      </c>
      <c r="NX47" s="50">
        <f t="shared" si="117"/>
        <v>220.91332642999998</v>
      </c>
      <c r="NY47" s="50">
        <f t="shared" si="40"/>
        <v>0</v>
      </c>
      <c r="NZ47" s="50">
        <f t="shared" si="41"/>
        <v>220.91332642999998</v>
      </c>
      <c r="OA47" s="50">
        <f t="shared" si="100"/>
        <v>220.91163299999999</v>
      </c>
      <c r="OB47" s="50">
        <v>0</v>
      </c>
      <c r="OC47" s="50">
        <v>220.91163299999999</v>
      </c>
      <c r="OD47" s="44">
        <v>0.81408961000000002</v>
      </c>
      <c r="OE47" s="44">
        <v>0</v>
      </c>
      <c r="OF47" s="44">
        <v>0.81408961000000002</v>
      </c>
      <c r="OG47" s="50">
        <v>43.528431010000006</v>
      </c>
      <c r="OH47" s="44">
        <v>0</v>
      </c>
      <c r="OI47" s="44">
        <v>43.528431010000006</v>
      </c>
      <c r="OJ47" s="44">
        <f t="shared" si="107"/>
        <v>4.5502851900000003</v>
      </c>
      <c r="OK47" s="44"/>
      <c r="OL47" s="44">
        <v>4.5502851900000003</v>
      </c>
      <c r="OM47" s="44">
        <v>4.2079119699999996</v>
      </c>
      <c r="ON47" s="44"/>
      <c r="OO47" s="44">
        <v>4.2079119699999996</v>
      </c>
      <c r="OP47" s="44">
        <v>56.611489639999995</v>
      </c>
      <c r="OQ47" s="44"/>
      <c r="OR47" s="44">
        <v>56.611489639999995</v>
      </c>
      <c r="OS47" s="44">
        <v>1.2658878699999998</v>
      </c>
      <c r="OT47" s="44"/>
      <c r="OU47" s="44">
        <v>1.2658878699999998</v>
      </c>
      <c r="OV47" s="44">
        <v>1.2325750499999999</v>
      </c>
      <c r="OW47" s="44"/>
      <c r="OX47" s="44">
        <v>1.2325750499999999</v>
      </c>
      <c r="OY47" s="95">
        <v>2.3129101199999997</v>
      </c>
      <c r="OZ47" s="95"/>
      <c r="PA47" s="95">
        <v>2.3129101199999997</v>
      </c>
      <c r="PB47" s="44">
        <v>15.24607999</v>
      </c>
      <c r="PC47" s="44"/>
      <c r="PD47" s="44">
        <v>15.24607999</v>
      </c>
      <c r="PE47" s="44">
        <v>18.473093519999999</v>
      </c>
      <c r="PF47" s="44"/>
      <c r="PG47" s="44">
        <v>18.473093519999999</v>
      </c>
      <c r="PH47" s="44">
        <v>10.786571399999998</v>
      </c>
      <c r="PI47" s="44"/>
      <c r="PJ47" s="44">
        <v>10.786571399999998</v>
      </c>
      <c r="PK47" s="44">
        <v>5.7984635700000009</v>
      </c>
      <c r="PL47" s="44"/>
      <c r="PM47" s="44">
        <v>5.7984635700000009</v>
      </c>
      <c r="PN47" s="50">
        <f t="shared" si="115"/>
        <v>164.82778893999998</v>
      </c>
      <c r="PO47" s="50">
        <f t="shared" si="108"/>
        <v>0</v>
      </c>
      <c r="PP47" s="50">
        <f t="shared" si="116"/>
        <v>164.82778893999998</v>
      </c>
      <c r="PQ47" s="50">
        <f t="shared" si="118"/>
        <v>164.826266</v>
      </c>
      <c r="PR47" s="50"/>
      <c r="PS47" s="50">
        <v>164.826266</v>
      </c>
      <c r="PT47" s="44">
        <v>1.77754817</v>
      </c>
      <c r="PU47" s="44"/>
      <c r="PV47" s="44">
        <v>1.77754817</v>
      </c>
      <c r="PW47" s="44">
        <v>45.328847689999996</v>
      </c>
      <c r="PX47" s="44"/>
      <c r="PY47" s="44">
        <v>45.328847689999996</v>
      </c>
      <c r="PZ47" s="44">
        <v>16.852384500000003</v>
      </c>
      <c r="QA47" s="44"/>
      <c r="QB47" s="44">
        <v>16.852384500000003</v>
      </c>
      <c r="QC47" s="44">
        <v>9.3187071299999999</v>
      </c>
      <c r="QD47" s="44"/>
      <c r="QE47" s="44">
        <v>9.3187071299999999</v>
      </c>
      <c r="QF47" s="50">
        <v>67.166256709999999</v>
      </c>
      <c r="QG47" s="44"/>
      <c r="QH47" s="44">
        <v>67.166256709999999</v>
      </c>
      <c r="QI47" s="50">
        <v>0.39611251000000003</v>
      </c>
      <c r="QJ47" s="44"/>
      <c r="QK47" s="44">
        <v>0.39611251000000003</v>
      </c>
      <c r="QL47" s="44">
        <v>0.16963953000000001</v>
      </c>
      <c r="QM47" s="44"/>
      <c r="QN47" s="44">
        <v>0.16963953000000001</v>
      </c>
      <c r="QO47" s="50">
        <v>5.4384423500000008</v>
      </c>
      <c r="QP47" s="44"/>
      <c r="QQ47" s="44">
        <v>5.4384423500000008</v>
      </c>
      <c r="QR47" s="44">
        <v>15.714095690000001</v>
      </c>
      <c r="QS47" s="44"/>
      <c r="QT47" s="44">
        <v>15.714095690000001</v>
      </c>
      <c r="QU47" s="50">
        <v>13.786926300000001</v>
      </c>
      <c r="QV47" s="44"/>
      <c r="QW47" s="44">
        <v>13.786926300000001</v>
      </c>
      <c r="QX47" s="50">
        <v>18.980799920000003</v>
      </c>
      <c r="QY47" s="44"/>
      <c r="QZ47" s="44">
        <v>18.980799920000003</v>
      </c>
      <c r="RA47" s="50">
        <v>0.87182040999999999</v>
      </c>
      <c r="RB47" s="44"/>
      <c r="RC47" s="44">
        <v>0.87182040999999999</v>
      </c>
      <c r="RD47" s="50">
        <f t="shared" si="52"/>
        <v>195.80158091000001</v>
      </c>
      <c r="RE47" s="50">
        <f t="shared" si="53"/>
        <v>0</v>
      </c>
      <c r="RF47" s="50">
        <f t="shared" si="54"/>
        <v>195.80158091000001</v>
      </c>
      <c r="RG47" s="50">
        <f t="shared" si="119"/>
        <v>195.77479299999999</v>
      </c>
      <c r="RH47" s="50"/>
      <c r="RI47" s="50">
        <v>195.77479299999999</v>
      </c>
      <c r="RJ47" s="50">
        <v>40.942956989999999</v>
      </c>
      <c r="RK47" s="50"/>
      <c r="RL47" s="50">
        <v>40.942956989999999</v>
      </c>
      <c r="RM47" s="50">
        <v>47.301288059999997</v>
      </c>
      <c r="RN47" s="50"/>
      <c r="RO47" s="50">
        <v>47.301288059999997</v>
      </c>
      <c r="RP47" s="50">
        <v>46.864213849999999</v>
      </c>
      <c r="RQ47" s="50"/>
      <c r="RR47" s="50">
        <v>46.864213849999999</v>
      </c>
      <c r="RS47" s="50">
        <v>46.617222009999992</v>
      </c>
      <c r="RT47" s="50"/>
      <c r="RU47" s="50">
        <v>46.617222009999992</v>
      </c>
      <c r="RV47" s="50">
        <v>50.119262899999995</v>
      </c>
      <c r="RW47" s="50"/>
      <c r="RX47" s="50">
        <v>50.119262899999995</v>
      </c>
      <c r="RY47" s="50">
        <v>13.594886459999998</v>
      </c>
      <c r="RZ47" s="50"/>
      <c r="SA47" s="50">
        <v>13.594886459999998</v>
      </c>
      <c r="SB47" s="50">
        <v>38.75542849</v>
      </c>
      <c r="SC47" s="50"/>
      <c r="SD47" s="50">
        <v>38.75542849</v>
      </c>
      <c r="SE47" s="50">
        <v>6.8545357899999999</v>
      </c>
      <c r="SF47" s="50"/>
      <c r="SG47" s="50">
        <v>6.8545357899999999</v>
      </c>
      <c r="SH47" s="50">
        <v>16.600176829999999</v>
      </c>
      <c r="SI47" s="50"/>
      <c r="SJ47" s="50">
        <v>16.600176829999999</v>
      </c>
      <c r="SK47" s="50">
        <v>15.02494182</v>
      </c>
      <c r="SL47" s="50"/>
      <c r="SM47" s="50">
        <v>15.02494182</v>
      </c>
      <c r="SN47" s="50">
        <v>17.472334310000001</v>
      </c>
      <c r="SO47" s="50"/>
      <c r="SP47" s="50">
        <v>17.472334310000001</v>
      </c>
      <c r="SQ47" s="50">
        <v>8.3229257199999989</v>
      </c>
      <c r="SR47" s="50"/>
      <c r="SS47" s="50">
        <v>8.3229257199999989</v>
      </c>
      <c r="ST47" s="50">
        <f t="shared" si="55"/>
        <v>348.47017323</v>
      </c>
      <c r="SU47" s="50">
        <f t="shared" si="65"/>
        <v>0</v>
      </c>
      <c r="SV47" s="50">
        <f t="shared" si="56"/>
        <v>348.47017323</v>
      </c>
      <c r="SW47" s="50">
        <f t="shared" si="103"/>
        <v>348.37397399999998</v>
      </c>
      <c r="SX47" s="50"/>
      <c r="SY47" s="50">
        <v>348.37397399999998</v>
      </c>
      <c r="SZ47" s="50">
        <v>105.33951731000002</v>
      </c>
      <c r="TA47" s="50"/>
      <c r="TB47" s="50">
        <v>105.33951731000002</v>
      </c>
      <c r="TC47" s="50">
        <v>46.379284000000006</v>
      </c>
      <c r="TD47" s="50"/>
      <c r="TE47" s="50">
        <v>46.379284000000006</v>
      </c>
      <c r="TF47" s="50">
        <v>62.527129140000007</v>
      </c>
      <c r="TG47" s="50"/>
      <c r="TH47" s="50">
        <v>62.527129140000007</v>
      </c>
      <c r="TI47" s="50">
        <v>1.4611867000000001</v>
      </c>
      <c r="TJ47" s="50"/>
      <c r="TK47" s="50">
        <v>1.4611867000000001</v>
      </c>
      <c r="TL47" s="50">
        <v>75.256690910000003</v>
      </c>
      <c r="TM47" s="50"/>
      <c r="TN47" s="50">
        <v>75.256690910000003</v>
      </c>
      <c r="TO47" s="50">
        <v>13.83471069</v>
      </c>
      <c r="TP47" s="50"/>
      <c r="TQ47" s="50">
        <v>13.83471069</v>
      </c>
      <c r="TR47" s="50">
        <v>65.673902460000008</v>
      </c>
      <c r="TS47" s="50"/>
      <c r="TT47" s="50">
        <v>65.673902460000008</v>
      </c>
      <c r="TU47" s="50">
        <v>5.8738185700000001</v>
      </c>
      <c r="TV47" s="50"/>
      <c r="TW47" s="50">
        <v>5.8738185700000001</v>
      </c>
      <c r="TX47" s="50">
        <v>20.859803589999999</v>
      </c>
      <c r="TY47" s="50"/>
      <c r="TZ47" s="50">
        <v>20.859803589999999</v>
      </c>
      <c r="UA47" s="50">
        <v>14.594956660000001</v>
      </c>
      <c r="UB47" s="50"/>
      <c r="UC47" s="50">
        <v>14.594956660000001</v>
      </c>
      <c r="UD47" s="50">
        <v>9.1882145200000007</v>
      </c>
      <c r="UE47" s="50"/>
      <c r="UF47" s="50">
        <v>9.1882145200000007</v>
      </c>
      <c r="UG47" s="50">
        <v>51.689644659999999</v>
      </c>
      <c r="UH47" s="50"/>
      <c r="UI47" s="50">
        <v>51.689644659999999</v>
      </c>
      <c r="UJ47" s="50">
        <f t="shared" si="45"/>
        <v>472.67885921000004</v>
      </c>
      <c r="UK47" s="50">
        <f t="shared" si="15"/>
        <v>0</v>
      </c>
      <c r="UL47" s="50">
        <f t="shared" si="16"/>
        <v>472.67885921000004</v>
      </c>
      <c r="UM47" s="50">
        <v>123.98681594999999</v>
      </c>
      <c r="UN47" s="50"/>
      <c r="UO47" s="50">
        <v>123.98681594999999</v>
      </c>
      <c r="UP47" s="50">
        <v>45.551922929999996</v>
      </c>
      <c r="UQ47" s="50"/>
      <c r="UR47" s="50">
        <v>45.551922929999996</v>
      </c>
      <c r="US47" s="50">
        <v>59.217580609999999</v>
      </c>
      <c r="UT47" s="50"/>
      <c r="UU47" s="50">
        <v>59.217580609999999</v>
      </c>
      <c r="UV47" s="50">
        <v>0.97116715000000009</v>
      </c>
      <c r="UW47" s="50"/>
      <c r="UX47" s="50">
        <v>0.97116715000000009</v>
      </c>
      <c r="UY47" s="50"/>
      <c r="UZ47" s="50"/>
      <c r="VA47" s="50"/>
      <c r="VB47" s="50"/>
      <c r="VC47" s="50"/>
      <c r="VD47" s="50"/>
      <c r="VE47" s="50"/>
      <c r="VF47" s="50"/>
      <c r="VG47" s="50"/>
      <c r="VH47" s="50"/>
      <c r="VI47" s="50"/>
      <c r="VJ47" s="50"/>
      <c r="VK47" s="50"/>
      <c r="VL47" s="50"/>
      <c r="VM47" s="50"/>
      <c r="VN47" s="50"/>
      <c r="VO47" s="50"/>
      <c r="VP47" s="50"/>
      <c r="VQ47" s="50"/>
      <c r="VR47" s="50"/>
      <c r="VS47" s="50"/>
      <c r="VT47" s="50"/>
      <c r="VU47" s="50"/>
      <c r="VV47" s="50"/>
      <c r="VW47" s="276">
        <f t="shared" si="57"/>
        <v>215.70711700000001</v>
      </c>
      <c r="VX47" s="292">
        <f t="shared" si="58"/>
        <v>0</v>
      </c>
      <c r="VY47" s="292">
        <f t="shared" si="59"/>
        <v>215.70711700000001</v>
      </c>
      <c r="VZ47" s="276">
        <f t="shared" si="60"/>
        <v>229.727487</v>
      </c>
      <c r="WA47" s="292">
        <f t="shared" si="61"/>
        <v>0</v>
      </c>
      <c r="WB47" s="292">
        <f t="shared" si="62"/>
        <v>229.727487</v>
      </c>
      <c r="WC47" s="277">
        <f t="shared" si="112"/>
        <v>14.020369999999986</v>
      </c>
      <c r="WD47" s="277">
        <f t="shared" si="104"/>
        <v>6.4997252733204789</v>
      </c>
    </row>
    <row r="48" spans="1:602" s="12" customFormat="1" ht="20.5">
      <c r="A48" s="46" t="s">
        <v>132</v>
      </c>
      <c r="B48" s="12">
        <v>3000</v>
      </c>
      <c r="C48" s="46" t="s">
        <v>133</v>
      </c>
      <c r="D48" s="45">
        <v>1319.3006456992277</v>
      </c>
      <c r="E48" s="42">
        <v>1693.3210738698131</v>
      </c>
      <c r="F48" s="42">
        <v>1583.6998679574961</v>
      </c>
      <c r="G48" s="42">
        <v>1537.9203647105028</v>
      </c>
      <c r="H48" s="42">
        <v>55.915972020648709</v>
      </c>
      <c r="I48" s="42">
        <v>115.65593176760518</v>
      </c>
      <c r="J48" s="42">
        <v>97.167116080728078</v>
      </c>
      <c r="K48" s="42">
        <v>95.369861170397442</v>
      </c>
      <c r="L48" s="42">
        <v>129.7524527748846</v>
      </c>
      <c r="M48" s="42">
        <v>102.82835595699517</v>
      </c>
      <c r="N48" s="42">
        <v>105.32522212451832</v>
      </c>
      <c r="O48" s="42">
        <v>102.54738683900494</v>
      </c>
      <c r="P48" s="42">
        <v>127.73082646086387</v>
      </c>
      <c r="Q48" s="42">
        <v>102.18505421141599</v>
      </c>
      <c r="R48" s="42">
        <v>155.32883273288144</v>
      </c>
      <c r="S48" s="42">
        <v>245.44800449342921</v>
      </c>
      <c r="T48" s="42">
        <v>710.61144511129885</v>
      </c>
      <c r="U48" s="42">
        <v>724.64357152207401</v>
      </c>
      <c r="V48" s="42">
        <v>1435.2550166333729</v>
      </c>
      <c r="W48" s="42">
        <v>1435.2498947074862</v>
      </c>
      <c r="X48" s="42">
        <v>72.026355854548356</v>
      </c>
      <c r="Y48" s="42">
        <v>122.93777781572103</v>
      </c>
      <c r="Z48" s="42">
        <v>115.825931525717</v>
      </c>
      <c r="AA48" s="42">
        <v>87.107124191097384</v>
      </c>
      <c r="AB48" s="42">
        <v>108.32626278450323</v>
      </c>
      <c r="AC48" s="42">
        <v>108.29841890484403</v>
      </c>
      <c r="AD48" s="42">
        <v>109.94700229366937</v>
      </c>
      <c r="AE48" s="42">
        <v>122.92318199668755</v>
      </c>
      <c r="AF48" s="42">
        <v>113.08262189742801</v>
      </c>
      <c r="AG48" s="42">
        <v>187.53445229395393</v>
      </c>
      <c r="AH48" s="42">
        <v>182.95625807479755</v>
      </c>
      <c r="AI48" s="42">
        <v>240.07567116863305</v>
      </c>
      <c r="AJ48" s="42">
        <v>816.10454367078205</v>
      </c>
      <c r="AK48" s="42">
        <v>754.93651481778704</v>
      </c>
      <c r="AL48" s="42">
        <v>1571.0410588016005</v>
      </c>
      <c r="AM48" s="42">
        <v>1571.0423645852898</v>
      </c>
      <c r="AN48" s="42">
        <v>87.995397009692596</v>
      </c>
      <c r="AO48" s="42">
        <v>135.23227244011133</v>
      </c>
      <c r="AP48" s="42">
        <v>123.49561258900064</v>
      </c>
      <c r="AQ48" s="42">
        <v>111.3539893199242</v>
      </c>
      <c r="AR48" s="42">
        <v>115.03062300442231</v>
      </c>
      <c r="AS48" s="42">
        <v>108.54767139913831</v>
      </c>
      <c r="AT48" s="42">
        <v>109.65907706842876</v>
      </c>
      <c r="AU48" s="42">
        <v>121.02787572353031</v>
      </c>
      <c r="AV48" s="42">
        <v>108.45444533611078</v>
      </c>
      <c r="AW48" s="42">
        <v>112.95144592233399</v>
      </c>
      <c r="AX48" s="42">
        <v>171.66797570873246</v>
      </c>
      <c r="AY48" s="42">
        <v>232.1838393065492</v>
      </c>
      <c r="AZ48" s="42">
        <v>789.45829292377402</v>
      </c>
      <c r="BA48" s="42">
        <v>748.141932</v>
      </c>
      <c r="BB48" s="42">
        <v>1537.6002248279751</v>
      </c>
      <c r="BC48" s="42">
        <f t="shared" si="21"/>
        <v>789.45829562723043</v>
      </c>
      <c r="BD48" s="42">
        <v>748.06069259708261</v>
      </c>
      <c r="BE48" s="42">
        <v>1537.518988224313</v>
      </c>
      <c r="BF48" s="44">
        <v>41.393917850000001</v>
      </c>
      <c r="BG48" s="44">
        <v>48.081760289999998</v>
      </c>
      <c r="BH48" s="44">
        <f>BH49+BH50+BH51+BH52</f>
        <v>89.475678000000002</v>
      </c>
      <c r="BI48" s="44">
        <v>79.032984980000009</v>
      </c>
      <c r="BJ48" s="44">
        <v>74.234717450000005</v>
      </c>
      <c r="BK48" s="44">
        <f>BK49+BK50+BK51+BK52</f>
        <v>153.26770299999998</v>
      </c>
      <c r="BL48" s="44">
        <v>71.247536699999998</v>
      </c>
      <c r="BM48" s="44">
        <v>43.078898789999997</v>
      </c>
      <c r="BN48" s="44">
        <f>BN49+BN50+BN51+BN52</f>
        <v>114.32643499999999</v>
      </c>
      <c r="BO48" s="44">
        <v>69.23702295999999</v>
      </c>
      <c r="BP48" s="44">
        <v>64.838527450000001</v>
      </c>
      <c r="BQ48" s="44">
        <f>BQ49+BQ50+BQ51+BQ52</f>
        <v>134.07555099999999</v>
      </c>
      <c r="BR48" s="44">
        <v>69.460479579999998</v>
      </c>
      <c r="BS48" s="44">
        <v>48.352054670000001</v>
      </c>
      <c r="BT48" s="44">
        <f>BT49+BT50+BT51+BT52</f>
        <v>117.81253400000001</v>
      </c>
      <c r="BU48" s="44">
        <v>73.047907420000001</v>
      </c>
      <c r="BV48" s="44">
        <v>35.219950500000003</v>
      </c>
      <c r="BW48" s="44">
        <f>BW49+BW50+BW51+BW52</f>
        <v>108.26785799999999</v>
      </c>
      <c r="BX48" s="44">
        <v>69.756055820000014</v>
      </c>
      <c r="BY48" s="44">
        <v>60.643520850000002</v>
      </c>
      <c r="BZ48" s="44">
        <f>BZ49+BZ50+BZ51+BZ52</f>
        <v>130.39957667000004</v>
      </c>
      <c r="CA48" s="44">
        <v>66.492528520000008</v>
      </c>
      <c r="CB48" s="44">
        <v>46.944913419999999</v>
      </c>
      <c r="CC48" s="44">
        <f t="shared" ref="CC48:CI48" si="120">CC49+CC50+CC51+CC52</f>
        <v>113.43744199999999</v>
      </c>
      <c r="CD48" s="44">
        <f t="shared" si="120"/>
        <v>79.506825980000002</v>
      </c>
      <c r="CE48" s="44">
        <f t="shared" si="120"/>
        <v>37.286374310000006</v>
      </c>
      <c r="CF48" s="44">
        <f t="shared" si="120"/>
        <v>116.79320029000002</v>
      </c>
      <c r="CG48" s="44">
        <f t="shared" si="120"/>
        <v>81.447816269999961</v>
      </c>
      <c r="CH48" s="44">
        <f t="shared" si="120"/>
        <v>78.542591589999986</v>
      </c>
      <c r="CI48" s="44">
        <f t="shared" si="120"/>
        <v>159.99040785999995</v>
      </c>
      <c r="CJ48" s="44">
        <f t="shared" ref="CJ48:CO48" si="121">CJ49+CJ50+CJ51+CJ52</f>
        <v>73.794725259999993</v>
      </c>
      <c r="CK48" s="44">
        <f t="shared" si="121"/>
        <v>126.00055767999999</v>
      </c>
      <c r="CL48" s="44">
        <f t="shared" si="121"/>
        <v>199.79528293999996</v>
      </c>
      <c r="CM48" s="44">
        <f t="shared" si="121"/>
        <v>143.80763990000003</v>
      </c>
      <c r="CN48" s="44">
        <f t="shared" si="121"/>
        <v>197.63390026999994</v>
      </c>
      <c r="CO48" s="44">
        <f t="shared" si="121"/>
        <v>341.44154016999994</v>
      </c>
      <c r="CP48" s="50">
        <f t="shared" si="24"/>
        <v>918.22544124000012</v>
      </c>
      <c r="CQ48" s="50">
        <f t="shared" si="25"/>
        <v>860.85776726999984</v>
      </c>
      <c r="CR48" s="50">
        <f t="shared" si="26"/>
        <v>1779.0832089299997</v>
      </c>
      <c r="CS48" s="42">
        <f t="shared" si="93"/>
        <v>919.50897800000007</v>
      </c>
      <c r="CT48" s="42">
        <f>CT49+CT50+CT51+CT52</f>
        <v>860.85776699999997</v>
      </c>
      <c r="CU48" s="42">
        <f>CU49+CU50+CU51+CU52</f>
        <v>1780.366745</v>
      </c>
      <c r="CV48" s="44">
        <f>CV49+CV50+CV51+CV52</f>
        <v>46.065659699999991</v>
      </c>
      <c r="CW48" s="44">
        <f>CW49+CW50+CW51+CW52</f>
        <v>59.19646946999999</v>
      </c>
      <c r="CX48" s="44">
        <f>CX49+CX50+CX51+CX52</f>
        <v>105.26212916999999</v>
      </c>
      <c r="CY48" s="44">
        <v>78.215786750000007</v>
      </c>
      <c r="CZ48" s="44">
        <v>63.095710349999997</v>
      </c>
      <c r="DA48" s="44">
        <v>141.31149709999997</v>
      </c>
      <c r="DB48" s="44">
        <v>77.957957789999995</v>
      </c>
      <c r="DC48" s="44">
        <v>57.264962840000003</v>
      </c>
      <c r="DD48" s="44">
        <v>135.22292063</v>
      </c>
      <c r="DE48" s="44">
        <v>74.150518079999983</v>
      </c>
      <c r="DF48" s="44">
        <v>62.960664640000005</v>
      </c>
      <c r="DG48" s="44">
        <v>137.11118271999999</v>
      </c>
      <c r="DH48" s="44">
        <v>72.327317189999974</v>
      </c>
      <c r="DI48" s="44">
        <v>28.738907080000004</v>
      </c>
      <c r="DJ48" s="44">
        <v>101.06622426999998</v>
      </c>
      <c r="DK48" s="44">
        <v>83.371062319999993</v>
      </c>
      <c r="DL48" s="44">
        <v>45.197475539999992</v>
      </c>
      <c r="DM48" s="44">
        <v>128.56853785999999</v>
      </c>
      <c r="DN48" s="44">
        <v>92.415332230000061</v>
      </c>
      <c r="DO48" s="44">
        <v>42.206774880000005</v>
      </c>
      <c r="DP48" s="44">
        <v>134.62210711000006</v>
      </c>
      <c r="DQ48" s="44">
        <v>69.524407610000011</v>
      </c>
      <c r="DR48" s="44">
        <v>55.724426269999995</v>
      </c>
      <c r="DS48" s="44">
        <v>125.24883388000001</v>
      </c>
      <c r="DT48" s="44">
        <v>71.281367180000004</v>
      </c>
      <c r="DU48" s="44">
        <v>51.013039079999992</v>
      </c>
      <c r="DV48" s="44">
        <v>122.29440626</v>
      </c>
      <c r="DW48" s="44">
        <v>69.570145279999991</v>
      </c>
      <c r="DX48" s="44">
        <v>44.380235189999986</v>
      </c>
      <c r="DY48" s="44">
        <v>113.95038046999998</v>
      </c>
      <c r="DZ48" s="44">
        <v>73.526957270000011</v>
      </c>
      <c r="EA48" s="44">
        <v>79.104696589999989</v>
      </c>
      <c r="EB48" s="44">
        <v>152.63165386000003</v>
      </c>
      <c r="EC48" s="44">
        <v>90.452214199999986</v>
      </c>
      <c r="ED48" s="44">
        <v>155.02894128999998</v>
      </c>
      <c r="EE48" s="44">
        <v>245.48115548999994</v>
      </c>
      <c r="EF48" s="50">
        <f t="shared" si="27"/>
        <v>898.85872560000007</v>
      </c>
      <c r="EG48" s="50">
        <f t="shared" si="28"/>
        <v>743.91230322000001</v>
      </c>
      <c r="EH48" s="50">
        <f t="shared" si="29"/>
        <v>1642.7710288200003</v>
      </c>
      <c r="EI48" s="50">
        <f t="shared" si="94"/>
        <v>898.85872984000014</v>
      </c>
      <c r="EJ48" s="50">
        <f>EJ49+EJ50+EJ51+EJ52</f>
        <v>743.91230299999995</v>
      </c>
      <c r="EK48" s="50">
        <f>EK49+EK50+EK51+EK52</f>
        <v>1642.7710328400001</v>
      </c>
      <c r="EL48" s="50">
        <v>65.385107459999986</v>
      </c>
      <c r="EM48" s="50">
        <v>68.034846120000012</v>
      </c>
      <c r="EN48" s="50">
        <v>133.41995358</v>
      </c>
      <c r="EO48" s="50">
        <v>83.088651990000002</v>
      </c>
      <c r="EP48" s="50">
        <v>86.409869549999968</v>
      </c>
      <c r="EQ48" s="50">
        <v>169.49852153999998</v>
      </c>
      <c r="ER48" s="50">
        <v>77.955192670000002</v>
      </c>
      <c r="ES48" s="50">
        <v>93.916172750000001</v>
      </c>
      <c r="ET48" s="50">
        <v>171.87136542000002</v>
      </c>
      <c r="EU48" s="50">
        <v>133.46370101999997</v>
      </c>
      <c r="EV48" s="50">
        <v>72.461773649999998</v>
      </c>
      <c r="EW48" s="50">
        <v>205.92547466999997</v>
      </c>
      <c r="EX48" s="50">
        <v>72.599242450000006</v>
      </c>
      <c r="EY48" s="50">
        <v>19.108572990000003</v>
      </c>
      <c r="EZ48" s="50">
        <v>91.707815440000005</v>
      </c>
      <c r="FA48" s="50">
        <v>78.894752660000009</v>
      </c>
      <c r="FB48" s="50">
        <v>24.537583090000002</v>
      </c>
      <c r="FC48" s="50">
        <v>103.43233575000001</v>
      </c>
      <c r="FD48" s="50">
        <v>71.850459400000005</v>
      </c>
      <c r="FE48" s="50">
        <v>47.030292290000006</v>
      </c>
      <c r="FF48" s="50">
        <v>118.88075169000001</v>
      </c>
      <c r="FG48" s="50">
        <v>68.413827220000016</v>
      </c>
      <c r="FH48" s="50">
        <v>21.528493660000002</v>
      </c>
      <c r="FI48" s="50">
        <v>89.942320880000011</v>
      </c>
      <c r="FJ48" s="50">
        <v>71.77016537999998</v>
      </c>
      <c r="FK48" s="50">
        <v>18.126906590000004</v>
      </c>
      <c r="FL48" s="50">
        <v>89.897071969999985</v>
      </c>
      <c r="FM48" s="50">
        <v>85.877768340000003</v>
      </c>
      <c r="FN48" s="50">
        <v>83.967750710000004</v>
      </c>
      <c r="FO48" s="50">
        <v>169.84551905000001</v>
      </c>
      <c r="FP48" s="50">
        <v>72.944431289999983</v>
      </c>
      <c r="FQ48" s="50">
        <v>88.676148129999987</v>
      </c>
      <c r="FR48" s="50">
        <v>161.62057941999998</v>
      </c>
      <c r="FS48" s="50">
        <v>114.41883315000001</v>
      </c>
      <c r="FT48" s="50">
        <v>123.54138123999998</v>
      </c>
      <c r="FU48" s="50">
        <v>237.96021438999998</v>
      </c>
      <c r="FV48" s="50">
        <f t="shared" si="30"/>
        <v>996.66213302999995</v>
      </c>
      <c r="FW48" s="50">
        <f t="shared" si="31"/>
        <v>747.33979076999992</v>
      </c>
      <c r="FX48" s="50">
        <f t="shared" si="32"/>
        <v>1744.0019237999998</v>
      </c>
      <c r="FY48" s="50">
        <f t="shared" si="95"/>
        <v>996.6624129999999</v>
      </c>
      <c r="FZ48" s="50">
        <f>FZ49+FZ50+FZ51+FZ52</f>
        <v>747.33979099999999</v>
      </c>
      <c r="GA48" s="50">
        <f>GA49+GA50+GA51+GA52</f>
        <v>1744.0022039999999</v>
      </c>
      <c r="GB48" s="50">
        <v>59.79537091000001</v>
      </c>
      <c r="GC48" s="50">
        <v>58.582995570000016</v>
      </c>
      <c r="GD48" s="50">
        <v>118.37836648000003</v>
      </c>
      <c r="GE48" s="50">
        <v>107.61350771999997</v>
      </c>
      <c r="GF48" s="50">
        <v>36.381422569999998</v>
      </c>
      <c r="GG48" s="50">
        <v>143.99493028999996</v>
      </c>
      <c r="GH48" s="50">
        <v>85.097759049999965</v>
      </c>
      <c r="GI48" s="50">
        <v>32.532396779999999</v>
      </c>
      <c r="GJ48" s="50">
        <v>117.63015582999996</v>
      </c>
      <c r="GK48" s="50">
        <v>87.66862599000001</v>
      </c>
      <c r="GL48" s="50">
        <v>16.697994169999998</v>
      </c>
      <c r="GM48" s="50">
        <v>104.36662016000001</v>
      </c>
      <c r="GN48" s="50">
        <v>78.459661650000015</v>
      </c>
      <c r="GO48" s="50">
        <v>29.307329089999996</v>
      </c>
      <c r="GP48" s="50">
        <v>107.76699074000001</v>
      </c>
      <c r="GQ48" s="50">
        <v>132.30309238999999</v>
      </c>
      <c r="GR48" s="50">
        <v>29.069771939999995</v>
      </c>
      <c r="GS48" s="50">
        <v>161.37286433</v>
      </c>
      <c r="GT48" s="50">
        <v>80.730214899999993</v>
      </c>
      <c r="GU48" s="50">
        <v>19.472478619999997</v>
      </c>
      <c r="GV48" s="50">
        <v>100.20269352</v>
      </c>
      <c r="GW48" s="50">
        <v>78.201868599999997</v>
      </c>
      <c r="GX48" s="50">
        <v>23.375527690000002</v>
      </c>
      <c r="GY48" s="50">
        <v>101.57739629</v>
      </c>
      <c r="GZ48" s="50">
        <v>78.00872059999999</v>
      </c>
      <c r="HA48" s="50">
        <v>23.94774761</v>
      </c>
      <c r="HB48" s="50">
        <v>101.95646820999998</v>
      </c>
      <c r="HC48" s="50">
        <v>80.349032629999982</v>
      </c>
      <c r="HD48" s="50">
        <v>127.40655761000001</v>
      </c>
      <c r="HE48" s="50">
        <v>207.75559023999998</v>
      </c>
      <c r="HF48" s="50">
        <v>103.49898993000001</v>
      </c>
      <c r="HG48" s="50">
        <v>76.880808080000037</v>
      </c>
      <c r="HH48" s="50">
        <v>180.37979801000006</v>
      </c>
      <c r="HI48" s="50">
        <v>120.92020820000006</v>
      </c>
      <c r="HJ48" s="50">
        <v>167.31434301000004</v>
      </c>
      <c r="HK48" s="50">
        <v>288.23455121000006</v>
      </c>
      <c r="HL48" s="50">
        <f t="shared" si="33"/>
        <v>1092.6470525699999</v>
      </c>
      <c r="HM48" s="50">
        <f t="shared" si="34"/>
        <v>640.96937274000004</v>
      </c>
      <c r="HN48" s="50">
        <f t="shared" si="35"/>
        <v>1733.6164253100001</v>
      </c>
      <c r="HO48" s="50">
        <f t="shared" si="96"/>
        <v>1094.8530650000002</v>
      </c>
      <c r="HP48" s="50">
        <f>HP49+HP50+HP51+HP52</f>
        <v>640.96937300000002</v>
      </c>
      <c r="HQ48" s="50">
        <f>HQ49+HQ50+HQ51+HQ52</f>
        <v>1735.8224380000001</v>
      </c>
      <c r="HR48" s="50">
        <v>63.741995079999988</v>
      </c>
      <c r="HS48" s="50">
        <v>62.252670640000005</v>
      </c>
      <c r="HT48" s="50">
        <v>125.99466571999997</v>
      </c>
      <c r="HU48" s="50">
        <v>96.292455160000003</v>
      </c>
      <c r="HV48" s="50">
        <v>37.679835270000019</v>
      </c>
      <c r="HW48" s="50">
        <v>133.97229042999999</v>
      </c>
      <c r="HX48" s="50">
        <v>94.584377770000017</v>
      </c>
      <c r="HY48" s="50">
        <v>33.614553239999999</v>
      </c>
      <c r="HZ48" s="50">
        <v>128.19893101</v>
      </c>
      <c r="IA48" s="50">
        <v>169.14510215000001</v>
      </c>
      <c r="IB48" s="50">
        <v>26.030301719999997</v>
      </c>
      <c r="IC48" s="50">
        <v>195.17540386999994</v>
      </c>
      <c r="ID48" s="50">
        <v>90.590494290000009</v>
      </c>
      <c r="IE48" s="50">
        <v>30.396809570000002</v>
      </c>
      <c r="IF48" s="50">
        <v>120.98730385999998</v>
      </c>
      <c r="IG48" s="50">
        <v>94.435788319999986</v>
      </c>
      <c r="IH48" s="50">
        <v>46.740951669999994</v>
      </c>
      <c r="II48" s="50">
        <v>141.17673998999999</v>
      </c>
      <c r="IJ48" s="50">
        <v>99.867782900000009</v>
      </c>
      <c r="IK48" s="50">
        <v>33.918839779999999</v>
      </c>
      <c r="IL48" s="50">
        <v>133.78662267999999</v>
      </c>
      <c r="IM48" s="50">
        <v>92.58190848000001</v>
      </c>
      <c r="IN48" s="50">
        <v>66.4228253</v>
      </c>
      <c r="IO48" s="50">
        <v>159.00473378000001</v>
      </c>
      <c r="IP48" s="50">
        <v>93.92299770999999</v>
      </c>
      <c r="IQ48" s="50">
        <v>28.086159559999995</v>
      </c>
      <c r="IR48" s="50">
        <v>122.00915727000002</v>
      </c>
      <c r="IS48" s="50">
        <v>107.95988419000001</v>
      </c>
      <c r="IT48" s="50">
        <v>166.81226277000005</v>
      </c>
      <c r="IU48" s="50">
        <v>274.7721469600001</v>
      </c>
      <c r="IV48" s="50">
        <v>116.02323798</v>
      </c>
      <c r="IW48" s="50">
        <v>66.348390319999965</v>
      </c>
      <c r="IX48" s="50">
        <v>182.37162829999994</v>
      </c>
      <c r="IY48" s="50">
        <v>152.85773656999999</v>
      </c>
      <c r="IZ48" s="50">
        <v>194.70155894999996</v>
      </c>
      <c r="JA48" s="50">
        <v>347.55929552000015</v>
      </c>
      <c r="JB48" s="50">
        <f t="shared" si="36"/>
        <v>1272.0037606000001</v>
      </c>
      <c r="JC48" s="50">
        <f t="shared" si="37"/>
        <v>793.00515879</v>
      </c>
      <c r="JD48" s="50">
        <f t="shared" si="38"/>
        <v>2065.0089193899998</v>
      </c>
      <c r="JE48" s="50">
        <f t="shared" si="97"/>
        <v>1271.9950040000001</v>
      </c>
      <c r="JF48" s="50">
        <f>JF49+JF50+JF51+JF52</f>
        <v>792.99833100000001</v>
      </c>
      <c r="JG48" s="50">
        <f>JG49+JG50+JG51+JG52</f>
        <v>2064.9933350000001</v>
      </c>
      <c r="JH48" s="50">
        <v>81.246871000000013</v>
      </c>
      <c r="JI48" s="50">
        <v>53.677952329999982</v>
      </c>
      <c r="JJ48" s="50">
        <v>134.92482333000001</v>
      </c>
      <c r="JK48" s="50">
        <v>104.81428632000001</v>
      </c>
      <c r="JL48" s="50">
        <v>45.442411049999997</v>
      </c>
      <c r="JM48" s="50">
        <v>150.25669736999998</v>
      </c>
      <c r="JN48" s="50">
        <v>91.488585049999998</v>
      </c>
      <c r="JO48" s="50">
        <v>43.373495030000001</v>
      </c>
      <c r="JP48" s="50">
        <v>134.86208007999997</v>
      </c>
      <c r="JQ48" s="50">
        <v>115.27819706999999</v>
      </c>
      <c r="JR48" s="50">
        <v>35.136532980000005</v>
      </c>
      <c r="JS48" s="50">
        <v>150.41473004999997</v>
      </c>
      <c r="JT48" s="50">
        <v>100.83754362000003</v>
      </c>
      <c r="JU48" s="50">
        <v>36.438113489999992</v>
      </c>
      <c r="JV48" s="50">
        <v>137.27565711</v>
      </c>
      <c r="JW48" s="50">
        <v>97.282710599999987</v>
      </c>
      <c r="JX48" s="50">
        <v>32.26522748</v>
      </c>
      <c r="JY48" s="50">
        <v>129.54793808000002</v>
      </c>
      <c r="JZ48" s="50">
        <v>118.31482371999998</v>
      </c>
      <c r="KA48" s="50">
        <v>51.464899079999988</v>
      </c>
      <c r="KB48" s="50">
        <v>169.77972280000006</v>
      </c>
      <c r="KC48" s="50">
        <v>103.14937290999997</v>
      </c>
      <c r="KD48" s="50">
        <v>37.410261490000003</v>
      </c>
      <c r="KE48" s="50">
        <v>140.55963440000005</v>
      </c>
      <c r="KF48" s="50">
        <v>100.11051671</v>
      </c>
      <c r="KG48" s="50">
        <v>29.915845340000001</v>
      </c>
      <c r="KH48" s="50">
        <v>130.02636204999999</v>
      </c>
      <c r="KI48" s="50">
        <v>106.26670571</v>
      </c>
      <c r="KJ48" s="50">
        <v>145.26064688999998</v>
      </c>
      <c r="KK48" s="50">
        <v>251.5273526</v>
      </c>
      <c r="KL48" s="50">
        <v>152.25300677000001</v>
      </c>
      <c r="KM48" s="50">
        <v>35.112618040000001</v>
      </c>
      <c r="KN48" s="50">
        <v>187.36562480999999</v>
      </c>
      <c r="KO48" s="50">
        <v>175.48723240999996</v>
      </c>
      <c r="KP48" s="50">
        <v>222.46646980999998</v>
      </c>
      <c r="KQ48" s="50">
        <v>397.95370222000008</v>
      </c>
      <c r="KR48" s="50">
        <f t="shared" si="48"/>
        <v>1346.5298518899999</v>
      </c>
      <c r="KS48" s="50">
        <f t="shared" si="39"/>
        <v>767.96447300999989</v>
      </c>
      <c r="KT48" s="50">
        <f t="shared" si="49"/>
        <v>2114.4943249000003</v>
      </c>
      <c r="KU48" s="50">
        <f t="shared" si="98"/>
        <v>1346.5298520000001</v>
      </c>
      <c r="KV48" s="50">
        <v>767.964474</v>
      </c>
      <c r="KW48" s="50">
        <f>KW49+KW50+KW51</f>
        <v>2114.494326</v>
      </c>
      <c r="KX48" s="50">
        <v>89.969413720000006</v>
      </c>
      <c r="KY48" s="50">
        <v>56.173861620000004</v>
      </c>
      <c r="KZ48" s="50">
        <v>146.14327533999997</v>
      </c>
      <c r="LA48" s="50">
        <v>123.12656895000001</v>
      </c>
      <c r="LB48" s="50">
        <v>43.054222539999991</v>
      </c>
      <c r="LC48" s="50">
        <v>166.18079149000002</v>
      </c>
      <c r="LD48" s="50">
        <v>114.30355790000003</v>
      </c>
      <c r="LE48" s="50">
        <v>73.829184240000004</v>
      </c>
      <c r="LF48" s="87">
        <v>188.13274213999998</v>
      </c>
      <c r="LG48" s="50">
        <v>257.14281805000002</v>
      </c>
      <c r="LH48" s="50">
        <v>26.450505909999993</v>
      </c>
      <c r="LI48" s="175">
        <v>283.59332396000002</v>
      </c>
      <c r="LJ48" s="174">
        <v>92.626475209999981</v>
      </c>
      <c r="LK48" s="50">
        <v>21.201285450000007</v>
      </c>
      <c r="LL48" s="174">
        <v>113.82776065999992</v>
      </c>
      <c r="LM48" s="50">
        <v>103.88002082999998</v>
      </c>
      <c r="LN48" s="50">
        <v>38.773088220000005</v>
      </c>
      <c r="LO48" s="50">
        <v>142.65310904999998</v>
      </c>
      <c r="LP48" s="50">
        <v>130.60142801000001</v>
      </c>
      <c r="LQ48" s="44">
        <v>30.287201149999998</v>
      </c>
      <c r="LR48" s="44">
        <v>160.88862915999999</v>
      </c>
      <c r="LS48" s="50">
        <v>188.53242504000002</v>
      </c>
      <c r="LT48" s="50">
        <v>58.418736540000019</v>
      </c>
      <c r="LU48" s="52">
        <v>246.9511615799999</v>
      </c>
      <c r="LV48" s="44">
        <v>149.35217004</v>
      </c>
      <c r="LW48" s="44">
        <v>23.174482020000003</v>
      </c>
      <c r="LX48" s="44">
        <v>172.52665206</v>
      </c>
      <c r="LY48" s="44">
        <v>144.22848317</v>
      </c>
      <c r="LZ48" s="44">
        <v>144.41239545999997</v>
      </c>
      <c r="MA48" s="44">
        <v>288.64087863000003</v>
      </c>
      <c r="MB48" s="44">
        <v>134.95653792999997</v>
      </c>
      <c r="MC48" s="44">
        <v>30.263681989999995</v>
      </c>
      <c r="MD48" s="44">
        <v>165.22021992000001</v>
      </c>
      <c r="ME48" s="44">
        <v>236.22108530999995</v>
      </c>
      <c r="MF48" s="44">
        <v>222.98040682999996</v>
      </c>
      <c r="MG48" s="44">
        <v>459.20149214000008</v>
      </c>
      <c r="MH48" s="50">
        <f t="shared" si="66"/>
        <v>1764.9409841600002</v>
      </c>
      <c r="MI48" s="50">
        <f t="shared" si="50"/>
        <v>769.01905197000008</v>
      </c>
      <c r="MJ48" s="50">
        <f t="shared" si="51"/>
        <v>2533.9600361299999</v>
      </c>
      <c r="MK48" s="50">
        <f t="shared" si="99"/>
        <v>1764.9410449999998</v>
      </c>
      <c r="ML48" s="50">
        <v>769.04663000000005</v>
      </c>
      <c r="MM48" s="50">
        <f>MM49+MM50+MM51</f>
        <v>2533.9876749999999</v>
      </c>
      <c r="MN48" s="44">
        <v>102.43267537999999</v>
      </c>
      <c r="MO48" s="44">
        <v>32.414373040000008</v>
      </c>
      <c r="MP48" s="44">
        <v>134.84704841999996</v>
      </c>
      <c r="MQ48" s="44">
        <v>187.96031151000003</v>
      </c>
      <c r="MR48" s="44">
        <v>43.999659439999995</v>
      </c>
      <c r="MS48" s="44">
        <v>231.95997094999993</v>
      </c>
      <c r="MT48" s="50">
        <v>163.40257565000005</v>
      </c>
      <c r="MU48" s="50">
        <v>46.251551109999994</v>
      </c>
      <c r="MV48" s="50">
        <v>209.65412676000011</v>
      </c>
      <c r="MW48" s="44">
        <v>201.23105808000003</v>
      </c>
      <c r="MX48" s="44">
        <v>16.569484469999995</v>
      </c>
      <c r="MY48" s="44">
        <v>217.80054255000005</v>
      </c>
      <c r="MZ48" s="44">
        <v>168.11551889</v>
      </c>
      <c r="NA48" s="44">
        <v>29.317396530000007</v>
      </c>
      <c r="NB48" s="44">
        <v>197.43291542000003</v>
      </c>
      <c r="NC48" s="44">
        <v>171.17376872000003</v>
      </c>
      <c r="ND48" s="44">
        <v>34.792599680000009</v>
      </c>
      <c r="NE48" s="44">
        <v>205.96636840000002</v>
      </c>
      <c r="NF48" s="44">
        <v>179.49181564999998</v>
      </c>
      <c r="NG48" s="44">
        <v>24.301846329999996</v>
      </c>
      <c r="NH48" s="44">
        <v>203.79366198</v>
      </c>
      <c r="NI48" s="44">
        <v>169.77383048999991</v>
      </c>
      <c r="NJ48" s="44">
        <v>28.334937809999996</v>
      </c>
      <c r="NK48" s="44">
        <v>198.10876829999998</v>
      </c>
      <c r="NL48" s="44">
        <v>150.63536991000007</v>
      </c>
      <c r="NM48" s="44">
        <v>74.774646379999979</v>
      </c>
      <c r="NN48" s="44">
        <v>225.41001629000004</v>
      </c>
      <c r="NO48" s="44">
        <v>176.54129540999995</v>
      </c>
      <c r="NP48" s="44">
        <v>144.29833672999996</v>
      </c>
      <c r="NQ48" s="44">
        <v>320.83963213999994</v>
      </c>
      <c r="NR48" s="44">
        <v>175.48064081000001</v>
      </c>
      <c r="NS48" s="44">
        <v>38.43451219</v>
      </c>
      <c r="NT48" s="44">
        <v>213.91515233999999</v>
      </c>
      <c r="NU48" s="44">
        <v>819.72986495000009</v>
      </c>
      <c r="NV48" s="44">
        <v>229.13431304999997</v>
      </c>
      <c r="NW48" s="44">
        <v>1048.864178</v>
      </c>
      <c r="NX48" s="50">
        <f t="shared" si="117"/>
        <v>2665.9687254500004</v>
      </c>
      <c r="NY48" s="50">
        <f t="shared" si="40"/>
        <v>742.6236567599999</v>
      </c>
      <c r="NZ48" s="50">
        <f t="shared" si="41"/>
        <v>3408.59238155</v>
      </c>
      <c r="OA48" s="50">
        <f t="shared" si="100"/>
        <v>2657.9221328099998</v>
      </c>
      <c r="OB48" s="50">
        <v>741.75579819000006</v>
      </c>
      <c r="OC48" s="50">
        <v>3399.6779309999997</v>
      </c>
      <c r="OD48" s="44">
        <v>201.29559399999999</v>
      </c>
      <c r="OE48" s="44">
        <v>38.813746919999986</v>
      </c>
      <c r="OF48" s="44">
        <v>240.10934092000005</v>
      </c>
      <c r="OG48" s="50">
        <v>232.79643332999999</v>
      </c>
      <c r="OH48" s="44">
        <v>25.463781709999996</v>
      </c>
      <c r="OI48" s="44">
        <v>258.26021503999999</v>
      </c>
      <c r="OJ48" s="44">
        <f t="shared" si="107"/>
        <v>255.86324999000004</v>
      </c>
      <c r="OK48" s="44">
        <v>54.268192000000013</v>
      </c>
      <c r="OL48" s="44">
        <v>310.13144199000004</v>
      </c>
      <c r="OM48" s="44">
        <v>251.58311952999998</v>
      </c>
      <c r="ON48" s="44">
        <v>33.254777339999997</v>
      </c>
      <c r="OO48" s="44">
        <v>284.83789687000007</v>
      </c>
      <c r="OP48" s="44">
        <v>261.97676051999997</v>
      </c>
      <c r="OQ48" s="44">
        <v>29.436324369999998</v>
      </c>
      <c r="OR48" s="44">
        <v>291.41308488999982</v>
      </c>
      <c r="OS48" s="44">
        <v>230.57395488000006</v>
      </c>
      <c r="OT48" s="44">
        <v>30.064816449999999</v>
      </c>
      <c r="OU48" s="44">
        <v>260.63877133000022</v>
      </c>
      <c r="OV48" s="44">
        <v>185.18068806999989</v>
      </c>
      <c r="OW48" s="44">
        <v>23.268279300000003</v>
      </c>
      <c r="OX48" s="44">
        <v>208.44896736999988</v>
      </c>
      <c r="OY48" s="95">
        <v>155.40764820999999</v>
      </c>
      <c r="OZ48" s="95">
        <v>56.629398400000007</v>
      </c>
      <c r="PA48" s="95">
        <v>212.03704660999998</v>
      </c>
      <c r="PB48" s="44">
        <v>146.78301681000002</v>
      </c>
      <c r="PC48" s="44">
        <v>73.051650000000009</v>
      </c>
      <c r="PD48" s="44">
        <v>219.83466680999987</v>
      </c>
      <c r="PE48" s="44">
        <v>167.21248563</v>
      </c>
      <c r="PF48" s="44">
        <v>170.44927810000004</v>
      </c>
      <c r="PG48" s="44">
        <v>337.66176373000008</v>
      </c>
      <c r="PH48" s="44">
        <v>192.57778897999995</v>
      </c>
      <c r="PI48" s="44">
        <v>58.534005059999984</v>
      </c>
      <c r="PJ48" s="44">
        <v>251.11179403999998</v>
      </c>
      <c r="PK48" s="44">
        <v>440.79833516000065</v>
      </c>
      <c r="PL48" s="44">
        <v>280.49008584000006</v>
      </c>
      <c r="PM48" s="44">
        <v>721.28842099999997</v>
      </c>
      <c r="PN48" s="50">
        <f t="shared" si="115"/>
        <v>2722.0490751100006</v>
      </c>
      <c r="PO48" s="50">
        <f t="shared" si="108"/>
        <v>873.72433549000016</v>
      </c>
      <c r="PP48" s="50">
        <f t="shared" si="116"/>
        <v>3595.7734105999998</v>
      </c>
      <c r="PQ48" s="50">
        <f t="shared" si="118"/>
        <v>2717.80762</v>
      </c>
      <c r="PR48" s="50">
        <v>873.72765200000003</v>
      </c>
      <c r="PS48" s="50">
        <v>3591.5352720000001</v>
      </c>
      <c r="PT48" s="44">
        <v>160.77860470000002</v>
      </c>
      <c r="PU48" s="44">
        <v>41.048844089999989</v>
      </c>
      <c r="PV48" s="44">
        <v>201.82744879000012</v>
      </c>
      <c r="PW48" s="44">
        <v>293.31884114999991</v>
      </c>
      <c r="PX48" s="44">
        <v>130.22311989999997</v>
      </c>
      <c r="PY48" s="44">
        <v>423.54196105</v>
      </c>
      <c r="PZ48" s="44">
        <v>279.97035119000003</v>
      </c>
      <c r="QA48" s="44">
        <v>63.828928549999986</v>
      </c>
      <c r="QB48" s="44">
        <v>343.79927974000003</v>
      </c>
      <c r="QC48" s="44">
        <v>222.40387448999996</v>
      </c>
      <c r="QD48" s="44">
        <v>72.430166000000014</v>
      </c>
      <c r="QE48" s="44">
        <v>294.83404048999995</v>
      </c>
      <c r="QF48" s="50">
        <v>192.87961153999998</v>
      </c>
      <c r="QG48" s="44">
        <v>70.673591070000001</v>
      </c>
      <c r="QH48" s="44">
        <v>263.55320260999997</v>
      </c>
      <c r="QI48" s="50">
        <v>182.60306061999998</v>
      </c>
      <c r="QJ48" s="44">
        <v>67.580485260000017</v>
      </c>
      <c r="QK48" s="44">
        <v>250.18354588</v>
      </c>
      <c r="QL48" s="44">
        <v>204.93832991999997</v>
      </c>
      <c r="QM48" s="44">
        <v>48.120882889999997</v>
      </c>
      <c r="QN48" s="44">
        <v>253.05921280999996</v>
      </c>
      <c r="QO48" s="50">
        <v>172.93413113999998</v>
      </c>
      <c r="QP48" s="44">
        <v>69.919308970000017</v>
      </c>
      <c r="QQ48" s="44">
        <v>242.85344011000001</v>
      </c>
      <c r="QR48" s="44">
        <v>171.81050875999998</v>
      </c>
      <c r="QS48" s="44">
        <v>68.784077940000003</v>
      </c>
      <c r="QT48" s="44">
        <v>240.59458670000001</v>
      </c>
      <c r="QU48" s="50">
        <v>183.26233162000005</v>
      </c>
      <c r="QV48" s="44">
        <v>101.96010327</v>
      </c>
      <c r="QW48" s="44">
        <v>285.22243489000005</v>
      </c>
      <c r="QX48" s="50">
        <v>230.39341560000008</v>
      </c>
      <c r="QY48" s="44">
        <v>108.53524258999998</v>
      </c>
      <c r="QZ48" s="44">
        <v>338.92865819000008</v>
      </c>
      <c r="RA48" s="50">
        <v>268.6269269999998</v>
      </c>
      <c r="RB48" s="44">
        <v>358.45683640999994</v>
      </c>
      <c r="RC48" s="44">
        <v>627.08376340999973</v>
      </c>
      <c r="RD48" s="50">
        <f t="shared" si="52"/>
        <v>2563.9199877299993</v>
      </c>
      <c r="RE48" s="50">
        <f t="shared" si="53"/>
        <v>1201.5615869399999</v>
      </c>
      <c r="RF48" s="50">
        <f t="shared" si="54"/>
        <v>3765.4815746699996</v>
      </c>
      <c r="RG48" s="50">
        <f t="shared" si="119"/>
        <v>2561.72696</v>
      </c>
      <c r="RH48" s="50">
        <v>1201.5615869999999</v>
      </c>
      <c r="RI48" s="50">
        <f>RI49+RI50+RI51</f>
        <v>3763.2885470000001</v>
      </c>
      <c r="RJ48" s="50">
        <v>183.89465826999998</v>
      </c>
      <c r="RK48" s="50">
        <v>116.00828962999999</v>
      </c>
      <c r="RL48" s="50">
        <v>299.90294789999996</v>
      </c>
      <c r="RM48" s="50">
        <v>173.74477671999992</v>
      </c>
      <c r="RN48" s="50">
        <v>49.546640099999998</v>
      </c>
      <c r="RO48" s="50">
        <v>223.29141681999985</v>
      </c>
      <c r="RP48" s="50">
        <v>226.18489493999994</v>
      </c>
      <c r="RQ48" s="50">
        <v>60.907133680000001</v>
      </c>
      <c r="RR48" s="50">
        <v>287.09202861999995</v>
      </c>
      <c r="RS48" s="50">
        <v>327.27645494999996</v>
      </c>
      <c r="RT48" s="50">
        <v>96.787370349999989</v>
      </c>
      <c r="RU48" s="50">
        <v>424.06382529999996</v>
      </c>
      <c r="RV48" s="50">
        <v>206.74596032999997</v>
      </c>
      <c r="RW48" s="50">
        <v>47.057561969999988</v>
      </c>
      <c r="RX48" s="50">
        <v>253.80352229999997</v>
      </c>
      <c r="RY48" s="50">
        <v>223.21339402000001</v>
      </c>
      <c r="RZ48" s="50">
        <v>52.486862980000012</v>
      </c>
      <c r="SA48" s="50">
        <v>275.70025700000002</v>
      </c>
      <c r="SB48" s="50">
        <v>241.8409405300001</v>
      </c>
      <c r="SC48" s="50">
        <v>61.070029800000015</v>
      </c>
      <c r="SD48" s="50">
        <v>302.91097033000011</v>
      </c>
      <c r="SE48" s="50">
        <v>201.75955961999989</v>
      </c>
      <c r="SF48" s="50">
        <v>71.11169937999999</v>
      </c>
      <c r="SG48" s="50">
        <v>272.8712589999999</v>
      </c>
      <c r="SH48" s="50">
        <v>172.31954873000007</v>
      </c>
      <c r="SI48" s="50">
        <v>57.065554719999994</v>
      </c>
      <c r="SJ48" s="50">
        <v>229.38510345000006</v>
      </c>
      <c r="SK48" s="50">
        <v>200.60096672999998</v>
      </c>
      <c r="SL48" s="50">
        <v>145.67530678</v>
      </c>
      <c r="SM48" s="50">
        <v>346.27627350999995</v>
      </c>
      <c r="SN48" s="50">
        <v>185.86400065000004</v>
      </c>
      <c r="SO48" s="50">
        <v>87.387849650000021</v>
      </c>
      <c r="SP48" s="50">
        <v>273.25185030000006</v>
      </c>
      <c r="SQ48" s="50">
        <v>255.79003504000048</v>
      </c>
      <c r="SR48" s="50">
        <v>328.24410495999996</v>
      </c>
      <c r="SS48" s="50">
        <v>584.03414000000043</v>
      </c>
      <c r="ST48" s="50">
        <f t="shared" si="55"/>
        <v>2599.2351905300002</v>
      </c>
      <c r="SU48" s="50">
        <f t="shared" si="65"/>
        <v>1173.3484040000001</v>
      </c>
      <c r="SV48" s="50">
        <f t="shared" si="56"/>
        <v>3772.5835945300005</v>
      </c>
      <c r="SW48" s="50">
        <f t="shared" si="103"/>
        <v>2595.8751179999999</v>
      </c>
      <c r="SX48" s="50">
        <v>1173.3489050000001</v>
      </c>
      <c r="SY48" s="50">
        <f>SY49+SY50+SY51</f>
        <v>3769.2240229999998</v>
      </c>
      <c r="SZ48" s="50">
        <v>215.58007621000004</v>
      </c>
      <c r="TA48" s="50">
        <v>94.873479139999972</v>
      </c>
      <c r="TB48" s="50">
        <v>310.45355534999999</v>
      </c>
      <c r="TC48" s="50">
        <v>219.22513294999993</v>
      </c>
      <c r="TD48" s="50">
        <v>70.733217509999989</v>
      </c>
      <c r="TE48" s="50">
        <v>289.95835045999991</v>
      </c>
      <c r="TF48" s="50">
        <v>215.24286913999998</v>
      </c>
      <c r="TG48" s="50">
        <v>154.59542772999998</v>
      </c>
      <c r="TH48" s="50">
        <v>369.83829686999997</v>
      </c>
      <c r="TI48" s="50">
        <v>259.49544048999996</v>
      </c>
      <c r="TJ48" s="50">
        <v>135.88203269000002</v>
      </c>
      <c r="TK48" s="50">
        <v>395.37747317999998</v>
      </c>
      <c r="TL48" s="50">
        <v>203.92955468000002</v>
      </c>
      <c r="TM48" s="50">
        <v>63.382020319999981</v>
      </c>
      <c r="TN48" s="50">
        <v>267.311575</v>
      </c>
      <c r="TO48" s="50">
        <v>166.04418334000002</v>
      </c>
      <c r="TP48" s="50">
        <v>71.129299999999958</v>
      </c>
      <c r="TQ48" s="50">
        <v>237.17348333999999</v>
      </c>
      <c r="TR48" s="50">
        <v>215.96831578999993</v>
      </c>
      <c r="TS48" s="50">
        <v>79.885005860000007</v>
      </c>
      <c r="TT48" s="50">
        <v>295.85332164999994</v>
      </c>
      <c r="TU48" s="50">
        <v>194.63208593000007</v>
      </c>
      <c r="TV48" s="50">
        <v>119.8310992</v>
      </c>
      <c r="TW48" s="50">
        <v>314.46318513000006</v>
      </c>
      <c r="TX48" s="50">
        <v>219.41611855999997</v>
      </c>
      <c r="TY48" s="50">
        <v>81.335596150000029</v>
      </c>
      <c r="TZ48" s="50">
        <v>300.75171470999999</v>
      </c>
      <c r="UA48" s="50">
        <v>199.79952521999999</v>
      </c>
      <c r="UB48" s="50">
        <v>176.66383246000001</v>
      </c>
      <c r="UC48" s="50">
        <v>376.46335768</v>
      </c>
      <c r="UD48" s="50">
        <v>191.24361923000004</v>
      </c>
      <c r="UE48" s="50">
        <v>107.73413453000001</v>
      </c>
      <c r="UF48" s="50">
        <v>298.97775376000004</v>
      </c>
      <c r="UG48" s="50">
        <v>293.40324761000051</v>
      </c>
      <c r="UH48" s="50">
        <v>317.80451608999994</v>
      </c>
      <c r="UI48" s="50">
        <v>611.20776370000044</v>
      </c>
      <c r="UJ48" s="50">
        <f t="shared" si="45"/>
        <v>2593.9801691500006</v>
      </c>
      <c r="UK48" s="50">
        <f t="shared" si="15"/>
        <v>1473.8496616800001</v>
      </c>
      <c r="UL48" s="50">
        <f t="shared" si="16"/>
        <v>4067.82983083</v>
      </c>
      <c r="UM48" s="50">
        <v>231.34018438000004</v>
      </c>
      <c r="UN48" s="50">
        <v>115.37288239000002</v>
      </c>
      <c r="UO48" s="50">
        <v>346.71306677000007</v>
      </c>
      <c r="UP48" s="50">
        <v>212.23441590000004</v>
      </c>
      <c r="UQ48" s="50">
        <v>85.24401400000005</v>
      </c>
      <c r="UR48" s="50">
        <v>297.47842990000009</v>
      </c>
      <c r="US48" s="50">
        <v>202.31793748000007</v>
      </c>
      <c r="UT48" s="50">
        <v>105.31966575</v>
      </c>
      <c r="UU48" s="50">
        <v>307.63760323000008</v>
      </c>
      <c r="UV48" s="50">
        <v>271.16106385000001</v>
      </c>
      <c r="UW48" s="50">
        <v>63.332439389999983</v>
      </c>
      <c r="UX48" s="50">
        <v>334.49350324</v>
      </c>
      <c r="UY48" s="50"/>
      <c r="UZ48" s="50"/>
      <c r="VA48" s="50"/>
      <c r="VB48" s="50"/>
      <c r="VC48" s="50"/>
      <c r="VD48" s="50"/>
      <c r="VE48" s="50"/>
      <c r="VF48" s="50"/>
      <c r="VG48" s="50"/>
      <c r="VH48" s="50"/>
      <c r="VI48" s="50"/>
      <c r="VJ48" s="50"/>
      <c r="VK48" s="50"/>
      <c r="VL48" s="50"/>
      <c r="VM48" s="50"/>
      <c r="VN48" s="50"/>
      <c r="VO48" s="50"/>
      <c r="VP48" s="50"/>
      <c r="VQ48" s="50"/>
      <c r="VR48" s="50"/>
      <c r="VS48" s="50"/>
      <c r="VT48" s="50"/>
      <c r="VU48" s="50"/>
      <c r="VV48" s="50"/>
      <c r="VW48" s="276">
        <f t="shared" si="57"/>
        <v>909.54351899999995</v>
      </c>
      <c r="VX48" s="292">
        <f t="shared" si="58"/>
        <v>456.084157</v>
      </c>
      <c r="VY48" s="292">
        <f t="shared" si="59"/>
        <v>1365.6276760000001</v>
      </c>
      <c r="VZ48" s="276">
        <f t="shared" si="60"/>
        <v>917.05360199999996</v>
      </c>
      <c r="WA48" s="292">
        <f t="shared" si="61"/>
        <v>369.269002</v>
      </c>
      <c r="WB48" s="292">
        <f t="shared" si="62"/>
        <v>1286.3226030000001</v>
      </c>
      <c r="WC48" s="277">
        <f t="shared" si="112"/>
        <v>-79.305072999999993</v>
      </c>
      <c r="WD48" s="277">
        <f t="shared" si="104"/>
        <v>-5.807225087315814</v>
      </c>
    </row>
    <row r="49" spans="1:602" s="12" customFormat="1" ht="20.5">
      <c r="A49" s="47" t="s">
        <v>134</v>
      </c>
      <c r="B49" s="13">
        <v>3100</v>
      </c>
      <c r="C49" s="47" t="s">
        <v>135</v>
      </c>
      <c r="D49" s="45">
        <v>63.812138234842145</v>
      </c>
      <c r="E49" s="42">
        <v>63.07145377658636</v>
      </c>
      <c r="F49" s="42">
        <v>62.359959533525704</v>
      </c>
      <c r="G49" s="42">
        <v>34.396006567976279</v>
      </c>
      <c r="H49" s="42">
        <v>0</v>
      </c>
      <c r="I49" s="42">
        <v>0.48804797639171094</v>
      </c>
      <c r="J49" s="42">
        <v>0.20850746438551859</v>
      </c>
      <c r="K49" s="42">
        <v>2.7147167346799392</v>
      </c>
      <c r="L49" s="42">
        <v>0.71238412131974205</v>
      </c>
      <c r="M49" s="42">
        <v>0.88532060147637148</v>
      </c>
      <c r="N49" s="42">
        <v>0.52446401841765289</v>
      </c>
      <c r="O49" s="42">
        <v>0.36071022646427719</v>
      </c>
      <c r="P49" s="42">
        <v>0.3449980364369013</v>
      </c>
      <c r="Q49" s="42">
        <v>0.343573898270357</v>
      </c>
      <c r="R49" s="42">
        <v>0.4496358728749405</v>
      </c>
      <c r="S49" s="42">
        <v>4.1857622182002379</v>
      </c>
      <c r="T49" s="44" t="s">
        <v>46</v>
      </c>
      <c r="U49" s="44" t="s">
        <v>46</v>
      </c>
      <c r="V49" s="42">
        <v>11.218121168917648</v>
      </c>
      <c r="W49" s="42">
        <v>11.218120557082772</v>
      </c>
      <c r="X49" s="42">
        <v>0</v>
      </c>
      <c r="Y49" s="42">
        <v>0</v>
      </c>
      <c r="Z49" s="42">
        <v>0.7966256879585204</v>
      </c>
      <c r="AA49" s="42">
        <v>0.75579450316162111</v>
      </c>
      <c r="AB49" s="42">
        <v>3.8155638129549634</v>
      </c>
      <c r="AC49" s="42">
        <v>0.61832459690041608</v>
      </c>
      <c r="AD49" s="42">
        <v>0.31335052162480581</v>
      </c>
      <c r="AE49" s="42">
        <v>0.31615642483537376</v>
      </c>
      <c r="AF49" s="42">
        <v>0.36913136521704493</v>
      </c>
      <c r="AG49" s="42">
        <v>0.3146467578442923</v>
      </c>
      <c r="AH49" s="42">
        <v>0.39034496104176986</v>
      </c>
      <c r="AI49" s="42">
        <v>0.79566280214682905</v>
      </c>
      <c r="AJ49" s="44" t="s">
        <v>46</v>
      </c>
      <c r="AK49" s="44" t="s">
        <v>46</v>
      </c>
      <c r="AL49" s="42">
        <v>8.4856014336856358</v>
      </c>
      <c r="AM49" s="42">
        <v>8.4856033830200168</v>
      </c>
      <c r="AN49" s="42">
        <v>0</v>
      </c>
      <c r="AO49" s="42">
        <v>0.66592250470970571</v>
      </c>
      <c r="AP49" s="42">
        <v>0.37427150386167407</v>
      </c>
      <c r="AQ49" s="42">
        <v>0.83570399428574682</v>
      </c>
      <c r="AR49" s="42">
        <v>0.46441824463150466</v>
      </c>
      <c r="AS49" s="42">
        <v>0.64081405342029929</v>
      </c>
      <c r="AT49" s="42">
        <v>1.2131390828737458</v>
      </c>
      <c r="AU49" s="42">
        <v>0.4585368751458444</v>
      </c>
      <c r="AV49" s="42">
        <v>0.47906528705015911</v>
      </c>
      <c r="AW49" s="42">
        <v>0.20518096083687629</v>
      </c>
      <c r="AX49" s="42">
        <v>0.4076356992845801</v>
      </c>
      <c r="AY49" s="42">
        <v>1.3589976721817179</v>
      </c>
      <c r="AZ49" s="44">
        <v>7.1036872899999999</v>
      </c>
      <c r="BA49" s="44"/>
      <c r="BB49" s="44">
        <v>7.1036872899999999</v>
      </c>
      <c r="BC49" s="44" t="s">
        <v>46</v>
      </c>
      <c r="BD49" s="44" t="s">
        <v>46</v>
      </c>
      <c r="BE49" s="42">
        <v>7.1036875145844354</v>
      </c>
      <c r="BF49" s="44"/>
      <c r="BG49" s="50"/>
      <c r="BH49" s="44"/>
      <c r="BI49" s="44">
        <v>0.74852914999999998</v>
      </c>
      <c r="BJ49" s="44"/>
      <c r="BK49" s="44">
        <v>0.748529</v>
      </c>
      <c r="BL49" s="44">
        <v>0.98456290999999996</v>
      </c>
      <c r="BM49" s="44"/>
      <c r="BN49" s="44">
        <v>0.98456299999999997</v>
      </c>
      <c r="BO49" s="44">
        <v>1.2976893800000002</v>
      </c>
      <c r="BP49" s="44"/>
      <c r="BQ49" s="44">
        <v>1.29769</v>
      </c>
      <c r="BR49" s="44">
        <v>0.56555010999999999</v>
      </c>
      <c r="BS49" s="44"/>
      <c r="BT49" s="44">
        <v>0.56555</v>
      </c>
      <c r="BU49" s="44">
        <v>0.81716383999999997</v>
      </c>
      <c r="BV49" s="44"/>
      <c r="BW49" s="44">
        <v>0.81716299999999997</v>
      </c>
      <c r="BX49" s="44">
        <v>1.05894621</v>
      </c>
      <c r="BY49" s="44"/>
      <c r="BZ49" s="44">
        <v>1.05894621</v>
      </c>
      <c r="CA49" s="44">
        <v>0.65972412000000002</v>
      </c>
      <c r="CB49" s="44"/>
      <c r="CC49" s="44">
        <v>0.65972500000000001</v>
      </c>
      <c r="CD49" s="44">
        <v>6.8669434599999999</v>
      </c>
      <c r="CE49" s="50"/>
      <c r="CF49" s="44">
        <f>CD49+CE49</f>
        <v>6.8669434599999999</v>
      </c>
      <c r="CG49" s="44">
        <v>0.77430683000000011</v>
      </c>
      <c r="CH49" s="50"/>
      <c r="CI49" s="44">
        <f>CG49+CH49</f>
        <v>0.77430683000000011</v>
      </c>
      <c r="CJ49" s="42">
        <v>0.91527996</v>
      </c>
      <c r="CK49" s="42"/>
      <c r="CL49" s="44">
        <f>CJ49+CK49</f>
        <v>0.91527996</v>
      </c>
      <c r="CM49" s="42">
        <v>9.1470301000000003</v>
      </c>
      <c r="CN49" s="76"/>
      <c r="CO49" s="44">
        <f>CM49+CN49</f>
        <v>9.1470301000000003</v>
      </c>
      <c r="CP49" s="44">
        <f t="shared" si="24"/>
        <v>23.83572607</v>
      </c>
      <c r="CQ49" s="44">
        <f t="shared" si="25"/>
        <v>0</v>
      </c>
      <c r="CR49" s="44">
        <f t="shared" si="26"/>
        <v>23.835726559999998</v>
      </c>
      <c r="CS49" s="42">
        <f t="shared" si="93"/>
        <v>23.835726999999999</v>
      </c>
      <c r="CT49" s="44"/>
      <c r="CU49" s="42">
        <v>23.835726999999999</v>
      </c>
      <c r="CV49" s="42">
        <v>6.2620000000000004E-4</v>
      </c>
      <c r="CW49" s="76"/>
      <c r="CX49" s="44">
        <f>CV49+CW49</f>
        <v>6.2620000000000004E-4</v>
      </c>
      <c r="CY49" s="42">
        <v>0.36018211999999999</v>
      </c>
      <c r="CZ49" s="42">
        <v>0</v>
      </c>
      <c r="DA49" s="44">
        <v>0.36018211999999999</v>
      </c>
      <c r="DB49" s="42">
        <v>1.3636492900000001</v>
      </c>
      <c r="DC49" s="42">
        <v>0</v>
      </c>
      <c r="DD49" s="44">
        <v>1.3636492900000001</v>
      </c>
      <c r="DE49" s="42">
        <v>1.1565622099999999</v>
      </c>
      <c r="DF49" s="42">
        <v>0</v>
      </c>
      <c r="DG49" s="44">
        <v>1.1565622099999999</v>
      </c>
      <c r="DH49" s="42">
        <v>0.68131443999999997</v>
      </c>
      <c r="DI49" s="42">
        <v>0</v>
      </c>
      <c r="DJ49" s="44">
        <v>0.68131443999999997</v>
      </c>
      <c r="DK49" s="42">
        <v>1.01073244</v>
      </c>
      <c r="DL49" s="42">
        <v>0</v>
      </c>
      <c r="DM49" s="44">
        <v>1.01073244</v>
      </c>
      <c r="DN49" s="42">
        <v>0.71952517000000005</v>
      </c>
      <c r="DO49" s="42">
        <v>0</v>
      </c>
      <c r="DP49" s="44">
        <v>0.71952517000000005</v>
      </c>
      <c r="DQ49" s="42">
        <v>0.46222083000000003</v>
      </c>
      <c r="DR49" s="42">
        <v>0</v>
      </c>
      <c r="DS49" s="44">
        <v>0.46222083000000003</v>
      </c>
      <c r="DT49" s="42">
        <v>0.74140005000000009</v>
      </c>
      <c r="DU49" s="42">
        <v>0</v>
      </c>
      <c r="DV49" s="44">
        <v>0.74140005000000009</v>
      </c>
      <c r="DW49" s="42">
        <v>0.52063254000000003</v>
      </c>
      <c r="DX49" s="42">
        <v>0.86086901999999998</v>
      </c>
      <c r="DY49" s="44">
        <v>1.38150156</v>
      </c>
      <c r="DZ49" s="42">
        <v>0.2903386</v>
      </c>
      <c r="EA49" s="42">
        <v>0.46022592000000001</v>
      </c>
      <c r="EB49" s="44">
        <v>0.75056451999999996</v>
      </c>
      <c r="EC49" s="42">
        <v>0.36765101</v>
      </c>
      <c r="ED49" s="42">
        <v>0</v>
      </c>
      <c r="EE49" s="44">
        <v>0.36765101</v>
      </c>
      <c r="EF49" s="50">
        <f t="shared" si="27"/>
        <v>7.6748349000000005</v>
      </c>
      <c r="EG49" s="50">
        <f t="shared" si="28"/>
        <v>1.3210949400000001</v>
      </c>
      <c r="EH49" s="50">
        <f t="shared" si="29"/>
        <v>8.9959298399999987</v>
      </c>
      <c r="EI49" s="50">
        <f t="shared" si="94"/>
        <v>8.9959298399999987</v>
      </c>
      <c r="EJ49" s="50"/>
      <c r="EK49" s="50">
        <v>8.9959298399999987</v>
      </c>
      <c r="EL49" s="50">
        <v>2.0000000000000001E-4</v>
      </c>
      <c r="EM49" s="50">
        <v>0.13354770000000002</v>
      </c>
      <c r="EN49" s="50">
        <v>0.13374770000000002</v>
      </c>
      <c r="EO49" s="50">
        <v>1.3274355500000001</v>
      </c>
      <c r="EP49" s="50">
        <v>0.41502515999999995</v>
      </c>
      <c r="EQ49" s="50">
        <v>1.74246071</v>
      </c>
      <c r="ER49" s="50">
        <v>1.51464252</v>
      </c>
      <c r="ES49" s="50">
        <v>1.1197461000000002</v>
      </c>
      <c r="ET49" s="50">
        <v>2.6343886200000002</v>
      </c>
      <c r="EU49" s="50">
        <v>0.21853763000000001</v>
      </c>
      <c r="EV49" s="50">
        <v>1.1423464800000001</v>
      </c>
      <c r="EW49" s="50">
        <v>1.36088411</v>
      </c>
      <c r="EX49" s="50">
        <v>0.58813802999999998</v>
      </c>
      <c r="EY49" s="50">
        <v>0</v>
      </c>
      <c r="EZ49" s="50">
        <v>0.58813802999999998</v>
      </c>
      <c r="FA49" s="50">
        <v>0.62811296999999999</v>
      </c>
      <c r="FB49" s="50">
        <v>3.15578352</v>
      </c>
      <c r="FC49" s="50">
        <v>3.7838964900000001</v>
      </c>
      <c r="FD49" s="50">
        <v>1.11424732</v>
      </c>
      <c r="FE49" s="50">
        <v>0.62664690000000001</v>
      </c>
      <c r="FF49" s="50">
        <v>1.7408942199999999</v>
      </c>
      <c r="FG49" s="50">
        <v>0.22873489999999999</v>
      </c>
      <c r="FH49" s="50">
        <v>1.52220428</v>
      </c>
      <c r="FI49" s="50">
        <v>1.75093918</v>
      </c>
      <c r="FJ49" s="50">
        <v>0.5844903199999999</v>
      </c>
      <c r="FK49" s="50">
        <v>0.34927859999999999</v>
      </c>
      <c r="FL49" s="50">
        <v>0.93376891999999989</v>
      </c>
      <c r="FM49" s="50">
        <v>0.23175949000000001</v>
      </c>
      <c r="FN49" s="50">
        <v>0</v>
      </c>
      <c r="FO49" s="50">
        <v>0.23175949000000001</v>
      </c>
      <c r="FP49" s="50">
        <v>0.13231709999999999</v>
      </c>
      <c r="FQ49" s="50">
        <v>4.1091599999999999E-2</v>
      </c>
      <c r="FR49" s="50">
        <v>0.1734087</v>
      </c>
      <c r="FS49" s="50">
        <v>0.62083712000000002</v>
      </c>
      <c r="FT49" s="50">
        <v>0</v>
      </c>
      <c r="FU49" s="50">
        <v>0.62083712000000002</v>
      </c>
      <c r="FV49" s="50">
        <f t="shared" si="30"/>
        <v>7.1894529499999988</v>
      </c>
      <c r="FW49" s="50">
        <f t="shared" si="31"/>
        <v>8.50567034</v>
      </c>
      <c r="FX49" s="50">
        <f t="shared" si="32"/>
        <v>15.695123289999998</v>
      </c>
      <c r="FY49" s="50">
        <f t="shared" si="95"/>
        <v>15.695123000000001</v>
      </c>
      <c r="FZ49" s="50"/>
      <c r="GA49" s="50">
        <v>15.695123000000001</v>
      </c>
      <c r="GB49" s="50">
        <v>0</v>
      </c>
      <c r="GC49" s="50">
        <v>0</v>
      </c>
      <c r="GD49" s="50">
        <v>0</v>
      </c>
      <c r="GE49" s="50">
        <v>0.10009827</v>
      </c>
      <c r="GF49" s="50">
        <v>0</v>
      </c>
      <c r="GG49" s="50">
        <v>0.10009827</v>
      </c>
      <c r="GH49" s="50">
        <v>1.44467243</v>
      </c>
      <c r="GI49" s="50">
        <v>0</v>
      </c>
      <c r="GJ49" s="50">
        <v>1.44467243</v>
      </c>
      <c r="GK49" s="50">
        <v>3.1663042300000002</v>
      </c>
      <c r="GL49" s="50">
        <v>0</v>
      </c>
      <c r="GM49" s="50">
        <v>3.1663042300000002</v>
      </c>
      <c r="GN49" s="50">
        <v>0.43104913</v>
      </c>
      <c r="GO49" s="50">
        <v>0</v>
      </c>
      <c r="GP49" s="50">
        <v>0.43104913</v>
      </c>
      <c r="GQ49" s="50">
        <v>0.91536731000000005</v>
      </c>
      <c r="GR49" s="50">
        <v>0</v>
      </c>
      <c r="GS49" s="50">
        <v>0.91536731000000005</v>
      </c>
      <c r="GT49" s="50">
        <v>0.66774911999999997</v>
      </c>
      <c r="GU49" s="50">
        <v>0</v>
      </c>
      <c r="GV49" s="50">
        <v>0.66774911999999997</v>
      </c>
      <c r="GW49" s="50">
        <v>0.59250002000000002</v>
      </c>
      <c r="GX49" s="50">
        <v>0</v>
      </c>
      <c r="GY49" s="50">
        <v>0.59250002000000002</v>
      </c>
      <c r="GZ49" s="50">
        <v>0.70365630999999995</v>
      </c>
      <c r="HA49" s="50">
        <v>0</v>
      </c>
      <c r="HB49" s="50">
        <v>0.70365630999999995</v>
      </c>
      <c r="HC49" s="50">
        <v>2.0398162800000001</v>
      </c>
      <c r="HD49" s="50">
        <v>0</v>
      </c>
      <c r="HE49" s="50">
        <v>2.0398162800000001</v>
      </c>
      <c r="HF49" s="50">
        <v>14.250777230000001</v>
      </c>
      <c r="HG49" s="50">
        <v>0.76224918000000008</v>
      </c>
      <c r="HH49" s="50">
        <v>15.01302641</v>
      </c>
      <c r="HI49" s="50">
        <v>0.85764262000000002</v>
      </c>
      <c r="HJ49" s="50">
        <v>0</v>
      </c>
      <c r="HK49" s="50">
        <v>0.85764262000000002</v>
      </c>
      <c r="HL49" s="50">
        <f t="shared" si="33"/>
        <v>25.16963295</v>
      </c>
      <c r="HM49" s="50">
        <f t="shared" si="34"/>
        <v>0.76224918000000008</v>
      </c>
      <c r="HN49" s="50">
        <f t="shared" si="35"/>
        <v>25.931882129999998</v>
      </c>
      <c r="HO49" s="50">
        <f t="shared" si="96"/>
        <v>25.169633000000001</v>
      </c>
      <c r="HP49" s="50">
        <v>0.76224899999999995</v>
      </c>
      <c r="HQ49" s="50">
        <v>25.931882000000002</v>
      </c>
      <c r="HR49" s="50">
        <v>1.41047E-3</v>
      </c>
      <c r="HS49" s="50">
        <v>0</v>
      </c>
      <c r="HT49" s="50">
        <v>1.41047E-3</v>
      </c>
      <c r="HU49" s="50">
        <v>0</v>
      </c>
      <c r="HV49" s="50">
        <v>0</v>
      </c>
      <c r="HW49" s="50">
        <v>0</v>
      </c>
      <c r="HX49" s="50">
        <v>1.63075656</v>
      </c>
      <c r="HY49" s="50">
        <v>0</v>
      </c>
      <c r="HZ49" s="50">
        <v>1.63075656</v>
      </c>
      <c r="IA49" s="50">
        <v>0.57742054999999992</v>
      </c>
      <c r="IB49" s="50">
        <v>0</v>
      </c>
      <c r="IC49" s="50">
        <v>0.57742054999999992</v>
      </c>
      <c r="ID49" s="50">
        <v>0.79059857000000011</v>
      </c>
      <c r="IE49" s="50">
        <v>0</v>
      </c>
      <c r="IF49" s="50">
        <v>0.79059857000000011</v>
      </c>
      <c r="IG49" s="50">
        <v>0.43052953999999999</v>
      </c>
      <c r="IH49" s="50">
        <v>0</v>
      </c>
      <c r="II49" s="50">
        <v>0.43052953999999999</v>
      </c>
      <c r="IJ49" s="50">
        <v>1.1880545899999999</v>
      </c>
      <c r="IK49" s="50">
        <v>0</v>
      </c>
      <c r="IL49" s="50">
        <v>1.1880545899999999</v>
      </c>
      <c r="IM49" s="50">
        <v>0.4690491</v>
      </c>
      <c r="IN49" s="50">
        <v>0</v>
      </c>
      <c r="IO49" s="50">
        <v>0.4690491</v>
      </c>
      <c r="IP49" s="50">
        <v>1.26988436</v>
      </c>
      <c r="IQ49" s="50">
        <v>0</v>
      </c>
      <c r="IR49" s="50">
        <v>1.26988436</v>
      </c>
      <c r="IS49" s="50">
        <v>1.5357783</v>
      </c>
      <c r="IT49" s="50">
        <v>0</v>
      </c>
      <c r="IU49" s="50">
        <v>1.5357783</v>
      </c>
      <c r="IV49" s="50">
        <v>0.23274235999999998</v>
      </c>
      <c r="IW49" s="50">
        <v>0</v>
      </c>
      <c r="IX49" s="50">
        <v>0.23274235999999998</v>
      </c>
      <c r="IY49" s="50">
        <v>0.95868307000000008</v>
      </c>
      <c r="IZ49" s="50">
        <v>0</v>
      </c>
      <c r="JA49" s="50">
        <v>0.95868307000000008</v>
      </c>
      <c r="JB49" s="50">
        <f t="shared" si="36"/>
        <v>9.0849074699999992</v>
      </c>
      <c r="JC49" s="50">
        <f t="shared" si="37"/>
        <v>0</v>
      </c>
      <c r="JD49" s="50">
        <f t="shared" si="38"/>
        <v>9.0849074699999992</v>
      </c>
      <c r="JE49" s="50">
        <f t="shared" si="97"/>
        <v>9.0849080000000004</v>
      </c>
      <c r="JF49" s="50"/>
      <c r="JG49" s="50">
        <v>9.0849080000000004</v>
      </c>
      <c r="JH49" s="50">
        <v>0</v>
      </c>
      <c r="JI49" s="50">
        <v>5.0509999999999999E-2</v>
      </c>
      <c r="JJ49" s="50">
        <v>5.0509999999999999E-2</v>
      </c>
      <c r="JK49" s="50">
        <v>0</v>
      </c>
      <c r="JL49" s="50">
        <v>2.3000000000000001E-4</v>
      </c>
      <c r="JM49" s="50">
        <v>2.3000000000000001E-4</v>
      </c>
      <c r="JN49" s="50">
        <v>0.6729954600000001</v>
      </c>
      <c r="JO49" s="50">
        <v>5.5000000000000003E-4</v>
      </c>
      <c r="JP49" s="50">
        <v>0.67354546000000004</v>
      </c>
      <c r="JQ49" s="50">
        <v>0.25230604000000001</v>
      </c>
      <c r="JR49" s="50">
        <v>0.20882999999999999</v>
      </c>
      <c r="JS49" s="50">
        <v>0.46113604000000002</v>
      </c>
      <c r="JT49" s="50">
        <v>2.3944989600000004</v>
      </c>
      <c r="JU49" s="50">
        <v>1.511E-2</v>
      </c>
      <c r="JV49" s="50">
        <v>2.4096089600000004</v>
      </c>
      <c r="JW49" s="50">
        <v>0.50524895999999997</v>
      </c>
      <c r="JX49" s="50">
        <v>3.6150000000000002E-2</v>
      </c>
      <c r="JY49" s="50">
        <v>0.54139895999999998</v>
      </c>
      <c r="JZ49" s="50">
        <v>0.31243557999999999</v>
      </c>
      <c r="KA49" s="50">
        <v>5.2441620000000001E-2</v>
      </c>
      <c r="KB49" s="50">
        <v>0.36487720000000001</v>
      </c>
      <c r="KC49" s="50">
        <v>1.1383621799999999</v>
      </c>
      <c r="KD49" s="50">
        <v>9.3618300000000002E-2</v>
      </c>
      <c r="KE49" s="50">
        <v>1.23198048</v>
      </c>
      <c r="KF49" s="50">
        <v>0.27017838999999999</v>
      </c>
      <c r="KG49" s="50">
        <v>6.451498E-2</v>
      </c>
      <c r="KH49" s="50">
        <v>0.33469336999999999</v>
      </c>
      <c r="KI49" s="50">
        <v>0.49550939999999999</v>
      </c>
      <c r="KJ49" s="50">
        <v>5.8305629999999997E-2</v>
      </c>
      <c r="KK49" s="50">
        <v>0.55381502999999987</v>
      </c>
      <c r="KL49" s="50">
        <v>0.37390213</v>
      </c>
      <c r="KM49" s="50">
        <v>8.9087009999999994E-2</v>
      </c>
      <c r="KN49" s="50">
        <v>0.46298914000000002</v>
      </c>
      <c r="KO49" s="50">
        <v>1.0304673099999999</v>
      </c>
      <c r="KP49" s="50">
        <v>0.10792373</v>
      </c>
      <c r="KQ49" s="50">
        <v>1.1383910400000001</v>
      </c>
      <c r="KR49" s="50">
        <f t="shared" si="48"/>
        <v>7.4459044100000007</v>
      </c>
      <c r="KS49" s="50">
        <f t="shared" si="39"/>
        <v>0.77727127000000007</v>
      </c>
      <c r="KT49" s="50">
        <f t="shared" si="49"/>
        <v>8.2231756800000007</v>
      </c>
      <c r="KU49" s="50">
        <f t="shared" si="98"/>
        <v>7.4459039999999614</v>
      </c>
      <c r="KV49" s="50">
        <f>KV48-KV50</f>
        <v>0.77727200000003904</v>
      </c>
      <c r="KW49" s="50">
        <v>8.2231760000000005</v>
      </c>
      <c r="KX49" s="50">
        <v>0</v>
      </c>
      <c r="KY49" s="50">
        <v>9.4390000000000002E-2</v>
      </c>
      <c r="KZ49" s="50">
        <v>9.4390000000000002E-2</v>
      </c>
      <c r="LA49" s="50">
        <v>1.5219000000000001E-3</v>
      </c>
      <c r="LB49" s="50">
        <v>4.5429999999999998E-2</v>
      </c>
      <c r="LC49" s="50">
        <v>4.6951900000000005E-2</v>
      </c>
      <c r="LD49" s="50">
        <v>5.6345819000000006</v>
      </c>
      <c r="LE49" s="50">
        <v>2.5100000000000001E-2</v>
      </c>
      <c r="LF49" s="87">
        <v>5.6596819000000007</v>
      </c>
      <c r="LG49" s="50">
        <v>12.34509995</v>
      </c>
      <c r="LH49" s="50">
        <v>2.776E-2</v>
      </c>
      <c r="LI49" s="175">
        <v>12.372859949999999</v>
      </c>
      <c r="LJ49" s="174">
        <v>0.87103498999999995</v>
      </c>
      <c r="LK49" s="50">
        <v>1.9630000000000002E-2</v>
      </c>
      <c r="LL49" s="174">
        <v>0.89066498999999999</v>
      </c>
      <c r="LM49" s="50">
        <v>4.5423341800000001</v>
      </c>
      <c r="LN49" s="50">
        <v>3.6670000000000001E-2</v>
      </c>
      <c r="LO49" s="50">
        <v>4.5790041800000001</v>
      </c>
      <c r="LP49" s="50">
        <v>0.84230222999999993</v>
      </c>
      <c r="LQ49" s="44">
        <v>4.0289999999999999E-2</v>
      </c>
      <c r="LR49" s="44">
        <v>0.88259222999999998</v>
      </c>
      <c r="LS49" s="50">
        <v>12.509071630000001</v>
      </c>
      <c r="LT49" s="50">
        <v>6.1589999999999999E-2</v>
      </c>
      <c r="LU49" s="52">
        <v>12.57066163</v>
      </c>
      <c r="LV49" s="44">
        <v>2.8787729699999995</v>
      </c>
      <c r="LW49" s="44">
        <v>4.4560000000000002E-2</v>
      </c>
      <c r="LX49" s="44">
        <v>2.9233329699999997</v>
      </c>
      <c r="LY49" s="44">
        <v>0.95326675999999999</v>
      </c>
      <c r="LZ49" s="44">
        <v>4.0770000000000001E-2</v>
      </c>
      <c r="MA49" s="44">
        <v>0.99403675999999996</v>
      </c>
      <c r="MB49" s="44">
        <v>5.0076032200000009</v>
      </c>
      <c r="MC49" s="44">
        <v>5.6759999999999998E-2</v>
      </c>
      <c r="MD49" s="44">
        <v>5.0643632200000006</v>
      </c>
      <c r="ME49" s="44">
        <v>27.78034985</v>
      </c>
      <c r="MF49" s="44">
        <v>0.11626925</v>
      </c>
      <c r="MG49" s="44">
        <v>27.896619100000002</v>
      </c>
      <c r="MH49" s="50">
        <f t="shared" si="66"/>
        <v>73.365939580000003</v>
      </c>
      <c r="MI49" s="50">
        <f t="shared" si="50"/>
        <v>0.60921924999999999</v>
      </c>
      <c r="MJ49" s="50">
        <f t="shared" si="51"/>
        <v>73.975158829999998</v>
      </c>
      <c r="MK49" s="50">
        <f t="shared" si="99"/>
        <v>73.338361719999895</v>
      </c>
      <c r="ML49" s="50">
        <f>ML48-ML50</f>
        <v>0.63679728000010982</v>
      </c>
      <c r="MM49" s="50">
        <v>73.975159000000005</v>
      </c>
      <c r="MN49" s="44">
        <v>0</v>
      </c>
      <c r="MO49" s="44">
        <v>4.6677449999999995E-2</v>
      </c>
      <c r="MP49" s="44">
        <v>4.6677449999999995E-2</v>
      </c>
      <c r="MQ49" s="44">
        <v>7.1888199999999994E-3</v>
      </c>
      <c r="MR49" s="44">
        <v>5.6759999999999998E-2</v>
      </c>
      <c r="MS49" s="44">
        <v>6.3948820000000003E-2</v>
      </c>
      <c r="MT49" s="50">
        <v>4.0911583599999997</v>
      </c>
      <c r="MU49" s="50">
        <v>4.6330000000000003E-2</v>
      </c>
      <c r="MV49" s="50">
        <v>4.1374883599999999</v>
      </c>
      <c r="MW49" s="44">
        <v>1.4480127300000001</v>
      </c>
      <c r="MX49" s="44">
        <v>3.95E-2</v>
      </c>
      <c r="MY49" s="44">
        <v>1.4875127299999999</v>
      </c>
      <c r="MZ49" s="44">
        <v>5.0363915599999993</v>
      </c>
      <c r="NA49" s="44">
        <v>1.8429999999999998E-2</v>
      </c>
      <c r="NB49" s="50">
        <v>5.0548215599999997</v>
      </c>
      <c r="NC49" s="44">
        <v>2.15427883</v>
      </c>
      <c r="ND49" s="44">
        <v>4.385E-2</v>
      </c>
      <c r="NE49" s="44">
        <v>2.1981288299999999</v>
      </c>
      <c r="NF49" s="44">
        <v>1.36972625</v>
      </c>
      <c r="NG49" s="44">
        <v>4.9979999999999997E-2</v>
      </c>
      <c r="NH49" s="44">
        <v>1.4197062499999999</v>
      </c>
      <c r="NI49" s="44">
        <v>1.5634836599999999</v>
      </c>
      <c r="NJ49" s="44">
        <v>8.9349999999999999E-2</v>
      </c>
      <c r="NK49" s="44">
        <v>1.65283366</v>
      </c>
      <c r="NL49" s="44">
        <v>1.52572262</v>
      </c>
      <c r="NM49" s="44">
        <v>6.5549999999999997E-2</v>
      </c>
      <c r="NN49" s="44">
        <v>1.59127262</v>
      </c>
      <c r="NO49" s="44">
        <v>1.7169157900000001</v>
      </c>
      <c r="NP49" s="44">
        <v>5.288255E-2</v>
      </c>
      <c r="NQ49" s="44">
        <v>1.7697983400000001</v>
      </c>
      <c r="NR49" s="44">
        <v>4.5695189999999997</v>
      </c>
      <c r="NS49" s="44">
        <v>0</v>
      </c>
      <c r="NT49" s="44">
        <v>4.5695189699999998</v>
      </c>
      <c r="NU49" s="44">
        <v>12.73577352</v>
      </c>
      <c r="NV49" s="44">
        <v>0.14353745000000001</v>
      </c>
      <c r="NW49" s="44">
        <v>12.879310969999999</v>
      </c>
      <c r="NX49" s="50">
        <f t="shared" si="117"/>
        <v>36.218171139999995</v>
      </c>
      <c r="NY49" s="50">
        <f t="shared" si="40"/>
        <v>0.65284745000000011</v>
      </c>
      <c r="NZ49" s="50">
        <f t="shared" si="41"/>
        <v>36.871018559999996</v>
      </c>
      <c r="OA49" s="50">
        <f t="shared" si="100"/>
        <v>37.08654130999998</v>
      </c>
      <c r="OB49" s="50">
        <f>OB48-OB50</f>
        <v>-0.21552330999998048</v>
      </c>
      <c r="OC49" s="50">
        <v>36.871017999999999</v>
      </c>
      <c r="OD49" s="44">
        <v>0</v>
      </c>
      <c r="OE49" s="44">
        <v>6.7839999999999998E-2</v>
      </c>
      <c r="OF49" s="44">
        <v>6.7839999999999998E-2</v>
      </c>
      <c r="OG49" s="50">
        <v>0</v>
      </c>
      <c r="OH49" s="44">
        <v>0.12101000000000001</v>
      </c>
      <c r="OI49" s="44">
        <v>0.12101000000000001</v>
      </c>
      <c r="OJ49" s="44">
        <f t="shared" si="107"/>
        <v>7.7607381100000001</v>
      </c>
      <c r="OK49" s="44">
        <v>6.2839999999999993E-2</v>
      </c>
      <c r="OL49" s="44">
        <v>7.8235781099999997</v>
      </c>
      <c r="OM49" s="44">
        <v>1.64642625</v>
      </c>
      <c r="ON49" s="44">
        <v>4.8640000000000003E-2</v>
      </c>
      <c r="OO49" s="44">
        <v>1.69506625</v>
      </c>
      <c r="OP49" s="44">
        <v>7.0141168799999996</v>
      </c>
      <c r="OQ49" s="44">
        <v>2.307E-2</v>
      </c>
      <c r="OR49" s="44">
        <v>7.0371868799999993</v>
      </c>
      <c r="OS49" s="44">
        <v>4.3475730100000005</v>
      </c>
      <c r="OT49" s="44">
        <v>5.9130000000000002E-2</v>
      </c>
      <c r="OU49" s="44">
        <v>4.4067030100000002</v>
      </c>
      <c r="OV49" s="44">
        <v>3.8777000200000002</v>
      </c>
      <c r="OW49" s="44">
        <v>5.0340000000000003E-2</v>
      </c>
      <c r="OX49" s="44">
        <v>3.9280400200000001</v>
      </c>
      <c r="OY49" s="95">
        <v>3.4246538399999999</v>
      </c>
      <c r="OZ49" s="95">
        <v>7.6380000000000003E-2</v>
      </c>
      <c r="PA49" s="95">
        <v>3.5010338399999998</v>
      </c>
      <c r="PB49" s="44">
        <v>0.47918132000000002</v>
      </c>
      <c r="PC49" s="44"/>
      <c r="PD49" s="44">
        <v>0.47918132000000002</v>
      </c>
      <c r="PE49" s="44">
        <v>0.87585081000000009</v>
      </c>
      <c r="PF49" s="44">
        <v>0.20144000000000001</v>
      </c>
      <c r="PG49" s="44">
        <v>1.07729081</v>
      </c>
      <c r="PH49" s="44">
        <v>0.80355171000000003</v>
      </c>
      <c r="PI49" s="44">
        <v>0.10141</v>
      </c>
      <c r="PJ49" s="44">
        <v>0.90496171000000003</v>
      </c>
      <c r="PK49" s="44">
        <v>4.3071617299999998</v>
      </c>
      <c r="PL49" s="44">
        <v>0.1305</v>
      </c>
      <c r="PM49" s="44">
        <v>4.4376617299999994</v>
      </c>
      <c r="PN49" s="50">
        <f t="shared" si="115"/>
        <v>34.536953679999996</v>
      </c>
      <c r="PO49" s="50">
        <f t="shared" si="108"/>
        <v>0.9426000000000001</v>
      </c>
      <c r="PP49" s="50">
        <f t="shared" si="116"/>
        <v>35.479553680000002</v>
      </c>
      <c r="PQ49" s="50">
        <f>PS49-PR49</f>
        <v>34.533637490000039</v>
      </c>
      <c r="PR49" s="50">
        <f>PR48-PR50</f>
        <v>0.94591650999996091</v>
      </c>
      <c r="PS49" s="50">
        <v>35.479554</v>
      </c>
      <c r="PT49" s="44">
        <v>0</v>
      </c>
      <c r="PU49" s="44">
        <v>6.8750000000000006E-2</v>
      </c>
      <c r="PV49" s="44">
        <v>6.8750000000000006E-2</v>
      </c>
      <c r="PW49" s="44"/>
      <c r="PX49" s="44">
        <v>9.7449999999999995E-2</v>
      </c>
      <c r="PY49" s="44">
        <v>9.7449999999999995E-2</v>
      </c>
      <c r="PZ49" s="44">
        <v>0.22342748000000001</v>
      </c>
      <c r="QA49" s="44">
        <v>5.033E-2</v>
      </c>
      <c r="QB49" s="44">
        <v>0.27375748</v>
      </c>
      <c r="QC49" s="44">
        <v>16.284441179999998</v>
      </c>
      <c r="QD49" s="44">
        <v>5.0854999999999997E-2</v>
      </c>
      <c r="QE49" s="44">
        <v>16.335296179999997</v>
      </c>
      <c r="QF49" s="50">
        <v>5.9440067599999997</v>
      </c>
      <c r="QG49" s="44">
        <v>2.7060000000000001E-2</v>
      </c>
      <c r="QH49" s="44">
        <v>5.9710667599999994</v>
      </c>
      <c r="QI49" s="50">
        <v>3.6000137900000002</v>
      </c>
      <c r="QJ49" s="44">
        <v>4.0579999999999998E-2</v>
      </c>
      <c r="QK49" s="44">
        <v>3.6405937900000001</v>
      </c>
      <c r="QL49" s="44">
        <v>0.65786360999999993</v>
      </c>
      <c r="QM49" s="44">
        <v>4.0059999999999998E-2</v>
      </c>
      <c r="QN49" s="44">
        <v>0.69792360999999992</v>
      </c>
      <c r="QO49" s="50">
        <v>3.99787311</v>
      </c>
      <c r="QP49" s="44">
        <v>7.8560000000000005E-2</v>
      </c>
      <c r="QQ49" s="44">
        <v>4.07643311</v>
      </c>
      <c r="QR49" s="44">
        <v>6.4590141800000005</v>
      </c>
      <c r="QS49" s="44">
        <v>4.9340000000000002E-2</v>
      </c>
      <c r="QT49" s="44">
        <v>6.5083541800000004</v>
      </c>
      <c r="QU49" s="50">
        <v>4.5623803599999997</v>
      </c>
      <c r="QV49" s="44">
        <v>3.8460000000000001E-2</v>
      </c>
      <c r="QW49" s="44">
        <v>4.6008403599999994</v>
      </c>
      <c r="QX49" s="50">
        <v>4.1632215600000002</v>
      </c>
      <c r="QY49" s="44">
        <v>5.5914999999999999E-2</v>
      </c>
      <c r="QZ49" s="44">
        <v>4.2191365599999999</v>
      </c>
      <c r="RA49" s="50">
        <v>0.84461074999999997</v>
      </c>
      <c r="RB49" s="44">
        <v>7.5469999999999995E-2</v>
      </c>
      <c r="RC49" s="44">
        <v>0.92008075</v>
      </c>
      <c r="RD49" s="50">
        <f t="shared" si="52"/>
        <v>46.736852780000007</v>
      </c>
      <c r="RE49" s="50">
        <f t="shared" si="53"/>
        <v>0.67283000000000015</v>
      </c>
      <c r="RF49" s="50">
        <f t="shared" si="54"/>
        <v>47.409682779999997</v>
      </c>
      <c r="RG49" s="50">
        <f>RI49-RH49</f>
        <v>46.736853000000025</v>
      </c>
      <c r="RH49" s="50">
        <f>RH48-RH50</f>
        <v>0.67282999999997628</v>
      </c>
      <c r="RI49" s="50">
        <v>47.409683000000001</v>
      </c>
      <c r="RJ49" s="50"/>
      <c r="RK49" s="50">
        <v>4.7219999999999998E-2</v>
      </c>
      <c r="RL49" s="50">
        <v>4.7219999999999998E-2</v>
      </c>
      <c r="RM49" s="50">
        <v>0.47510704999999998</v>
      </c>
      <c r="RN49" s="50">
        <v>7.5804999999999997E-2</v>
      </c>
      <c r="RO49" s="50">
        <v>0.55091204999999999</v>
      </c>
      <c r="RP49" s="50">
        <v>2.0184373500000001</v>
      </c>
      <c r="RQ49" s="50">
        <v>3.2684999999999999E-2</v>
      </c>
      <c r="RR49" s="50">
        <v>2.05112235</v>
      </c>
      <c r="RS49" s="50">
        <v>16.45518847</v>
      </c>
      <c r="RT49" s="50">
        <v>2.5829999999999999E-2</v>
      </c>
      <c r="RU49" s="50">
        <v>16.481018469999999</v>
      </c>
      <c r="RV49" s="50">
        <v>1.8110833200000001</v>
      </c>
      <c r="RW49" s="50">
        <v>2.6780000000000002E-2</v>
      </c>
      <c r="RX49" s="50">
        <v>1.8378633200000001</v>
      </c>
      <c r="RY49" s="50">
        <v>5.7823796900000008</v>
      </c>
      <c r="RZ49" s="50">
        <v>3.6249999999999998E-2</v>
      </c>
      <c r="SA49" s="50">
        <v>5.8186296900000007</v>
      </c>
      <c r="SB49" s="50">
        <v>1.3761374499999999</v>
      </c>
      <c r="SC49" s="50">
        <v>4.7969999999999999E-2</v>
      </c>
      <c r="SD49" s="50">
        <v>1.4241074499999999</v>
      </c>
      <c r="SE49" s="50">
        <v>3.9155232</v>
      </c>
      <c r="SF49" s="50">
        <v>6.9019999999999998E-2</v>
      </c>
      <c r="SG49" s="50">
        <v>3.9845432000000001</v>
      </c>
      <c r="SH49" s="50">
        <v>0.69985249999999999</v>
      </c>
      <c r="SI49" s="50">
        <v>5.4109999999999998E-2</v>
      </c>
      <c r="SJ49" s="50">
        <v>0.75396249999999998</v>
      </c>
      <c r="SK49" s="50">
        <v>3.77712249</v>
      </c>
      <c r="SL49" s="50">
        <v>3.083E-2</v>
      </c>
      <c r="SM49" s="50">
        <v>3.8079524899999999</v>
      </c>
      <c r="SN49" s="50">
        <v>2.18143515</v>
      </c>
      <c r="SO49" s="50">
        <v>6.2600000000000003E-2</v>
      </c>
      <c r="SP49" s="50">
        <v>2.2440351500000002</v>
      </c>
      <c r="SQ49" s="50">
        <v>4.4136289899999994</v>
      </c>
      <c r="SR49" s="50">
        <v>6.9489999999999996E-2</v>
      </c>
      <c r="SS49" s="50">
        <v>4.4831189899999995</v>
      </c>
      <c r="ST49" s="50">
        <f t="shared" si="55"/>
        <v>42.905895660000006</v>
      </c>
      <c r="SU49" s="50">
        <f t="shared" si="65"/>
        <v>0.57858999999999994</v>
      </c>
      <c r="SV49" s="50">
        <f t="shared" si="56"/>
        <v>43.484485660000004</v>
      </c>
      <c r="SW49" s="50">
        <f t="shared" si="103"/>
        <v>42.90589599999992</v>
      </c>
      <c r="SX49" s="50">
        <f>SX48-SX50</f>
        <v>0.57859000000007654</v>
      </c>
      <c r="SY49" s="50">
        <v>43.484485999999997</v>
      </c>
      <c r="SZ49" s="50"/>
      <c r="TA49" s="50">
        <v>2.5250000000000002E-2</v>
      </c>
      <c r="TB49" s="50">
        <v>2.5250000000000002E-2</v>
      </c>
      <c r="TC49" s="50">
        <v>0</v>
      </c>
      <c r="TD49" s="50">
        <v>6.5540000000000001E-2</v>
      </c>
      <c r="TE49" s="50">
        <v>6.5540000000000001E-2</v>
      </c>
      <c r="TF49" s="50">
        <v>2.2444683099999998</v>
      </c>
      <c r="TG49" s="50">
        <v>4.3119999999999999E-2</v>
      </c>
      <c r="TH49" s="50">
        <v>2.2875883099999998</v>
      </c>
      <c r="TI49" s="50">
        <v>8.2607057299999997</v>
      </c>
      <c r="TJ49" s="50">
        <v>2.5590000000000002E-2</v>
      </c>
      <c r="TK49" s="50">
        <v>8.2862957299999991</v>
      </c>
      <c r="TL49" s="50">
        <v>9.074058410000001</v>
      </c>
      <c r="TM49" s="50">
        <v>2.1319999999999999E-2</v>
      </c>
      <c r="TN49" s="50">
        <v>9.0953784100000004</v>
      </c>
      <c r="TO49" s="50">
        <v>5.2245831299999992</v>
      </c>
      <c r="TP49" s="50">
        <v>1.7409999999999998E-2</v>
      </c>
      <c r="TQ49" s="50">
        <v>5.2419931299999991</v>
      </c>
      <c r="TR49" s="50">
        <v>0.43586453999999997</v>
      </c>
      <c r="TS49" s="50">
        <v>2.5239999999999999E-2</v>
      </c>
      <c r="TT49" s="50">
        <v>0.46110453999999995</v>
      </c>
      <c r="TU49" s="50">
        <v>3.1294425500000003</v>
      </c>
      <c r="TV49" s="50">
        <v>4.4949999999999997E-2</v>
      </c>
      <c r="TW49" s="50">
        <v>3.1743925500000003</v>
      </c>
      <c r="TX49" s="50">
        <v>7.3321386899999998</v>
      </c>
      <c r="TY49" s="50">
        <v>5.2479999999999999E-2</v>
      </c>
      <c r="TZ49" s="50">
        <v>7.3846186899999999</v>
      </c>
      <c r="UA49" s="50">
        <v>4.3736065600000007</v>
      </c>
      <c r="UB49" s="50">
        <v>6.012E-2</v>
      </c>
      <c r="UC49" s="50">
        <v>4.4337265600000011</v>
      </c>
      <c r="UD49" s="50">
        <v>0.27594216999999999</v>
      </c>
      <c r="UE49" s="50">
        <v>5.067E-2</v>
      </c>
      <c r="UF49" s="50">
        <v>0.32661216999999998</v>
      </c>
      <c r="UG49" s="50">
        <v>4.2936671899999999</v>
      </c>
      <c r="UH49" s="50">
        <v>5.9655E-2</v>
      </c>
      <c r="UI49" s="50">
        <v>4.3533221900000001</v>
      </c>
      <c r="UJ49" s="50">
        <f t="shared" si="45"/>
        <v>44.644477279999997</v>
      </c>
      <c r="UK49" s="50">
        <f t="shared" si="15"/>
        <v>0.49134499999999998</v>
      </c>
      <c r="UL49" s="50">
        <f t="shared" si="16"/>
        <v>45.135822279999999</v>
      </c>
      <c r="UM49" s="50">
        <v>0</v>
      </c>
      <c r="UN49" s="50">
        <v>5.8404999999999999E-2</v>
      </c>
      <c r="UO49" s="50">
        <v>5.8404999999999999E-2</v>
      </c>
      <c r="UP49" s="50">
        <v>1.5134110000000006E-2</v>
      </c>
      <c r="UQ49" s="50">
        <v>8.5089999999999999E-2</v>
      </c>
      <c r="UR49" s="50">
        <v>0.10022411000000001</v>
      </c>
      <c r="US49" s="50">
        <v>3.0341572699999997</v>
      </c>
      <c r="UT49" s="50">
        <v>4.0129999999999999E-2</v>
      </c>
      <c r="UU49" s="50">
        <v>3.0742872699999997</v>
      </c>
      <c r="UV49" s="50">
        <v>14.55713336</v>
      </c>
      <c r="UW49" s="50">
        <v>2.9739999999999999E-2</v>
      </c>
      <c r="UX49" s="50">
        <v>14.58687336</v>
      </c>
      <c r="UY49" s="50"/>
      <c r="UZ49" s="50"/>
      <c r="VA49" s="50"/>
      <c r="VB49" s="50"/>
      <c r="VC49" s="50"/>
      <c r="VD49" s="50"/>
      <c r="VE49" s="50"/>
      <c r="VF49" s="50"/>
      <c r="VG49" s="50"/>
      <c r="VH49" s="50"/>
      <c r="VI49" s="50"/>
      <c r="VJ49" s="50"/>
      <c r="VK49" s="50"/>
      <c r="VL49" s="50"/>
      <c r="VM49" s="50"/>
      <c r="VN49" s="50"/>
      <c r="VO49" s="50"/>
      <c r="VP49" s="50"/>
      <c r="VQ49" s="50"/>
      <c r="VR49" s="50"/>
      <c r="VS49" s="50"/>
      <c r="VT49" s="50"/>
      <c r="VU49" s="50"/>
      <c r="VV49" s="50"/>
      <c r="VW49" s="276">
        <f t="shared" si="57"/>
        <v>10.505174</v>
      </c>
      <c r="VX49" s="292">
        <f t="shared" si="58"/>
        <v>0.1595</v>
      </c>
      <c r="VY49" s="292">
        <f t="shared" si="59"/>
        <v>10.664674</v>
      </c>
      <c r="VZ49" s="276">
        <f t="shared" si="60"/>
        <v>17.606425000000002</v>
      </c>
      <c r="WA49" s="292">
        <f t="shared" si="61"/>
        <v>0.213365</v>
      </c>
      <c r="WB49" s="292">
        <f t="shared" si="62"/>
        <v>17.819790000000001</v>
      </c>
      <c r="WC49" s="277">
        <f t="shared" si="112"/>
        <v>7.1551160000000014</v>
      </c>
      <c r="WD49" s="277">
        <f t="shared" si="104"/>
        <v>67.09174607681399</v>
      </c>
    </row>
    <row r="50" spans="1:602" s="12" customFormat="1" ht="20.5">
      <c r="A50" s="314" t="s">
        <v>136</v>
      </c>
      <c r="B50" s="13">
        <v>3200</v>
      </c>
      <c r="C50" s="47" t="s">
        <v>137</v>
      </c>
      <c r="D50" s="45">
        <v>1198.8919556519313</v>
      </c>
      <c r="E50" s="42">
        <v>1563.5594717730692</v>
      </c>
      <c r="F50" s="42">
        <v>1439.7392800837786</v>
      </c>
      <c r="G50" s="42">
        <v>1434.3260453839193</v>
      </c>
      <c r="H50" s="42">
        <v>51.448876429274733</v>
      </c>
      <c r="I50" s="42">
        <v>110.37323326275889</v>
      </c>
      <c r="J50" s="42">
        <v>91.763229904781426</v>
      </c>
      <c r="K50" s="42">
        <v>88.0737579751965</v>
      </c>
      <c r="L50" s="42">
        <v>124.34329918440989</v>
      </c>
      <c r="M50" s="42">
        <v>97.461955822676074</v>
      </c>
      <c r="N50" s="42">
        <v>99.588826187671074</v>
      </c>
      <c r="O50" s="42">
        <v>98.313449553502849</v>
      </c>
      <c r="P50" s="42">
        <v>123.46000231928244</v>
      </c>
      <c r="Q50" s="42">
        <v>97.635397721128527</v>
      </c>
      <c r="R50" s="42">
        <v>148.01379989300005</v>
      </c>
      <c r="S50" s="42">
        <v>238.56419084125875</v>
      </c>
      <c r="T50" s="44" t="s">
        <v>46</v>
      </c>
      <c r="U50" s="44" t="s">
        <v>46</v>
      </c>
      <c r="V50" s="42">
        <v>1369.0400190949415</v>
      </c>
      <c r="W50" s="42">
        <v>1369.0408108092727</v>
      </c>
      <c r="X50" s="42">
        <v>68.078048787428642</v>
      </c>
      <c r="Y50" s="42">
        <v>118.98781594868555</v>
      </c>
      <c r="Z50" s="42">
        <v>111.0608238712358</v>
      </c>
      <c r="AA50" s="42">
        <v>82.649168061081042</v>
      </c>
      <c r="AB50" s="42">
        <v>101.03925458591586</v>
      </c>
      <c r="AC50" s="42">
        <v>102.93109458682649</v>
      </c>
      <c r="AD50" s="42">
        <v>106.52178559029261</v>
      </c>
      <c r="AE50" s="42">
        <v>118.70067899442803</v>
      </c>
      <c r="AF50" s="42">
        <v>107.8173786717207</v>
      </c>
      <c r="AG50" s="42">
        <v>181.97978413611762</v>
      </c>
      <c r="AH50" s="42">
        <v>177.6165417385217</v>
      </c>
      <c r="AI50" s="42">
        <v>234.91436019146161</v>
      </c>
      <c r="AJ50" s="44" t="s">
        <v>46</v>
      </c>
      <c r="AK50" s="44" t="s">
        <v>46</v>
      </c>
      <c r="AL50" s="42">
        <v>1512.2967351637155</v>
      </c>
      <c r="AM50" s="42">
        <v>1512.2980389980705</v>
      </c>
      <c r="AN50" s="42">
        <v>72.025901958440755</v>
      </c>
      <c r="AO50" s="42">
        <v>128.80104837195006</v>
      </c>
      <c r="AP50" s="42">
        <v>117.35603952168742</v>
      </c>
      <c r="AQ50" s="42">
        <v>106.48570867553401</v>
      </c>
      <c r="AR50" s="42">
        <v>110.53362810968635</v>
      </c>
      <c r="AS50" s="42">
        <v>103.87427931542791</v>
      </c>
      <c r="AT50" s="42">
        <v>104.51803063158435</v>
      </c>
      <c r="AU50" s="42">
        <v>116.73867536325918</v>
      </c>
      <c r="AV50" s="42">
        <v>103.64680906767747</v>
      </c>
      <c r="AW50" s="42">
        <v>108.20789153163614</v>
      </c>
      <c r="AX50" s="42">
        <v>166.71800530446612</v>
      </c>
      <c r="AY50" s="42">
        <v>222.70523787570932</v>
      </c>
      <c r="AZ50" s="44">
        <v>713.46932178000043</v>
      </c>
      <c r="BA50" s="42">
        <v>748.141932</v>
      </c>
      <c r="BB50" s="42">
        <v>1461.6112539999999</v>
      </c>
      <c r="BC50" s="44" t="s">
        <v>46</v>
      </c>
      <c r="BD50" s="44" t="s">
        <v>46</v>
      </c>
      <c r="BE50" s="42">
        <v>1461.5300169037171</v>
      </c>
      <c r="BF50" s="44">
        <v>35.524139849999997</v>
      </c>
      <c r="BG50" s="44">
        <v>48.081760289999998</v>
      </c>
      <c r="BH50" s="44">
        <v>83.605900000000005</v>
      </c>
      <c r="BI50" s="42">
        <v>72.414677940000004</v>
      </c>
      <c r="BJ50" s="42">
        <v>74.234717449999991</v>
      </c>
      <c r="BK50" s="42">
        <v>146.649396</v>
      </c>
      <c r="BL50" s="44">
        <v>64.393195790000007</v>
      </c>
      <c r="BM50" s="44">
        <v>43.078898789999982</v>
      </c>
      <c r="BN50" s="44">
        <v>107.472094</v>
      </c>
      <c r="BO50" s="44">
        <v>62.602851580000006</v>
      </c>
      <c r="BP50" s="44">
        <v>64.838527450000015</v>
      </c>
      <c r="BQ50" s="44">
        <v>127.441379</v>
      </c>
      <c r="BR50" s="44">
        <v>63.230143470000009</v>
      </c>
      <c r="BS50" s="44">
        <v>48.352054670000015</v>
      </c>
      <c r="BT50" s="44">
        <v>111.58219800000001</v>
      </c>
      <c r="BU50" s="44">
        <v>66.650957579999982</v>
      </c>
      <c r="BV50" s="44">
        <v>35.219950500000003</v>
      </c>
      <c r="BW50" s="44">
        <v>101.870908</v>
      </c>
      <c r="BX50" s="44">
        <v>63.188749610000002</v>
      </c>
      <c r="BY50" s="44">
        <v>60.643520850000002</v>
      </c>
      <c r="BZ50" s="44">
        <v>123.83227046000003</v>
      </c>
      <c r="CA50" s="44">
        <v>59.911575060000004</v>
      </c>
      <c r="CB50" s="44">
        <v>46.944913419999999</v>
      </c>
      <c r="CC50" s="44">
        <v>106.856488</v>
      </c>
      <c r="CD50" s="44">
        <v>67.016630270000007</v>
      </c>
      <c r="CE50" s="50">
        <v>37.286374310000006</v>
      </c>
      <c r="CF50" s="44">
        <f>CD50+CE50</f>
        <v>104.30300458000002</v>
      </c>
      <c r="CG50" s="44">
        <v>73.900110339999955</v>
      </c>
      <c r="CH50" s="50">
        <v>78.542591589999986</v>
      </c>
      <c r="CI50" s="44">
        <f>CG50+CH50</f>
        <v>152.44270192999994</v>
      </c>
      <c r="CJ50" s="42">
        <v>65.772601299999991</v>
      </c>
      <c r="CK50" s="42">
        <v>126.00055767999999</v>
      </c>
      <c r="CL50" s="44">
        <f>CJ50+CK50</f>
        <v>191.77315897999998</v>
      </c>
      <c r="CM50" s="42">
        <v>118.38043938000003</v>
      </c>
      <c r="CN50" s="42">
        <v>197.63390026999994</v>
      </c>
      <c r="CO50" s="44">
        <f>CM50+CN50</f>
        <v>316.01433964999995</v>
      </c>
      <c r="CP50" s="44">
        <f t="shared" si="24"/>
        <v>812.98607217000006</v>
      </c>
      <c r="CQ50" s="44">
        <f t="shared" si="25"/>
        <v>860.85776726999984</v>
      </c>
      <c r="CR50" s="44">
        <f t="shared" si="26"/>
        <v>1673.8438386</v>
      </c>
      <c r="CS50" s="42">
        <f t="shared" si="93"/>
        <v>814.26960800000006</v>
      </c>
      <c r="CT50" s="44">
        <v>860.85776699999997</v>
      </c>
      <c r="CU50" s="42">
        <v>1675.127375</v>
      </c>
      <c r="CV50" s="42">
        <v>42.280751499999994</v>
      </c>
      <c r="CW50" s="42">
        <v>59.19646946999999</v>
      </c>
      <c r="CX50" s="44">
        <f>CV50+CW50</f>
        <v>101.47722096999999</v>
      </c>
      <c r="CY50" s="42">
        <v>74.169722629999995</v>
      </c>
      <c r="CZ50" s="42">
        <v>63.095710349999997</v>
      </c>
      <c r="DA50" s="44">
        <v>137.26543297999999</v>
      </c>
      <c r="DB50" s="42">
        <v>72.882920499999997</v>
      </c>
      <c r="DC50" s="42">
        <v>57.264962840000003</v>
      </c>
      <c r="DD50" s="44">
        <v>130.14788333999999</v>
      </c>
      <c r="DE50" s="42">
        <v>69.852883869999985</v>
      </c>
      <c r="DF50" s="42">
        <v>62.960664640000005</v>
      </c>
      <c r="DG50" s="44">
        <v>132.81354850999998</v>
      </c>
      <c r="DH50" s="42">
        <v>68.506754749999985</v>
      </c>
      <c r="DI50" s="42">
        <v>28.738907080000004</v>
      </c>
      <c r="DJ50" s="44">
        <v>97.245661829999989</v>
      </c>
      <c r="DK50" s="42">
        <v>78.846305879999989</v>
      </c>
      <c r="DL50" s="42">
        <v>45.197475539999992</v>
      </c>
      <c r="DM50" s="44">
        <v>124.04378141999999</v>
      </c>
      <c r="DN50" s="42">
        <v>87.25141906000006</v>
      </c>
      <c r="DO50" s="42">
        <v>42.206774880000005</v>
      </c>
      <c r="DP50" s="44">
        <v>129.45819394000006</v>
      </c>
      <c r="DQ50" s="42">
        <v>65.590065780000003</v>
      </c>
      <c r="DR50" s="42">
        <v>55.724426269999995</v>
      </c>
      <c r="DS50" s="44">
        <v>121.31449205</v>
      </c>
      <c r="DT50" s="42">
        <v>67.062158170000004</v>
      </c>
      <c r="DU50" s="42">
        <v>51.013039079999992</v>
      </c>
      <c r="DV50" s="44">
        <v>118.07519725</v>
      </c>
      <c r="DW50" s="42">
        <v>65.106772620000001</v>
      </c>
      <c r="DX50" s="42">
        <v>43.519366169999984</v>
      </c>
      <c r="DY50" s="44">
        <v>108.62613878999998</v>
      </c>
      <c r="DZ50" s="42">
        <v>69.558984670000015</v>
      </c>
      <c r="EA50" s="42">
        <v>78.64447066999999</v>
      </c>
      <c r="EB50" s="44">
        <v>148.20345534</v>
      </c>
      <c r="EC50" s="42">
        <v>84.238322269999983</v>
      </c>
      <c r="ED50" s="42">
        <v>155.02894128999998</v>
      </c>
      <c r="EE50" s="44">
        <v>239.26726355999995</v>
      </c>
      <c r="EF50" s="50">
        <f t="shared" si="27"/>
        <v>845.34706169999993</v>
      </c>
      <c r="EG50" s="50">
        <f t="shared" si="28"/>
        <v>742.59120828000005</v>
      </c>
      <c r="EH50" s="50">
        <f t="shared" si="29"/>
        <v>1587.9382699800001</v>
      </c>
      <c r="EI50" s="50">
        <f t="shared" si="94"/>
        <v>844.02597100000014</v>
      </c>
      <c r="EJ50" s="50">
        <v>743.91230299999995</v>
      </c>
      <c r="EK50" s="50">
        <v>1587.9382740000001</v>
      </c>
      <c r="EL50" s="50">
        <v>61.406362919999985</v>
      </c>
      <c r="EM50" s="50">
        <v>67.901298420000018</v>
      </c>
      <c r="EN50" s="50">
        <v>129.30766134000001</v>
      </c>
      <c r="EO50" s="50">
        <v>77.77942444</v>
      </c>
      <c r="EP50" s="50">
        <v>85.994844389999969</v>
      </c>
      <c r="EQ50" s="50">
        <v>163.77426882999998</v>
      </c>
      <c r="ER50" s="50">
        <v>72.698752150000004</v>
      </c>
      <c r="ES50" s="50">
        <v>92.796426650000001</v>
      </c>
      <c r="ET50" s="50">
        <v>165.49517880000002</v>
      </c>
      <c r="EU50" s="50">
        <v>130.12508138999999</v>
      </c>
      <c r="EV50" s="50">
        <v>71.319427169999997</v>
      </c>
      <c r="EW50" s="50">
        <v>201.44450855999997</v>
      </c>
      <c r="EX50" s="50">
        <v>68.863292490000006</v>
      </c>
      <c r="EY50" s="50">
        <v>19.108572990000003</v>
      </c>
      <c r="EZ50" s="50">
        <v>87.971865480000005</v>
      </c>
      <c r="FA50" s="50">
        <v>74.644412880000004</v>
      </c>
      <c r="FB50" s="50">
        <v>21.381799570000002</v>
      </c>
      <c r="FC50" s="50">
        <v>96.026212450000003</v>
      </c>
      <c r="FD50" s="50">
        <v>67.526377050000008</v>
      </c>
      <c r="FE50" s="50">
        <v>46.403645390000008</v>
      </c>
      <c r="FF50" s="50">
        <v>113.93002244000002</v>
      </c>
      <c r="FG50" s="50">
        <v>64.872685080000011</v>
      </c>
      <c r="FH50" s="50">
        <v>20.006289380000002</v>
      </c>
      <c r="FI50" s="50">
        <v>84.878974460000009</v>
      </c>
      <c r="FJ50" s="50">
        <v>67.851929929999983</v>
      </c>
      <c r="FK50" s="50">
        <v>17.777627990000003</v>
      </c>
      <c r="FL50" s="50">
        <v>85.629557919999982</v>
      </c>
      <c r="FM50" s="50">
        <v>81.680254360000006</v>
      </c>
      <c r="FN50" s="50">
        <v>83.967750710000004</v>
      </c>
      <c r="FO50" s="50">
        <v>165.64800507000001</v>
      </c>
      <c r="FP50" s="50">
        <v>68.743908879999992</v>
      </c>
      <c r="FQ50" s="50">
        <v>88.635056529999986</v>
      </c>
      <c r="FR50" s="50">
        <v>157.37896540999998</v>
      </c>
      <c r="FS50" s="50">
        <v>109.75432851000001</v>
      </c>
      <c r="FT50" s="50">
        <v>123.54138123999998</v>
      </c>
      <c r="FU50" s="50">
        <v>233.29570974999999</v>
      </c>
      <c r="FV50" s="50">
        <f t="shared" si="30"/>
        <v>945.94681007999998</v>
      </c>
      <c r="FW50" s="50">
        <f t="shared" si="31"/>
        <v>738.83412042999998</v>
      </c>
      <c r="FX50" s="50">
        <f t="shared" si="32"/>
        <v>1684.7809305100002</v>
      </c>
      <c r="FY50" s="50">
        <f t="shared" si="95"/>
        <v>937.44141999999999</v>
      </c>
      <c r="FZ50" s="50">
        <v>747.33979099999999</v>
      </c>
      <c r="GA50" s="50">
        <v>1684.781211</v>
      </c>
      <c r="GB50" s="50">
        <v>55.447028910000007</v>
      </c>
      <c r="GC50" s="50">
        <v>58.582995570000016</v>
      </c>
      <c r="GD50" s="50">
        <v>114.03002448000002</v>
      </c>
      <c r="GE50" s="50">
        <v>103.53095844999997</v>
      </c>
      <c r="GF50" s="50">
        <v>36.381422569999998</v>
      </c>
      <c r="GG50" s="50">
        <v>139.91238101999997</v>
      </c>
      <c r="GH50" s="50">
        <v>79.65563561999997</v>
      </c>
      <c r="GI50" s="50">
        <v>32.532396779999999</v>
      </c>
      <c r="GJ50" s="50">
        <v>112.18803239999997</v>
      </c>
      <c r="GK50" s="50">
        <v>80.695666760000009</v>
      </c>
      <c r="GL50" s="50">
        <v>16.697994169999998</v>
      </c>
      <c r="GM50" s="50">
        <v>97.39366093000001</v>
      </c>
      <c r="GN50" s="50">
        <v>74.221957520000004</v>
      </c>
      <c r="GO50" s="50">
        <v>29.307329089999996</v>
      </c>
      <c r="GP50" s="50">
        <v>103.52928661</v>
      </c>
      <c r="GQ50" s="50">
        <v>123.329295</v>
      </c>
      <c r="GR50" s="50">
        <v>29.069771939999995</v>
      </c>
      <c r="GS50" s="50">
        <v>152.39906694000001</v>
      </c>
      <c r="GT50" s="50">
        <v>75.82479828999999</v>
      </c>
      <c r="GU50" s="50">
        <v>19.472478619999997</v>
      </c>
      <c r="GV50" s="50">
        <v>95.297276909999994</v>
      </c>
      <c r="GW50" s="50">
        <v>73.495268279999991</v>
      </c>
      <c r="GX50" s="50">
        <v>23.375527690000002</v>
      </c>
      <c r="GY50" s="50">
        <v>96.870795969999989</v>
      </c>
      <c r="GZ50" s="50">
        <v>73.568499659999986</v>
      </c>
      <c r="HA50" s="50">
        <v>23.94774761</v>
      </c>
      <c r="HB50" s="50">
        <v>97.51624726999998</v>
      </c>
      <c r="HC50" s="50">
        <v>74.530511999999987</v>
      </c>
      <c r="HD50" s="50">
        <v>127.40655761000001</v>
      </c>
      <c r="HE50" s="50">
        <v>201.93706960999998</v>
      </c>
      <c r="HF50" s="50">
        <v>82.132622930000011</v>
      </c>
      <c r="HG50" s="50">
        <v>76.118558900000039</v>
      </c>
      <c r="HH50" s="50">
        <v>158.25118183000006</v>
      </c>
      <c r="HI50" s="50">
        <v>114.58299820000006</v>
      </c>
      <c r="HJ50" s="50">
        <v>167.31434301000004</v>
      </c>
      <c r="HK50" s="50">
        <v>281.89734121000009</v>
      </c>
      <c r="HL50" s="50">
        <f t="shared" si="33"/>
        <v>1011.0152416200001</v>
      </c>
      <c r="HM50" s="50">
        <f t="shared" si="34"/>
        <v>640.20712356000013</v>
      </c>
      <c r="HN50" s="50">
        <f t="shared" si="35"/>
        <v>1651.2223651800002</v>
      </c>
      <c r="HO50" s="50">
        <f t="shared" si="96"/>
        <v>1013.221254</v>
      </c>
      <c r="HP50" s="50">
        <v>640.20712400000002</v>
      </c>
      <c r="HQ50" s="50">
        <v>1653.4283780000001</v>
      </c>
      <c r="HR50" s="50">
        <v>59.420129429999989</v>
      </c>
      <c r="HS50" s="50">
        <v>62.252670640000005</v>
      </c>
      <c r="HT50" s="50">
        <v>121.67280006999997</v>
      </c>
      <c r="HU50" s="50">
        <v>92.265916160000003</v>
      </c>
      <c r="HV50" s="50">
        <v>37.679835270000019</v>
      </c>
      <c r="HW50" s="50">
        <v>129.94575143</v>
      </c>
      <c r="HX50" s="50">
        <v>88.912012290000007</v>
      </c>
      <c r="HY50" s="50">
        <v>33.614553239999999</v>
      </c>
      <c r="HZ50" s="50">
        <v>122.52656552999998</v>
      </c>
      <c r="IA50" s="50">
        <v>164.71720959999999</v>
      </c>
      <c r="IB50" s="50">
        <v>26.030301719999997</v>
      </c>
      <c r="IC50" s="50">
        <v>190.74751131999994</v>
      </c>
      <c r="ID50" s="50">
        <v>84.258080990000011</v>
      </c>
      <c r="IE50" s="50">
        <v>30.396809570000002</v>
      </c>
      <c r="IF50" s="50">
        <v>114.65489055999998</v>
      </c>
      <c r="IG50" s="50">
        <v>89.128407119999991</v>
      </c>
      <c r="IH50" s="50">
        <v>46.740951669999994</v>
      </c>
      <c r="II50" s="50">
        <v>135.86935878999998</v>
      </c>
      <c r="IJ50" s="50">
        <v>93.828403680000008</v>
      </c>
      <c r="IK50" s="50">
        <v>33.918839779999999</v>
      </c>
      <c r="IL50" s="50">
        <v>127.74724346000001</v>
      </c>
      <c r="IM50" s="50">
        <v>87.614481930000011</v>
      </c>
      <c r="IN50" s="50">
        <v>66.4228253</v>
      </c>
      <c r="IO50" s="50">
        <v>154.03730723000001</v>
      </c>
      <c r="IP50" s="50">
        <v>88.153599419999992</v>
      </c>
      <c r="IQ50" s="50">
        <v>28.086159559999995</v>
      </c>
      <c r="IR50" s="50">
        <v>116.23975898</v>
      </c>
      <c r="IS50" s="50">
        <v>101.36738937000004</v>
      </c>
      <c r="IT50" s="50">
        <v>166.81226277000005</v>
      </c>
      <c r="IU50" s="50">
        <v>268.17965214000009</v>
      </c>
      <c r="IV50" s="50">
        <v>111.56281463999998</v>
      </c>
      <c r="IW50" s="50">
        <v>66.348390319999965</v>
      </c>
      <c r="IX50" s="50">
        <v>177.91120495999994</v>
      </c>
      <c r="IY50" s="50">
        <v>141.06093250000001</v>
      </c>
      <c r="IZ50" s="50">
        <v>194.70155894999996</v>
      </c>
      <c r="JA50" s="50">
        <v>335.76249145000014</v>
      </c>
      <c r="JB50" s="50">
        <f t="shared" si="36"/>
        <v>1202.28937713</v>
      </c>
      <c r="JC50" s="50">
        <f t="shared" si="37"/>
        <v>793.00515879</v>
      </c>
      <c r="JD50" s="50">
        <f t="shared" si="38"/>
        <v>1995.29453592</v>
      </c>
      <c r="JE50" s="50">
        <f t="shared" si="97"/>
        <v>1202.28062</v>
      </c>
      <c r="JF50" s="50">
        <v>792.99833100000001</v>
      </c>
      <c r="JG50" s="50">
        <v>1995.278951</v>
      </c>
      <c r="JH50" s="50">
        <v>76.483619230000016</v>
      </c>
      <c r="JI50" s="50">
        <v>53.627442329999987</v>
      </c>
      <c r="JJ50" s="50">
        <v>130.11106156</v>
      </c>
      <c r="JK50" s="50">
        <v>100.01414132000001</v>
      </c>
      <c r="JL50" s="50">
        <v>45.442181049999995</v>
      </c>
      <c r="JM50" s="50">
        <v>145.45632236999998</v>
      </c>
      <c r="JN50" s="50">
        <v>85.963551390000006</v>
      </c>
      <c r="JO50" s="50">
        <v>43.372945030000004</v>
      </c>
      <c r="JP50" s="50">
        <v>129.33649642</v>
      </c>
      <c r="JQ50" s="50">
        <v>110.93178002999998</v>
      </c>
      <c r="JR50" s="50">
        <v>34.927702980000007</v>
      </c>
      <c r="JS50" s="50">
        <v>145.85948300999999</v>
      </c>
      <c r="JT50" s="50">
        <v>93.298698200000018</v>
      </c>
      <c r="JU50" s="50">
        <v>36.423003489999992</v>
      </c>
      <c r="JV50" s="50">
        <v>129.72170169</v>
      </c>
      <c r="JW50" s="50">
        <v>91.923134290000007</v>
      </c>
      <c r="JX50" s="50">
        <v>32.229077480000001</v>
      </c>
      <c r="JY50" s="50">
        <v>124.15221177000004</v>
      </c>
      <c r="JZ50" s="50">
        <v>113.26308706999998</v>
      </c>
      <c r="KA50" s="50">
        <v>51.412457459999992</v>
      </c>
      <c r="KB50" s="50">
        <v>164.67554453000008</v>
      </c>
      <c r="KC50" s="50">
        <v>97.236573709999988</v>
      </c>
      <c r="KD50" s="50">
        <v>37.316643190000008</v>
      </c>
      <c r="KE50" s="50">
        <v>134.55321690000002</v>
      </c>
      <c r="KF50" s="50">
        <v>95.196504329999996</v>
      </c>
      <c r="KG50" s="50">
        <v>29.851330359999999</v>
      </c>
      <c r="KH50" s="50">
        <v>125.04783469</v>
      </c>
      <c r="KI50" s="50">
        <v>101.58897031000001</v>
      </c>
      <c r="KJ50" s="50">
        <v>145.20234126</v>
      </c>
      <c r="KK50" s="50">
        <v>246.79131157</v>
      </c>
      <c r="KL50" s="50">
        <v>143.91735181000001</v>
      </c>
      <c r="KM50" s="50">
        <v>35.023531030000001</v>
      </c>
      <c r="KN50" s="50">
        <v>178.94088283999997</v>
      </c>
      <c r="KO50" s="50">
        <v>164.96001178999995</v>
      </c>
      <c r="KP50" s="50">
        <v>222.35854608</v>
      </c>
      <c r="KQ50" s="50">
        <v>387.31855787000006</v>
      </c>
      <c r="KR50" s="50">
        <f t="shared" si="48"/>
        <v>1274.7774234799999</v>
      </c>
      <c r="KS50" s="50">
        <f t="shared" si="39"/>
        <v>767.18720173999998</v>
      </c>
      <c r="KT50" s="50">
        <f t="shared" si="49"/>
        <v>2041.96462522</v>
      </c>
      <c r="KU50" s="50">
        <f t="shared" si="98"/>
        <v>1274.777423</v>
      </c>
      <c r="KV50" s="50">
        <v>767.18720199999996</v>
      </c>
      <c r="KW50" s="50">
        <v>2041.9646250000001</v>
      </c>
      <c r="KX50" s="50">
        <v>84.976014719999995</v>
      </c>
      <c r="KY50" s="50">
        <v>56.079471620000007</v>
      </c>
      <c r="KZ50" s="50">
        <v>141.05548633999999</v>
      </c>
      <c r="LA50" s="50">
        <v>118.19395005</v>
      </c>
      <c r="LB50" s="50">
        <v>43.008792539999995</v>
      </c>
      <c r="LC50" s="50">
        <v>161.20274259000001</v>
      </c>
      <c r="LD50" s="50">
        <v>103.59327599000002</v>
      </c>
      <c r="LE50" s="50">
        <v>73.804084240000009</v>
      </c>
      <c r="LF50" s="87">
        <v>177.39736022999998</v>
      </c>
      <c r="LG50" s="50">
        <v>240.03431910000003</v>
      </c>
      <c r="LH50" s="50">
        <v>26.422745909999993</v>
      </c>
      <c r="LI50" s="175">
        <v>266.45706501000006</v>
      </c>
      <c r="LJ50" s="174">
        <v>85.536482219999968</v>
      </c>
      <c r="LK50" s="50">
        <v>21.181655450000008</v>
      </c>
      <c r="LL50" s="174">
        <v>106.71813766999993</v>
      </c>
      <c r="LM50" s="50">
        <v>93.300828859999982</v>
      </c>
      <c r="LN50" s="50">
        <v>38.736418220000004</v>
      </c>
      <c r="LO50" s="50">
        <v>132.03724707999999</v>
      </c>
      <c r="LP50" s="50">
        <v>125.1514382</v>
      </c>
      <c r="LQ50" s="44">
        <v>30.246911149999999</v>
      </c>
      <c r="LR50" s="44">
        <v>155.39834934999999</v>
      </c>
      <c r="LS50" s="50">
        <v>164.86447541999999</v>
      </c>
      <c r="LT50" s="50">
        <v>58.357146540000024</v>
      </c>
      <c r="LU50" s="52">
        <v>223.22162195999988</v>
      </c>
      <c r="LV50" s="44">
        <v>141.95438570999997</v>
      </c>
      <c r="LW50" s="44">
        <v>23.129922020000002</v>
      </c>
      <c r="LX50" s="44">
        <v>165.08430772999998</v>
      </c>
      <c r="LY50" s="44">
        <v>140.28394118000003</v>
      </c>
      <c r="LZ50" s="44">
        <v>144.37162545999999</v>
      </c>
      <c r="MA50" s="44">
        <v>284.65556664000002</v>
      </c>
      <c r="MB50" s="44">
        <v>128.75937914999997</v>
      </c>
      <c r="MC50" s="44">
        <v>30.206921989999994</v>
      </c>
      <c r="MD50" s="44">
        <v>158.96630114000001</v>
      </c>
      <c r="ME50" s="44">
        <v>189.44120797999992</v>
      </c>
      <c r="MF50" s="44">
        <v>222.86413757999995</v>
      </c>
      <c r="MG50" s="44">
        <v>412.30534556000003</v>
      </c>
      <c r="MH50" s="50">
        <f t="shared" si="66"/>
        <v>1616.08969858</v>
      </c>
      <c r="MI50" s="50">
        <f t="shared" si="50"/>
        <v>768.40983271999994</v>
      </c>
      <c r="MJ50" s="50">
        <f t="shared" si="51"/>
        <v>2384.4995312999999</v>
      </c>
      <c r="MK50" s="50">
        <f t="shared" si="99"/>
        <v>1616.1173372799999</v>
      </c>
      <c r="ML50" s="50">
        <v>768.40983271999994</v>
      </c>
      <c r="MM50" s="50">
        <v>2384.5271699999998</v>
      </c>
      <c r="MN50" s="44">
        <v>96.57343637999999</v>
      </c>
      <c r="MO50" s="44">
        <v>32.367695590000004</v>
      </c>
      <c r="MP50" s="44">
        <v>128.94113196999996</v>
      </c>
      <c r="MQ50" s="44">
        <v>182.59388268999996</v>
      </c>
      <c r="MR50" s="44">
        <v>43.942899439999998</v>
      </c>
      <c r="MS50" s="44">
        <v>226.53678212999995</v>
      </c>
      <c r="MT50" s="50">
        <v>153.73217729000001</v>
      </c>
      <c r="MU50" s="50">
        <v>46.205221109999989</v>
      </c>
      <c r="MV50" s="50">
        <v>199.93739840000009</v>
      </c>
      <c r="MW50" s="44">
        <v>194.16547234999999</v>
      </c>
      <c r="MX50" s="44">
        <v>16.529984469999999</v>
      </c>
      <c r="MY50" s="44">
        <v>210.69545682000006</v>
      </c>
      <c r="MZ50" s="44">
        <v>157.29122065000001</v>
      </c>
      <c r="NA50" s="44">
        <v>29.298966530000008</v>
      </c>
      <c r="NB50" s="50">
        <v>186.59018718000002</v>
      </c>
      <c r="NC50" s="44">
        <v>151.64380304000005</v>
      </c>
      <c r="ND50" s="44">
        <v>34.74874968000001</v>
      </c>
      <c r="NE50" s="44">
        <v>186.39255272000003</v>
      </c>
      <c r="NF50" s="44">
        <v>173.36853539999998</v>
      </c>
      <c r="NG50" s="44">
        <v>24.251866329999999</v>
      </c>
      <c r="NH50" s="44">
        <v>197.62040173</v>
      </c>
      <c r="NI50" s="44">
        <v>163.09621553999995</v>
      </c>
      <c r="NJ50" s="44">
        <v>28.245587809999996</v>
      </c>
      <c r="NK50" s="44">
        <v>191.34180334999999</v>
      </c>
      <c r="NL50" s="44">
        <v>144.18649371000004</v>
      </c>
      <c r="NM50" s="44">
        <v>74.709096379999977</v>
      </c>
      <c r="NN50" s="44">
        <v>218.89559009000004</v>
      </c>
      <c r="NO50" s="44">
        <v>174.11964644999998</v>
      </c>
      <c r="NP50" s="44">
        <v>144.24545417999997</v>
      </c>
      <c r="NQ50" s="44">
        <v>318.36510062999992</v>
      </c>
      <c r="NR50" s="44">
        <v>156.23219681</v>
      </c>
      <c r="NS50" s="44">
        <v>38.43451219</v>
      </c>
      <c r="NT50" s="44">
        <v>194.666709</v>
      </c>
      <c r="NU50" s="44">
        <v>794.40702439999995</v>
      </c>
      <c r="NV50" s="44">
        <v>228.99077560000001</v>
      </c>
      <c r="NW50" s="44">
        <v>1023.3978</v>
      </c>
      <c r="NX50" s="50">
        <f>MN50+MQ50+MT50+MW50+MZ50+NC50+NF50+NI50+NL50+NO50+NR50+NU50</f>
        <v>2541.4101047099998</v>
      </c>
      <c r="NY50" s="210">
        <f t="shared" si="40"/>
        <v>741.97080930999994</v>
      </c>
      <c r="NZ50" s="50">
        <f t="shared" si="41"/>
        <v>3283.3809140200001</v>
      </c>
      <c r="OA50" s="50">
        <f t="shared" si="100"/>
        <v>2532.4951424999999</v>
      </c>
      <c r="OB50" s="50">
        <v>741.97132150000004</v>
      </c>
      <c r="OC50" s="50">
        <v>3274.4664640000001</v>
      </c>
      <c r="OD50" s="44">
        <v>196.21451099999999</v>
      </c>
      <c r="OE50" s="44">
        <v>38.745906919999989</v>
      </c>
      <c r="OF50" s="44">
        <v>234.96041792000005</v>
      </c>
      <c r="OG50" s="50">
        <v>228.17335032999995</v>
      </c>
      <c r="OH50" s="44">
        <v>25.342771709999997</v>
      </c>
      <c r="OI50" s="44">
        <v>253.51612204</v>
      </c>
      <c r="OJ50" s="44">
        <f t="shared" si="107"/>
        <v>243.32983178999996</v>
      </c>
      <c r="OK50" s="44">
        <v>54.205352000000012</v>
      </c>
      <c r="OL50" s="44">
        <v>297.53518378999996</v>
      </c>
      <c r="OM50" s="44">
        <v>244.02432051</v>
      </c>
      <c r="ON50" s="44">
        <v>33.206137340000005</v>
      </c>
      <c r="OO50" s="44">
        <v>277.23045785000011</v>
      </c>
      <c r="OP50" s="44">
        <v>249.02635164000003</v>
      </c>
      <c r="OQ50" s="44">
        <v>29.413254370000001</v>
      </c>
      <c r="OR50" s="44">
        <v>278.43960600999986</v>
      </c>
      <c r="OS50" s="44">
        <v>219.24492667000004</v>
      </c>
      <c r="OT50" s="44">
        <v>30.005686449999999</v>
      </c>
      <c r="OU50" s="44">
        <v>249.25061312</v>
      </c>
      <c r="OV50" s="44">
        <v>174.64164202999993</v>
      </c>
      <c r="OW50" s="44">
        <v>23.217939300000001</v>
      </c>
      <c r="OX50" s="44">
        <v>197.85958132999988</v>
      </c>
      <c r="OY50" s="95">
        <v>145.24514373</v>
      </c>
      <c r="OZ50" s="95">
        <v>56.553018400000006</v>
      </c>
      <c r="PA50" s="95">
        <v>201.79816213000001</v>
      </c>
      <c r="PB50" s="44">
        <v>140.37884950000003</v>
      </c>
      <c r="PC50" s="44">
        <v>73.051650000000009</v>
      </c>
      <c r="PD50" s="44">
        <v>213.43049949999988</v>
      </c>
      <c r="PE50" s="44">
        <v>163.31758417</v>
      </c>
      <c r="PF50" s="44">
        <v>170.24783810000005</v>
      </c>
      <c r="PG50" s="44">
        <v>333.56542227000011</v>
      </c>
      <c r="PH50" s="44">
        <v>182.83090326999999</v>
      </c>
      <c r="PI50" s="44">
        <v>58.43259505999999</v>
      </c>
      <c r="PJ50" s="44">
        <v>241.26349832999998</v>
      </c>
      <c r="PK50" s="44">
        <v>411.78693079000061</v>
      </c>
      <c r="PL50" s="44">
        <v>280.35958584000008</v>
      </c>
      <c r="PM50" s="44">
        <v>692.14651662999995</v>
      </c>
      <c r="PN50" s="50">
        <f t="shared" si="115"/>
        <v>2598.2143454300008</v>
      </c>
      <c r="PO50" s="50">
        <f t="shared" si="108"/>
        <v>872.78173549000007</v>
      </c>
      <c r="PP50" s="50">
        <f t="shared" si="116"/>
        <v>3470.9960809199997</v>
      </c>
      <c r="PQ50" s="50">
        <f>PS50-PR50</f>
        <v>2593.9762065100003</v>
      </c>
      <c r="PR50" s="50">
        <v>872.78173549000007</v>
      </c>
      <c r="PS50" s="50">
        <v>3466.7579420000002</v>
      </c>
      <c r="PT50" s="44">
        <v>154.04477170000001</v>
      </c>
      <c r="PU50" s="44">
        <v>40.980094089999994</v>
      </c>
      <c r="PV50" s="44">
        <v>195.02486579000012</v>
      </c>
      <c r="PW50" s="44">
        <v>286.72900907999991</v>
      </c>
      <c r="PX50" s="44">
        <v>130.12566989999999</v>
      </c>
      <c r="PY50" s="44">
        <v>416.85467897999996</v>
      </c>
      <c r="PZ50" s="44">
        <v>273.25599071000005</v>
      </c>
      <c r="QA50" s="44">
        <v>63.778598549999984</v>
      </c>
      <c r="QB50" s="44">
        <v>337.03458926000002</v>
      </c>
      <c r="QC50" s="44">
        <v>200.10045492</v>
      </c>
      <c r="QD50" s="44">
        <v>72.379311000000015</v>
      </c>
      <c r="QE50" s="44">
        <v>272.47976592000003</v>
      </c>
      <c r="QF50" s="50">
        <v>180.66977177999996</v>
      </c>
      <c r="QG50" s="44">
        <v>70.646531070000023</v>
      </c>
      <c r="QH50" s="44">
        <v>251.31630284999997</v>
      </c>
      <c r="QI50" s="50">
        <v>172.98186937</v>
      </c>
      <c r="QJ50" s="44">
        <v>67.539905260000012</v>
      </c>
      <c r="QK50" s="44">
        <v>240.52177463000001</v>
      </c>
      <c r="QL50" s="44">
        <v>198.56467297999995</v>
      </c>
      <c r="QM50" s="44">
        <v>48.08082289</v>
      </c>
      <c r="QN50" s="44">
        <v>246.64549586999999</v>
      </c>
      <c r="QO50" s="50">
        <v>163.36042502999999</v>
      </c>
      <c r="QP50" s="44">
        <v>69.840748970000007</v>
      </c>
      <c r="QQ50" s="44">
        <v>233.20117400000001</v>
      </c>
      <c r="QR50" s="44">
        <v>159.32048949999998</v>
      </c>
      <c r="QS50" s="44">
        <v>68.734737940000002</v>
      </c>
      <c r="QT50" s="44">
        <v>228.05522744000004</v>
      </c>
      <c r="QU50" s="50">
        <v>172.47411826000001</v>
      </c>
      <c r="QV50" s="44">
        <v>101.92164327</v>
      </c>
      <c r="QW50" s="44">
        <v>274.39576153000002</v>
      </c>
      <c r="QX50" s="50">
        <v>225.92936104000006</v>
      </c>
      <c r="QY50" s="44">
        <v>108.47932758999998</v>
      </c>
      <c r="QZ50" s="44">
        <v>334.40868863000003</v>
      </c>
      <c r="RA50" s="50">
        <v>236.51906267999982</v>
      </c>
      <c r="RB50" s="44">
        <v>358.38136640999994</v>
      </c>
      <c r="RC50" s="44">
        <v>594.90042908999976</v>
      </c>
      <c r="RD50" s="50">
        <f t="shared" si="52"/>
        <v>2423.9499970499996</v>
      </c>
      <c r="RE50" s="50">
        <f t="shared" si="53"/>
        <v>1200.8887569400001</v>
      </c>
      <c r="RF50" s="50">
        <f t="shared" si="54"/>
        <v>3624.83875399</v>
      </c>
      <c r="RG50" s="50">
        <f>RI50-RH50</f>
        <v>2421.756969</v>
      </c>
      <c r="RH50" s="50">
        <v>1200.8887569999999</v>
      </c>
      <c r="RI50" s="50">
        <v>3622.6457260000002</v>
      </c>
      <c r="RJ50" s="50">
        <v>175.72546026999999</v>
      </c>
      <c r="RK50" s="50">
        <v>115.96106963</v>
      </c>
      <c r="RL50" s="50">
        <v>291.68652989999998</v>
      </c>
      <c r="RM50" s="50">
        <v>166.69275797999993</v>
      </c>
      <c r="RN50" s="50">
        <v>49.470835100000002</v>
      </c>
      <c r="RO50" s="50">
        <v>216.16359307999986</v>
      </c>
      <c r="RP50" s="50">
        <v>217.88413258999992</v>
      </c>
      <c r="RQ50" s="50">
        <v>60.87444868</v>
      </c>
      <c r="RR50" s="50">
        <v>278.75858126999998</v>
      </c>
      <c r="RS50" s="50">
        <v>303.27024147999998</v>
      </c>
      <c r="RT50" s="50">
        <v>96.76154034999999</v>
      </c>
      <c r="RU50" s="50">
        <v>400.03178183</v>
      </c>
      <c r="RV50" s="50">
        <v>199.08307200999997</v>
      </c>
      <c r="RW50" s="50">
        <v>47.030781969999992</v>
      </c>
      <c r="RX50" s="50">
        <v>246.11385397999996</v>
      </c>
      <c r="RY50" s="50">
        <v>211.61102933000001</v>
      </c>
      <c r="RZ50" s="50">
        <v>52.450612980000017</v>
      </c>
      <c r="SA50" s="50">
        <v>264.06164231000002</v>
      </c>
      <c r="SB50" s="50">
        <v>233.4328323200001</v>
      </c>
      <c r="SC50" s="50">
        <v>61.022059800000015</v>
      </c>
      <c r="SD50" s="50">
        <v>294.45489212000012</v>
      </c>
      <c r="SE50" s="50">
        <v>192.31200641999988</v>
      </c>
      <c r="SF50" s="50">
        <v>71.042679379999981</v>
      </c>
      <c r="SG50" s="50">
        <v>263.35468579999986</v>
      </c>
      <c r="SH50" s="50">
        <v>165.89665123000009</v>
      </c>
      <c r="SI50" s="50">
        <v>57.011444719999993</v>
      </c>
      <c r="SJ50" s="50">
        <v>222.90809595000007</v>
      </c>
      <c r="SK50" s="50">
        <v>189.47281923999998</v>
      </c>
      <c r="SL50" s="50">
        <v>145.64447677999999</v>
      </c>
      <c r="SM50" s="50">
        <v>335.11729601999991</v>
      </c>
      <c r="SN50" s="50">
        <v>171.53835069999988</v>
      </c>
      <c r="SO50" s="50">
        <v>87.325249650000018</v>
      </c>
      <c r="SP50" s="50">
        <v>258.8636003499999</v>
      </c>
      <c r="SQ50" s="50">
        <v>238.03514930000063</v>
      </c>
      <c r="SR50" s="50">
        <v>328.17461495999999</v>
      </c>
      <c r="SS50" s="50">
        <v>566.20976426000061</v>
      </c>
      <c r="ST50" s="50">
        <f t="shared" si="55"/>
        <v>2464.9545028700004</v>
      </c>
      <c r="SU50" s="50">
        <f t="shared" si="65"/>
        <v>1172.769814</v>
      </c>
      <c r="SV50" s="50">
        <f t="shared" si="56"/>
        <v>3637.7243168700006</v>
      </c>
      <c r="SW50" s="50">
        <f t="shared" si="103"/>
        <v>2461.5944300000001</v>
      </c>
      <c r="SX50" s="50">
        <v>1172.770315</v>
      </c>
      <c r="SY50" s="50">
        <v>3634.3647449999999</v>
      </c>
      <c r="SZ50" s="50">
        <v>207.87943121000004</v>
      </c>
      <c r="TA50" s="50">
        <v>94.848229139999972</v>
      </c>
      <c r="TB50" s="50">
        <v>302.72766034999989</v>
      </c>
      <c r="TC50" s="50">
        <v>212.96448794999992</v>
      </c>
      <c r="TD50" s="50">
        <v>70.66767750999999</v>
      </c>
      <c r="TE50" s="50">
        <v>283.6321654599999</v>
      </c>
      <c r="TF50" s="50">
        <v>206.71103040999998</v>
      </c>
      <c r="TG50" s="50">
        <v>154.55230773</v>
      </c>
      <c r="TH50" s="50">
        <v>361.26333813999997</v>
      </c>
      <c r="TI50" s="50">
        <v>243.87590820999984</v>
      </c>
      <c r="TJ50" s="50">
        <v>135.85644269000002</v>
      </c>
      <c r="TK50" s="50">
        <v>379.73235089999986</v>
      </c>
      <c r="TL50" s="50">
        <v>188.62121670999997</v>
      </c>
      <c r="TM50" s="50">
        <v>63.360700319999978</v>
      </c>
      <c r="TN50" s="50">
        <v>251.98191702999995</v>
      </c>
      <c r="TO50" s="50">
        <v>155.02949864999997</v>
      </c>
      <c r="TP50" s="50">
        <v>71.11188999999996</v>
      </c>
      <c r="TQ50" s="50">
        <v>226.14138864999993</v>
      </c>
      <c r="TR50" s="50">
        <v>208.48130621000004</v>
      </c>
      <c r="TS50" s="50">
        <v>79.85976586000001</v>
      </c>
      <c r="TT50" s="50">
        <v>288.34107207000005</v>
      </c>
      <c r="TU50" s="50">
        <v>185.49441444000007</v>
      </c>
      <c r="TV50" s="50">
        <v>119.7861492</v>
      </c>
      <c r="TW50" s="50">
        <v>305.28056364000008</v>
      </c>
      <c r="TX50" s="50">
        <v>206.20083486999994</v>
      </c>
      <c r="TY50" s="50">
        <v>81.283116150000026</v>
      </c>
      <c r="TZ50" s="50">
        <v>287.48395101999995</v>
      </c>
      <c r="UA50" s="50">
        <v>187.97618266000003</v>
      </c>
      <c r="UB50" s="50">
        <v>176.60371245999997</v>
      </c>
      <c r="UC50" s="50">
        <v>364.57989512</v>
      </c>
      <c r="UD50" s="50">
        <v>184.99899188000009</v>
      </c>
      <c r="UE50" s="50">
        <v>107.68346453000001</v>
      </c>
      <c r="UF50" s="50">
        <v>292.6824564100001</v>
      </c>
      <c r="UG50" s="50">
        <v>275.8259156700006</v>
      </c>
      <c r="UH50" s="50">
        <v>317.74486108999992</v>
      </c>
      <c r="UI50" s="50">
        <v>593.57077676000051</v>
      </c>
      <c r="UJ50" s="50">
        <f t="shared" si="45"/>
        <v>2464.0592188700002</v>
      </c>
      <c r="UK50" s="50">
        <f t="shared" si="15"/>
        <v>1473.3583166799997</v>
      </c>
      <c r="UL50" s="50">
        <f t="shared" si="16"/>
        <v>3937.4175355500001</v>
      </c>
      <c r="UM50" s="50">
        <v>221.18953938000013</v>
      </c>
      <c r="UN50" s="50">
        <v>115.31447739000001</v>
      </c>
      <c r="UO50" s="50">
        <v>336.50401677000013</v>
      </c>
      <c r="UP50" s="50">
        <v>207.31863679000011</v>
      </c>
      <c r="UQ50" s="50">
        <v>85.158924000000042</v>
      </c>
      <c r="UR50" s="50">
        <v>292.47756079000015</v>
      </c>
      <c r="US50" s="50">
        <v>192.85063521000012</v>
      </c>
      <c r="UT50" s="50">
        <v>105.27953574999999</v>
      </c>
      <c r="UU50" s="50">
        <v>298.1301709600001</v>
      </c>
      <c r="UV50" s="50">
        <v>244.80151639000002</v>
      </c>
      <c r="UW50" s="50">
        <v>63.302699389999979</v>
      </c>
      <c r="UX50" s="50">
        <v>308.10421578</v>
      </c>
      <c r="UY50" s="50"/>
      <c r="UZ50" s="50"/>
      <c r="VA50" s="50"/>
      <c r="VB50" s="50"/>
      <c r="VC50" s="50"/>
      <c r="VD50" s="50"/>
      <c r="VE50" s="50"/>
      <c r="VF50" s="50"/>
      <c r="VG50" s="50"/>
      <c r="VH50" s="50"/>
      <c r="VI50" s="50"/>
      <c r="VJ50" s="50"/>
      <c r="VK50" s="50"/>
      <c r="VL50" s="50"/>
      <c r="VM50" s="50"/>
      <c r="VN50" s="50"/>
      <c r="VO50" s="50"/>
      <c r="VP50" s="50"/>
      <c r="VQ50" s="50"/>
      <c r="VR50" s="50"/>
      <c r="VS50" s="50"/>
      <c r="VT50" s="50"/>
      <c r="VU50" s="50"/>
      <c r="VV50" s="50"/>
      <c r="VW50" s="276">
        <f t="shared" si="57"/>
        <v>871.43085799999994</v>
      </c>
      <c r="VX50" s="292">
        <f t="shared" si="58"/>
        <v>455.92465700000002</v>
      </c>
      <c r="VY50" s="292">
        <f t="shared" si="59"/>
        <v>1327.355515</v>
      </c>
      <c r="VZ50" s="276">
        <f t="shared" si="60"/>
        <v>866.16032800000005</v>
      </c>
      <c r="WA50" s="292">
        <f t="shared" si="61"/>
        <v>369.05563699999999</v>
      </c>
      <c r="WB50" s="292">
        <f t="shared" si="62"/>
        <v>1235.215964</v>
      </c>
      <c r="WC50" s="277">
        <f t="shared" si="112"/>
        <v>-92.139550999999983</v>
      </c>
      <c r="WD50" s="277">
        <f t="shared" si="104"/>
        <v>-6.9415879889571244</v>
      </c>
    </row>
    <row r="51" spans="1:602" s="12" customFormat="1" ht="20.5">
      <c r="A51" s="314" t="s">
        <v>138</v>
      </c>
      <c r="B51" s="13">
        <v>3300</v>
      </c>
      <c r="C51" s="47" t="s">
        <v>139</v>
      </c>
      <c r="D51" s="45">
        <v>56.343725989038198</v>
      </c>
      <c r="E51" s="42">
        <v>66.578040250197787</v>
      </c>
      <c r="F51" s="42">
        <v>60.640935452843188</v>
      </c>
      <c r="G51" s="42">
        <v>59.30676262514158</v>
      </c>
      <c r="H51" s="42">
        <v>4.3506752949613263</v>
      </c>
      <c r="I51" s="42">
        <v>4.3506752949613263</v>
      </c>
      <c r="J51" s="42">
        <v>4.1415131387982997</v>
      </c>
      <c r="K51" s="42">
        <v>4.1415131387982997</v>
      </c>
      <c r="L51" s="42">
        <v>4.1415131387982997</v>
      </c>
      <c r="M51" s="42">
        <v>3.6594228262787349</v>
      </c>
      <c r="N51" s="42">
        <v>3.3968499610133103</v>
      </c>
      <c r="O51" s="42">
        <v>3.4628256953574539</v>
      </c>
      <c r="P51" s="42">
        <v>3.5902499132048198</v>
      </c>
      <c r="Q51" s="42">
        <v>3.6977023466001899</v>
      </c>
      <c r="R51" s="42">
        <v>4.6038525677144699</v>
      </c>
      <c r="S51" s="42">
        <v>4.5624185405888413</v>
      </c>
      <c r="T51" s="44" t="s">
        <v>46</v>
      </c>
      <c r="U51" s="44" t="s">
        <v>46</v>
      </c>
      <c r="V51" s="42">
        <v>48.099211857075375</v>
      </c>
      <c r="W51" s="42">
        <v>48.099212582739995</v>
      </c>
      <c r="X51" s="42">
        <v>3.9483070671197091</v>
      </c>
      <c r="Y51" s="42">
        <v>3.949961867035475</v>
      </c>
      <c r="Z51" s="42">
        <v>3.9684819665226718</v>
      </c>
      <c r="AA51" s="42">
        <v>3.7021616268547137</v>
      </c>
      <c r="AB51" s="42">
        <v>3.4714443856324095</v>
      </c>
      <c r="AC51" s="42">
        <v>4.7489997211171255</v>
      </c>
      <c r="AD51" s="42">
        <v>3.1118661817519535</v>
      </c>
      <c r="AE51" s="42">
        <v>3.9063465774241468</v>
      </c>
      <c r="AF51" s="42">
        <v>4.8961118604902651</v>
      </c>
      <c r="AG51" s="42">
        <v>5.240021399992032</v>
      </c>
      <c r="AH51" s="42">
        <v>4.9493713752340627</v>
      </c>
      <c r="AI51" s="42">
        <v>4.3656481750246154</v>
      </c>
      <c r="AJ51" s="44" t="s">
        <v>46</v>
      </c>
      <c r="AK51" s="44" t="s">
        <v>46</v>
      </c>
      <c r="AL51" s="42">
        <v>50.258722204199181</v>
      </c>
      <c r="AM51" s="42">
        <v>50.258722204199181</v>
      </c>
      <c r="AN51" s="42">
        <v>15.969495051251844</v>
      </c>
      <c r="AO51" s="42">
        <v>5.7653015634515459</v>
      </c>
      <c r="AP51" s="42">
        <v>5.7653015634515459</v>
      </c>
      <c r="AQ51" s="42">
        <v>4.0325766501044393</v>
      </c>
      <c r="AR51" s="42">
        <v>4.0325766501044393</v>
      </c>
      <c r="AS51" s="42">
        <v>4.0325780302900949</v>
      </c>
      <c r="AT51" s="42">
        <v>3.9279073539706664</v>
      </c>
      <c r="AU51" s="42">
        <v>3.8306634851252985</v>
      </c>
      <c r="AV51" s="42">
        <v>4.3285709813831454</v>
      </c>
      <c r="AW51" s="42">
        <v>4.5383734298609566</v>
      </c>
      <c r="AX51" s="42">
        <v>4.5423347049817586</v>
      </c>
      <c r="AY51" s="42">
        <v>8.1196037586581742</v>
      </c>
      <c r="AZ51" s="44">
        <v>68.885283740000006</v>
      </c>
      <c r="BA51" s="44"/>
      <c r="BB51" s="44">
        <v>68.885283740000006</v>
      </c>
      <c r="BC51" s="44" t="s">
        <v>46</v>
      </c>
      <c r="BD51" s="44" t="s">
        <v>46</v>
      </c>
      <c r="BE51" s="42">
        <v>68.885283806011344</v>
      </c>
      <c r="BF51" s="44">
        <v>5.8697780000000002</v>
      </c>
      <c r="BG51" s="44"/>
      <c r="BH51" s="44">
        <v>5.8697780000000002</v>
      </c>
      <c r="BI51" s="42">
        <v>5.8697778899999999</v>
      </c>
      <c r="BJ51" s="42"/>
      <c r="BK51" s="42">
        <v>5.8697780000000002</v>
      </c>
      <c r="BL51" s="44">
        <v>5.8697780000000002</v>
      </c>
      <c r="BM51" s="44"/>
      <c r="BN51" s="44">
        <v>5.8697780000000002</v>
      </c>
      <c r="BO51" s="44">
        <v>5.3364820000000002</v>
      </c>
      <c r="BP51" s="44"/>
      <c r="BQ51" s="44">
        <v>5.3364820000000002</v>
      </c>
      <c r="BR51" s="44">
        <v>5.6647860000000003</v>
      </c>
      <c r="BS51" s="44"/>
      <c r="BT51" s="44">
        <v>5.6647860000000003</v>
      </c>
      <c r="BU51" s="44">
        <v>5.5797860000000004</v>
      </c>
      <c r="BV51" s="44"/>
      <c r="BW51" s="44">
        <v>5.5797869999999996</v>
      </c>
      <c r="BX51" s="44">
        <v>5.5083599999999997</v>
      </c>
      <c r="BY51" s="44"/>
      <c r="BZ51" s="44">
        <v>5.5083599999999997</v>
      </c>
      <c r="CA51" s="44">
        <v>5.92122934</v>
      </c>
      <c r="CB51" s="44"/>
      <c r="CC51" s="44">
        <v>5.9212290000000003</v>
      </c>
      <c r="CD51" s="44">
        <v>5.6232522500000002</v>
      </c>
      <c r="CE51" s="50"/>
      <c r="CF51" s="44">
        <f>CD51+CE51</f>
        <v>5.6232522500000002</v>
      </c>
      <c r="CG51" s="44">
        <v>6.7733990999999998</v>
      </c>
      <c r="CH51" s="50"/>
      <c r="CI51" s="44">
        <f>CG51+CH51</f>
        <v>6.7733990999999998</v>
      </c>
      <c r="CJ51" s="42">
        <v>7.1068439999999997</v>
      </c>
      <c r="CK51" s="42"/>
      <c r="CL51" s="44">
        <f>CJ51+CK51</f>
        <v>7.1068439999999997</v>
      </c>
      <c r="CM51" s="42">
        <v>16.280170420000001</v>
      </c>
      <c r="CN51" s="314"/>
      <c r="CO51" s="44">
        <f>CM51+CN51</f>
        <v>16.280170420000001</v>
      </c>
      <c r="CP51" s="44">
        <f t="shared" si="24"/>
        <v>81.403643000000002</v>
      </c>
      <c r="CQ51" s="44">
        <f t="shared" si="25"/>
        <v>0</v>
      </c>
      <c r="CR51" s="44">
        <f t="shared" si="26"/>
        <v>81.403643769999988</v>
      </c>
      <c r="CS51" s="42">
        <f t="shared" si="93"/>
        <v>81.403643000000002</v>
      </c>
      <c r="CT51" s="44"/>
      <c r="CU51" s="42">
        <v>81.403643000000002</v>
      </c>
      <c r="CV51" s="42">
        <v>3.7842820000000001</v>
      </c>
      <c r="CW51" s="314"/>
      <c r="CX51" s="44">
        <f>CV51+CW51</f>
        <v>3.7842820000000001</v>
      </c>
      <c r="CY51" s="42">
        <v>3.6858819999999999</v>
      </c>
      <c r="CZ51" s="42">
        <v>0</v>
      </c>
      <c r="DA51" s="44">
        <v>3.6858819999999999</v>
      </c>
      <c r="DB51" s="42">
        <v>3.7113879999999999</v>
      </c>
      <c r="DC51" s="42">
        <v>0</v>
      </c>
      <c r="DD51" s="44">
        <v>3.7113879999999999</v>
      </c>
      <c r="DE51" s="42">
        <v>3.1410719999999999</v>
      </c>
      <c r="DF51" s="42">
        <v>0</v>
      </c>
      <c r="DG51" s="44">
        <v>3.1410719999999999</v>
      </c>
      <c r="DH51" s="42">
        <v>3.1392479999999998</v>
      </c>
      <c r="DI51" s="42">
        <v>0</v>
      </c>
      <c r="DJ51" s="44">
        <v>3.1392479999999998</v>
      </c>
      <c r="DK51" s="42">
        <v>3.514024</v>
      </c>
      <c r="DL51" s="42">
        <v>0</v>
      </c>
      <c r="DM51" s="44">
        <v>3.514024</v>
      </c>
      <c r="DN51" s="42">
        <v>4.444388</v>
      </c>
      <c r="DO51" s="42">
        <v>0</v>
      </c>
      <c r="DP51" s="44">
        <v>4.444388</v>
      </c>
      <c r="DQ51" s="42">
        <v>3.472121</v>
      </c>
      <c r="DR51" s="42">
        <v>0</v>
      </c>
      <c r="DS51" s="44">
        <v>3.472121</v>
      </c>
      <c r="DT51" s="42">
        <v>3.4778089599999999</v>
      </c>
      <c r="DU51" s="42">
        <v>0</v>
      </c>
      <c r="DV51" s="44">
        <v>3.4778089599999999</v>
      </c>
      <c r="DW51" s="42">
        <v>3.9427401200000003</v>
      </c>
      <c r="DX51" s="42">
        <v>0</v>
      </c>
      <c r="DY51" s="44">
        <v>3.9427401200000003</v>
      </c>
      <c r="DZ51" s="42">
        <v>3.6776339999999998</v>
      </c>
      <c r="EA51" s="42">
        <v>0</v>
      </c>
      <c r="EB51" s="44">
        <v>3.6776339999999998</v>
      </c>
      <c r="EC51" s="42">
        <v>5.8462409199999996</v>
      </c>
      <c r="ED51" s="42">
        <v>0</v>
      </c>
      <c r="EE51" s="44">
        <v>5.8462409199999996</v>
      </c>
      <c r="EF51" s="50">
        <f t="shared" si="27"/>
        <v>45.836829000000002</v>
      </c>
      <c r="EG51" s="50">
        <f t="shared" si="28"/>
        <v>0</v>
      </c>
      <c r="EH51" s="50">
        <f t="shared" si="29"/>
        <v>45.836829000000002</v>
      </c>
      <c r="EI51" s="50">
        <f t="shared" si="94"/>
        <v>45.836829000000002</v>
      </c>
      <c r="EJ51" s="50"/>
      <c r="EK51" s="50">
        <v>45.836829000000002</v>
      </c>
      <c r="EL51" s="50">
        <v>3.9785445400000001</v>
      </c>
      <c r="EM51" s="50">
        <v>0</v>
      </c>
      <c r="EN51" s="50">
        <v>3.9785445400000001</v>
      </c>
      <c r="EO51" s="50">
        <v>3.981792</v>
      </c>
      <c r="EP51" s="50">
        <v>0</v>
      </c>
      <c r="EQ51" s="50">
        <v>3.981792</v>
      </c>
      <c r="ER51" s="50">
        <v>3.7417980000000002</v>
      </c>
      <c r="ES51" s="50">
        <v>0</v>
      </c>
      <c r="ET51" s="50">
        <v>3.7417980000000002</v>
      </c>
      <c r="EU51" s="50">
        <v>3.120082</v>
      </c>
      <c r="EV51" s="50">
        <v>0</v>
      </c>
      <c r="EW51" s="50">
        <v>3.120082</v>
      </c>
      <c r="EX51" s="50">
        <v>3.14781193</v>
      </c>
      <c r="EY51" s="50">
        <v>0</v>
      </c>
      <c r="EZ51" s="50">
        <v>3.14781193</v>
      </c>
      <c r="FA51" s="50">
        <v>3.6222268099999999</v>
      </c>
      <c r="FB51" s="50">
        <v>0</v>
      </c>
      <c r="FC51" s="50">
        <v>3.6222268099999999</v>
      </c>
      <c r="FD51" s="50">
        <v>3.2098350300000003</v>
      </c>
      <c r="FE51" s="50">
        <v>0</v>
      </c>
      <c r="FF51" s="50">
        <v>3.2098350300000003</v>
      </c>
      <c r="FG51" s="50">
        <v>3.3124072399999998</v>
      </c>
      <c r="FH51" s="50">
        <v>0</v>
      </c>
      <c r="FI51" s="50">
        <v>3.3124072399999998</v>
      </c>
      <c r="FJ51" s="50">
        <v>3.3337451300000001</v>
      </c>
      <c r="FK51" s="50">
        <v>0</v>
      </c>
      <c r="FL51" s="50">
        <v>3.3337451300000001</v>
      </c>
      <c r="FM51" s="50">
        <v>3.9657544900000001</v>
      </c>
      <c r="FN51" s="50">
        <v>0</v>
      </c>
      <c r="FO51" s="50">
        <v>3.9657544900000001</v>
      </c>
      <c r="FP51" s="50">
        <v>4.0682053099999997</v>
      </c>
      <c r="FQ51" s="50">
        <v>0</v>
      </c>
      <c r="FR51" s="50">
        <v>4.0682053099999997</v>
      </c>
      <c r="FS51" s="50">
        <v>4.0436675199999996</v>
      </c>
      <c r="FT51" s="50">
        <v>0</v>
      </c>
      <c r="FU51" s="50">
        <v>4.0436675199999996</v>
      </c>
      <c r="FV51" s="50">
        <f t="shared" si="30"/>
        <v>43.525869999999998</v>
      </c>
      <c r="FW51" s="50">
        <f t="shared" si="31"/>
        <v>0</v>
      </c>
      <c r="FX51" s="50">
        <f t="shared" si="32"/>
        <v>43.525869999999998</v>
      </c>
      <c r="FY51" s="50">
        <f t="shared" si="95"/>
        <v>43.525869999999998</v>
      </c>
      <c r="FZ51" s="50"/>
      <c r="GA51" s="50">
        <v>43.525869999999998</v>
      </c>
      <c r="GB51" s="50">
        <v>4.3483419999999997</v>
      </c>
      <c r="GC51" s="50">
        <v>0</v>
      </c>
      <c r="GD51" s="50">
        <v>4.3483419999999997</v>
      </c>
      <c r="GE51" s="50">
        <v>3.9824510000000002</v>
      </c>
      <c r="GF51" s="50">
        <v>0</v>
      </c>
      <c r="GG51" s="50">
        <v>3.9824510000000002</v>
      </c>
      <c r="GH51" s="50">
        <v>3.9974509999999999</v>
      </c>
      <c r="GI51" s="50">
        <v>0</v>
      </c>
      <c r="GJ51" s="50">
        <v>3.9974509999999999</v>
      </c>
      <c r="GK51" s="50">
        <v>3.8066550000000001</v>
      </c>
      <c r="GL51" s="50">
        <v>0</v>
      </c>
      <c r="GM51" s="50">
        <v>3.8066550000000001</v>
      </c>
      <c r="GN51" s="50">
        <v>3.8066550000000001</v>
      </c>
      <c r="GO51" s="50">
        <v>0</v>
      </c>
      <c r="GP51" s="50">
        <v>3.8066550000000001</v>
      </c>
      <c r="GQ51" s="50">
        <v>8.0584300800000008</v>
      </c>
      <c r="GR51" s="50">
        <v>0</v>
      </c>
      <c r="GS51" s="50">
        <v>8.0584300800000008</v>
      </c>
      <c r="GT51" s="50">
        <v>4.2376674900000006</v>
      </c>
      <c r="GU51" s="50">
        <v>0</v>
      </c>
      <c r="GV51" s="50">
        <v>4.2376674900000006</v>
      </c>
      <c r="GW51" s="50">
        <v>4.1141002999999996</v>
      </c>
      <c r="GX51" s="50">
        <v>0</v>
      </c>
      <c r="GY51" s="50">
        <v>4.1141002999999996</v>
      </c>
      <c r="GZ51" s="50">
        <v>3.7365646299999997</v>
      </c>
      <c r="HA51" s="50">
        <v>0</v>
      </c>
      <c r="HB51" s="50">
        <v>3.7365646299999997</v>
      </c>
      <c r="HC51" s="50">
        <v>3.7787043499999999</v>
      </c>
      <c r="HD51" s="50">
        <v>0</v>
      </c>
      <c r="HE51" s="50">
        <v>3.7787043499999999</v>
      </c>
      <c r="HF51" s="50">
        <v>7.1155897699999997</v>
      </c>
      <c r="HG51" s="50">
        <v>0</v>
      </c>
      <c r="HH51" s="50">
        <v>7.1155897699999997</v>
      </c>
      <c r="HI51" s="50">
        <v>5.4795673799999998</v>
      </c>
      <c r="HJ51" s="50">
        <v>0</v>
      </c>
      <c r="HK51" s="50">
        <v>5.4795673799999998</v>
      </c>
      <c r="HL51" s="50">
        <f t="shared" si="33"/>
        <v>56.462177999999994</v>
      </c>
      <c r="HM51" s="50">
        <f t="shared" si="34"/>
        <v>0</v>
      </c>
      <c r="HN51" s="50">
        <f t="shared" si="35"/>
        <v>56.462177999999994</v>
      </c>
      <c r="HO51" s="50">
        <f t="shared" si="96"/>
        <v>56.462178000000002</v>
      </c>
      <c r="HP51" s="50"/>
      <c r="HQ51" s="50">
        <v>56.462178000000002</v>
      </c>
      <c r="HR51" s="50">
        <v>4.3204551799999997</v>
      </c>
      <c r="HS51" s="50">
        <v>0</v>
      </c>
      <c r="HT51" s="50">
        <v>4.3204551799999997</v>
      </c>
      <c r="HU51" s="50">
        <v>4.0265389999999996</v>
      </c>
      <c r="HV51" s="50">
        <v>0</v>
      </c>
      <c r="HW51" s="50">
        <v>4.0265389999999996</v>
      </c>
      <c r="HX51" s="50">
        <v>4.0416089199999998</v>
      </c>
      <c r="HY51" s="50">
        <v>0</v>
      </c>
      <c r="HZ51" s="50">
        <v>4.0416089199999998</v>
      </c>
      <c r="IA51" s="50">
        <v>3.8504719999999999</v>
      </c>
      <c r="IB51" s="50">
        <v>0</v>
      </c>
      <c r="IC51" s="50">
        <v>3.8504719999999999</v>
      </c>
      <c r="ID51" s="50">
        <v>5.5418147300000005</v>
      </c>
      <c r="IE51" s="50">
        <v>0</v>
      </c>
      <c r="IF51" s="50">
        <v>5.5418147300000005</v>
      </c>
      <c r="IG51" s="50">
        <v>4.8768516599999998</v>
      </c>
      <c r="IH51" s="50">
        <v>0</v>
      </c>
      <c r="II51" s="50">
        <v>4.8768516599999998</v>
      </c>
      <c r="IJ51" s="50">
        <v>4.8513246299999997</v>
      </c>
      <c r="IK51" s="50">
        <v>0</v>
      </c>
      <c r="IL51" s="50">
        <v>4.8513246299999997</v>
      </c>
      <c r="IM51" s="50">
        <v>4.4983774500000004</v>
      </c>
      <c r="IN51" s="50">
        <v>0</v>
      </c>
      <c r="IO51" s="50">
        <v>4.4983774500000004</v>
      </c>
      <c r="IP51" s="50">
        <v>4.49951393</v>
      </c>
      <c r="IQ51" s="50">
        <v>0</v>
      </c>
      <c r="IR51" s="50">
        <v>4.49951393</v>
      </c>
      <c r="IS51" s="50">
        <v>5.0567165199999993</v>
      </c>
      <c r="IT51" s="50">
        <v>0</v>
      </c>
      <c r="IU51" s="50">
        <v>5.0567165199999993</v>
      </c>
      <c r="IV51" s="50">
        <v>4.2276809800000006</v>
      </c>
      <c r="IW51" s="50">
        <v>0</v>
      </c>
      <c r="IX51" s="50">
        <v>4.2276809800000006</v>
      </c>
      <c r="IY51" s="50">
        <v>10.838120999999999</v>
      </c>
      <c r="IZ51" s="50">
        <v>0</v>
      </c>
      <c r="JA51" s="50">
        <v>10.838120999999999</v>
      </c>
      <c r="JB51" s="50">
        <f t="shared" si="36"/>
        <v>60.629476000000004</v>
      </c>
      <c r="JC51" s="50">
        <f t="shared" si="37"/>
        <v>0</v>
      </c>
      <c r="JD51" s="50">
        <f t="shared" si="38"/>
        <v>60.629476000000004</v>
      </c>
      <c r="JE51" s="50">
        <f t="shared" si="97"/>
        <v>60.629475999999997</v>
      </c>
      <c r="JF51" s="50"/>
      <c r="JG51" s="50">
        <v>60.629475999999997</v>
      </c>
      <c r="JH51" s="50">
        <v>4.7632517699999992</v>
      </c>
      <c r="JI51" s="50">
        <v>0</v>
      </c>
      <c r="JJ51" s="50">
        <v>4.7632517699999992</v>
      </c>
      <c r="JK51" s="50">
        <v>4.8001449999999997</v>
      </c>
      <c r="JL51" s="50">
        <v>0</v>
      </c>
      <c r="JM51" s="50">
        <v>4.8001449999999997</v>
      </c>
      <c r="JN51" s="50">
        <v>4.8520382</v>
      </c>
      <c r="JO51" s="50">
        <v>0</v>
      </c>
      <c r="JP51" s="50">
        <v>4.8520382</v>
      </c>
      <c r="JQ51" s="50">
        <v>4.0941109999999998</v>
      </c>
      <c r="JR51" s="50">
        <v>0</v>
      </c>
      <c r="JS51" s="50">
        <v>4.0941109999999998</v>
      </c>
      <c r="JT51" s="50">
        <v>5.1443464600000004</v>
      </c>
      <c r="JU51" s="50">
        <v>0</v>
      </c>
      <c r="JV51" s="50">
        <v>5.1443464600000004</v>
      </c>
      <c r="JW51" s="50">
        <v>4.8543273499999993</v>
      </c>
      <c r="JX51" s="50">
        <v>0</v>
      </c>
      <c r="JY51" s="50">
        <v>4.8543273499999993</v>
      </c>
      <c r="JZ51" s="50">
        <v>4.7393010700000007</v>
      </c>
      <c r="KA51" s="50">
        <v>0</v>
      </c>
      <c r="KB51" s="50">
        <v>4.7393010700000007</v>
      </c>
      <c r="KC51" s="50">
        <v>4.7744370199999997</v>
      </c>
      <c r="KD51" s="50">
        <v>0</v>
      </c>
      <c r="KE51" s="50">
        <v>4.7744370199999997</v>
      </c>
      <c r="KF51" s="50">
        <v>4.6438339900000001</v>
      </c>
      <c r="KG51" s="50">
        <v>0</v>
      </c>
      <c r="KH51" s="50">
        <v>4.6438339900000001</v>
      </c>
      <c r="KI51" s="50">
        <v>4.182226</v>
      </c>
      <c r="KJ51" s="50">
        <v>0</v>
      </c>
      <c r="KK51" s="50">
        <v>4.182226</v>
      </c>
      <c r="KL51" s="50">
        <v>7.96175283</v>
      </c>
      <c r="KM51" s="50">
        <v>0</v>
      </c>
      <c r="KN51" s="50">
        <v>7.96175283</v>
      </c>
      <c r="KO51" s="50">
        <v>9.4967533100000008</v>
      </c>
      <c r="KP51" s="50">
        <v>0</v>
      </c>
      <c r="KQ51" s="50">
        <v>9.4967533100000008</v>
      </c>
      <c r="KR51" s="50">
        <f t="shared" si="48"/>
        <v>64.306523999999996</v>
      </c>
      <c r="KS51" s="50">
        <f t="shared" si="39"/>
        <v>0</v>
      </c>
      <c r="KT51" s="50">
        <f t="shared" si="49"/>
        <v>64.306523999999996</v>
      </c>
      <c r="KU51" s="50">
        <f t="shared" si="98"/>
        <v>64.306524999999965</v>
      </c>
      <c r="KV51" s="50"/>
      <c r="KW51" s="50">
        <v>64.306524999999965</v>
      </c>
      <c r="KX51" s="50">
        <v>4.9933990000000001</v>
      </c>
      <c r="KY51" s="50">
        <v>0</v>
      </c>
      <c r="KZ51" s="50">
        <v>4.9933990000000001</v>
      </c>
      <c r="LA51" s="50">
        <v>4.9310970000000003</v>
      </c>
      <c r="LB51" s="50">
        <v>0</v>
      </c>
      <c r="LC51" s="50">
        <v>4.9310970000000003</v>
      </c>
      <c r="LD51" s="50">
        <v>5.0757000099999994</v>
      </c>
      <c r="LE51" s="50">
        <v>0</v>
      </c>
      <c r="LF51" s="87">
        <v>5.0757000099999994</v>
      </c>
      <c r="LG51" s="50">
        <v>4.7633989999999997</v>
      </c>
      <c r="LH51" s="50">
        <v>0</v>
      </c>
      <c r="LI51" s="175">
        <v>4.7633989999999997</v>
      </c>
      <c r="LJ51" s="174">
        <v>6.2189579999999998</v>
      </c>
      <c r="LK51" s="50">
        <v>0</v>
      </c>
      <c r="LL51" s="174">
        <v>6.2189579999999998</v>
      </c>
      <c r="LM51" s="50">
        <v>6.03685779</v>
      </c>
      <c r="LN51" s="50">
        <v>0</v>
      </c>
      <c r="LO51" s="50">
        <v>6.03685779</v>
      </c>
      <c r="LP51" s="50">
        <v>4.6076875800000003</v>
      </c>
      <c r="LQ51" s="44"/>
      <c r="LR51" s="44">
        <v>4.6076875800000003</v>
      </c>
      <c r="LS51" s="50">
        <v>11.158877990000001</v>
      </c>
      <c r="LT51" s="50"/>
      <c r="LU51" s="52">
        <v>11.158877990000001</v>
      </c>
      <c r="LV51" s="44">
        <v>4.5190113599999995</v>
      </c>
      <c r="LW51" s="44">
        <v>0</v>
      </c>
      <c r="LX51" s="44">
        <v>4.5190113599999995</v>
      </c>
      <c r="LY51" s="44">
        <v>2.9912752299999998</v>
      </c>
      <c r="LZ51" s="44">
        <v>0</v>
      </c>
      <c r="MA51" s="44">
        <v>2.9912752299999998</v>
      </c>
      <c r="MB51" s="44">
        <v>1.1895555600000001</v>
      </c>
      <c r="MC51" s="44">
        <v>0</v>
      </c>
      <c r="MD51" s="44">
        <v>1.1895555600000001</v>
      </c>
      <c r="ME51" s="44">
        <v>18.999527480000001</v>
      </c>
      <c r="MF51" s="44">
        <v>0</v>
      </c>
      <c r="MG51" s="44">
        <v>18.999527480000001</v>
      </c>
      <c r="MH51" s="50">
        <f t="shared" si="66"/>
        <v>75.485346000000007</v>
      </c>
      <c r="MI51" s="50">
        <f t="shared" si="50"/>
        <v>0</v>
      </c>
      <c r="MJ51" s="50">
        <f t="shared" si="51"/>
        <v>75.485346000000007</v>
      </c>
      <c r="MK51" s="50">
        <f t="shared" si="99"/>
        <v>75.485346000000007</v>
      </c>
      <c r="ML51" s="50"/>
      <c r="MM51" s="50">
        <v>75.485346000000007</v>
      </c>
      <c r="MN51" s="44">
        <v>5.8592389999999996</v>
      </c>
      <c r="MO51" s="44">
        <v>0</v>
      </c>
      <c r="MP51" s="44">
        <v>5.8592389999999996</v>
      </c>
      <c r="MQ51" s="44">
        <v>5.3592399999999998</v>
      </c>
      <c r="MR51" s="44">
        <v>0</v>
      </c>
      <c r="MS51" s="44">
        <v>5.3592399999999998</v>
      </c>
      <c r="MT51" s="50">
        <v>5.5792400000000004</v>
      </c>
      <c r="MU51" s="50">
        <v>0</v>
      </c>
      <c r="MV51" s="50">
        <v>5.5792400000000004</v>
      </c>
      <c r="MW51" s="44">
        <v>5.6175730000000001</v>
      </c>
      <c r="MX51" s="44">
        <v>0</v>
      </c>
      <c r="MY51" s="44">
        <v>5.6175730000000001</v>
      </c>
      <c r="MZ51" s="44">
        <v>5.7879066799999999</v>
      </c>
      <c r="NA51" s="44">
        <v>0</v>
      </c>
      <c r="NB51" s="50">
        <v>5.7879066799999999</v>
      </c>
      <c r="NC51" s="44">
        <v>17.375686850000001</v>
      </c>
      <c r="ND51" s="44">
        <v>0</v>
      </c>
      <c r="NE51" s="44">
        <v>17.375686850000001</v>
      </c>
      <c r="NF51" s="44">
        <v>4.7535540000000003</v>
      </c>
      <c r="NG51" s="44">
        <v>0</v>
      </c>
      <c r="NH51" s="44">
        <v>4.7535540000000003</v>
      </c>
      <c r="NI51" s="44">
        <v>5.1141312900000004</v>
      </c>
      <c r="NJ51" s="44">
        <v>0</v>
      </c>
      <c r="NK51" s="44">
        <v>5.1141312900000004</v>
      </c>
      <c r="NL51" s="44">
        <v>4.9231535800000001</v>
      </c>
      <c r="NM51" s="44">
        <v>0</v>
      </c>
      <c r="NN51" s="44">
        <v>4.9231535800000001</v>
      </c>
      <c r="NO51" s="44">
        <v>0.70473316999999991</v>
      </c>
      <c r="NP51" s="44">
        <v>0</v>
      </c>
      <c r="NQ51" s="44">
        <v>0.70473316999999991</v>
      </c>
      <c r="NR51" s="44">
        <v>14.678925</v>
      </c>
      <c r="NS51" s="44">
        <v>0</v>
      </c>
      <c r="NT51" s="44">
        <v>14.678925</v>
      </c>
      <c r="NU51" s="44">
        <v>12.587067060000001</v>
      </c>
      <c r="NV51" s="44">
        <v>0</v>
      </c>
      <c r="NW51" s="44">
        <v>12.587067060000001</v>
      </c>
      <c r="NX51" s="50">
        <f t="shared" si="117"/>
        <v>88.340449629999995</v>
      </c>
      <c r="NY51" s="50">
        <f t="shared" si="40"/>
        <v>0</v>
      </c>
      <c r="NZ51" s="50">
        <f t="shared" si="41"/>
        <v>88.340449629999995</v>
      </c>
      <c r="OA51" s="50">
        <f t="shared" si="100"/>
        <v>88.340449000000007</v>
      </c>
      <c r="OB51" s="50"/>
      <c r="OC51" s="50">
        <v>88.340449000000007</v>
      </c>
      <c r="OD51" s="44">
        <v>5.0810829999999996</v>
      </c>
      <c r="OE51" s="44">
        <v>0</v>
      </c>
      <c r="OF51" s="44">
        <v>5.0810829999999996</v>
      </c>
      <c r="OG51" s="50">
        <v>4.6230830000000003</v>
      </c>
      <c r="OH51" s="44">
        <v>0</v>
      </c>
      <c r="OI51" s="44">
        <v>4.6230830000000003</v>
      </c>
      <c r="OJ51" s="44">
        <f t="shared" si="107"/>
        <v>4.7726800899999997</v>
      </c>
      <c r="OK51" s="44"/>
      <c r="OL51" s="44">
        <v>4.7726800899999997</v>
      </c>
      <c r="OM51" s="44">
        <v>5.9123727699999993</v>
      </c>
      <c r="ON51" s="44"/>
      <c r="OO51" s="44">
        <v>5.9123727699999993</v>
      </c>
      <c r="OP51" s="44">
        <v>5.9362919999999999</v>
      </c>
      <c r="OQ51" s="44"/>
      <c r="OR51" s="44">
        <v>5.9362919999999999</v>
      </c>
      <c r="OS51" s="44">
        <v>6.9814552000000001</v>
      </c>
      <c r="OT51" s="44"/>
      <c r="OU51" s="44">
        <v>6.9814552000000001</v>
      </c>
      <c r="OV51" s="44">
        <v>6.6613460199999999</v>
      </c>
      <c r="OW51" s="44"/>
      <c r="OX51" s="44">
        <v>6.6613460199999999</v>
      </c>
      <c r="OY51" s="95">
        <v>6.7378506399999996</v>
      </c>
      <c r="OZ51" s="44"/>
      <c r="PA51" s="95">
        <v>6.7378506399999996</v>
      </c>
      <c r="PB51" s="44">
        <v>5.9249859900000006</v>
      </c>
      <c r="PC51" s="44"/>
      <c r="PD51" s="44">
        <v>5.9249859900000006</v>
      </c>
      <c r="PE51" s="44">
        <v>3.0190506500000001</v>
      </c>
      <c r="PF51" s="44"/>
      <c r="PG51" s="44">
        <v>3.0190506500000001</v>
      </c>
      <c r="PH51" s="44">
        <v>8.9433340000000001</v>
      </c>
      <c r="PI51" s="44"/>
      <c r="PJ51" s="44">
        <v>8.9433340000000001</v>
      </c>
      <c r="PK51" s="44">
        <v>24.70424264</v>
      </c>
      <c r="PL51" s="44"/>
      <c r="PM51" s="44">
        <v>24.70424264</v>
      </c>
      <c r="PN51" s="50">
        <f t="shared" ref="PN51:PN73" si="122">OD51+OG51+OJ51+OM51+OP51+OS51+OV51+OY51+PB51+PE51+PH51+PK51</f>
        <v>89.297776000000013</v>
      </c>
      <c r="PO51" s="50">
        <f t="shared" si="108"/>
        <v>0</v>
      </c>
      <c r="PP51" s="50">
        <f t="shared" si="116"/>
        <v>89.297776000000013</v>
      </c>
      <c r="PQ51" s="50">
        <f t="shared" si="118"/>
        <v>89.297775999999999</v>
      </c>
      <c r="PR51" s="50"/>
      <c r="PS51" s="50">
        <v>89.297775999999999</v>
      </c>
      <c r="PT51" s="44">
        <v>6.7338329999999997</v>
      </c>
      <c r="PU51" s="44"/>
      <c r="PV51" s="44">
        <v>6.7338329999999997</v>
      </c>
      <c r="PW51" s="44">
        <v>6.5898320699999999</v>
      </c>
      <c r="PX51" s="44"/>
      <c r="PY51" s="44">
        <v>6.5898320699999999</v>
      </c>
      <c r="PZ51" s="44">
        <v>6.4909330000000001</v>
      </c>
      <c r="QA51" s="44"/>
      <c r="QB51" s="44">
        <v>6.4909330000000001</v>
      </c>
      <c r="QC51" s="44">
        <v>6.01897839</v>
      </c>
      <c r="QD51" s="44"/>
      <c r="QE51" s="44">
        <v>6.01897839</v>
      </c>
      <c r="QF51" s="44">
        <v>6.2658329999999998</v>
      </c>
      <c r="QG51" s="44"/>
      <c r="QH51" s="44">
        <v>6.2658329999999998</v>
      </c>
      <c r="QI51" s="50">
        <v>6.0211774599999996</v>
      </c>
      <c r="QJ51" s="44"/>
      <c r="QK51" s="44">
        <v>6.0211774599999996</v>
      </c>
      <c r="QL51" s="44">
        <v>5.7157933300000003</v>
      </c>
      <c r="QM51" s="44"/>
      <c r="QN51" s="44">
        <v>5.7157933300000003</v>
      </c>
      <c r="QO51" s="50">
        <v>5.5758330000000003</v>
      </c>
      <c r="QP51" s="44"/>
      <c r="QQ51" s="44">
        <v>5.5758330000000003</v>
      </c>
      <c r="QR51" s="44">
        <v>6.0310050799999999</v>
      </c>
      <c r="QS51" s="44"/>
      <c r="QT51" s="44">
        <v>6.0310050799999999</v>
      </c>
      <c r="QU51" s="50">
        <v>6.2258329999999997</v>
      </c>
      <c r="QV51" s="44"/>
      <c r="QW51" s="44">
        <v>6.2258329999999997</v>
      </c>
      <c r="QX51" s="50">
        <v>0.30083300000000002</v>
      </c>
      <c r="QY51" s="44"/>
      <c r="QZ51" s="44">
        <v>0.30083300000000002</v>
      </c>
      <c r="RA51" s="50">
        <v>31.26325357</v>
      </c>
      <c r="RB51" s="44"/>
      <c r="RC51" s="44">
        <v>31.26325357</v>
      </c>
      <c r="RD51" s="50">
        <f t="shared" si="52"/>
        <v>93.233137900000003</v>
      </c>
      <c r="RE51" s="50">
        <f t="shared" si="53"/>
        <v>0</v>
      </c>
      <c r="RF51" s="50">
        <f t="shared" si="54"/>
        <v>93.233137900000003</v>
      </c>
      <c r="RG51" s="50">
        <f t="shared" si="119"/>
        <v>93.233137999999997</v>
      </c>
      <c r="RH51" s="50"/>
      <c r="RI51" s="50">
        <v>93.233137999999997</v>
      </c>
      <c r="RJ51" s="50">
        <v>8.1691979999999997</v>
      </c>
      <c r="RK51" s="50"/>
      <c r="RL51" s="50">
        <v>8.1691979999999997</v>
      </c>
      <c r="RM51" s="50">
        <v>6.5769116900000002</v>
      </c>
      <c r="RN51" s="50"/>
      <c r="RO51" s="50">
        <v>6.5769116900000002</v>
      </c>
      <c r="RP51" s="50">
        <v>6.2823250000000002</v>
      </c>
      <c r="RQ51" s="50"/>
      <c r="RR51" s="50">
        <v>6.2823250000000002</v>
      </c>
      <c r="RS51" s="50">
        <v>7.5510250000000001</v>
      </c>
      <c r="RT51" s="50"/>
      <c r="RU51" s="50">
        <v>7.5510250000000001</v>
      </c>
      <c r="RV51" s="50">
        <v>5.8518049999999997</v>
      </c>
      <c r="RW51" s="50"/>
      <c r="RX51" s="50">
        <v>5.8518049999999997</v>
      </c>
      <c r="RY51" s="50">
        <v>5.819985</v>
      </c>
      <c r="RZ51" s="50"/>
      <c r="SA51" s="50">
        <v>5.819985</v>
      </c>
      <c r="SB51" s="50">
        <v>7.0319707600000001</v>
      </c>
      <c r="SC51" s="50"/>
      <c r="SD51" s="50">
        <v>7.0319707600000001</v>
      </c>
      <c r="SE51" s="50">
        <v>5.5320299999999998</v>
      </c>
      <c r="SF51" s="50"/>
      <c r="SG51" s="50">
        <v>5.5320299999999998</v>
      </c>
      <c r="SH51" s="50">
        <v>5.7230449999999999</v>
      </c>
      <c r="SI51" s="50"/>
      <c r="SJ51" s="50">
        <v>5.7230449999999999</v>
      </c>
      <c r="SK51" s="50">
        <v>7.3510249999999999</v>
      </c>
      <c r="SL51" s="50"/>
      <c r="SM51" s="50">
        <v>7.3510249999999999</v>
      </c>
      <c r="SN51" s="50">
        <v>12.1442148</v>
      </c>
      <c r="SO51" s="50"/>
      <c r="SP51" s="50">
        <v>12.1442148</v>
      </c>
      <c r="SQ51" s="50">
        <v>13.341256749999999</v>
      </c>
      <c r="SR51" s="50"/>
      <c r="SS51" s="50">
        <v>13.341256749999999</v>
      </c>
      <c r="ST51" s="50">
        <f t="shared" si="55"/>
        <v>91.374791999999999</v>
      </c>
      <c r="SU51" s="50">
        <f t="shared" si="65"/>
        <v>0</v>
      </c>
      <c r="SV51" s="50">
        <f t="shared" si="56"/>
        <v>91.374791999999999</v>
      </c>
      <c r="SW51" s="50">
        <f t="shared" si="103"/>
        <v>91.374791999999999</v>
      </c>
      <c r="SX51" s="50"/>
      <c r="SY51" s="50">
        <v>91.374791999999999</v>
      </c>
      <c r="SZ51" s="50">
        <v>7.7006449999999997</v>
      </c>
      <c r="TA51" s="50"/>
      <c r="TB51" s="50">
        <v>7.7006449999999997</v>
      </c>
      <c r="TC51" s="50">
        <v>6.2606450000000002</v>
      </c>
      <c r="TD51" s="50"/>
      <c r="TE51" s="50">
        <v>6.2606450000000002</v>
      </c>
      <c r="TF51" s="50">
        <v>6.2873704200000002</v>
      </c>
      <c r="TG51" s="50"/>
      <c r="TH51" s="50">
        <v>6.2873704200000002</v>
      </c>
      <c r="TI51" s="50">
        <v>7.3588265499999999</v>
      </c>
      <c r="TJ51" s="50"/>
      <c r="TK51" s="50">
        <v>7.3588265499999999</v>
      </c>
      <c r="TL51" s="50">
        <v>6.2342795599999992</v>
      </c>
      <c r="TM51" s="50"/>
      <c r="TN51" s="50">
        <v>6.2342795599999992</v>
      </c>
      <c r="TO51" s="50">
        <v>5.7901015599999992</v>
      </c>
      <c r="TP51" s="50"/>
      <c r="TQ51" s="50">
        <v>5.7901015599999992</v>
      </c>
      <c r="TR51" s="50">
        <v>7.0511450399999998</v>
      </c>
      <c r="TS51" s="50"/>
      <c r="TT51" s="50">
        <v>7.0511450399999998</v>
      </c>
      <c r="TU51" s="50">
        <v>6.0082289400000004</v>
      </c>
      <c r="TV51" s="50"/>
      <c r="TW51" s="50">
        <v>6.0082289400000004</v>
      </c>
      <c r="TX51" s="50">
        <v>5.8831449999999998</v>
      </c>
      <c r="TY51" s="50"/>
      <c r="TZ51" s="50">
        <v>5.8831449999999998</v>
      </c>
      <c r="UA51" s="50">
        <v>7.4497359999999997</v>
      </c>
      <c r="UB51" s="50"/>
      <c r="UC51" s="50">
        <v>7.4497359999999997</v>
      </c>
      <c r="UD51" s="50">
        <v>5.9686851799999996</v>
      </c>
      <c r="UE51" s="50"/>
      <c r="UF51" s="50">
        <v>5.9686851799999996</v>
      </c>
      <c r="UG51" s="50">
        <v>13.28366475</v>
      </c>
      <c r="UH51" s="50"/>
      <c r="UI51" s="50">
        <v>13.28366475</v>
      </c>
      <c r="UJ51" s="50">
        <f t="shared" si="45"/>
        <v>85.276472999999996</v>
      </c>
      <c r="UK51" s="50">
        <f t="shared" si="15"/>
        <v>0</v>
      </c>
      <c r="UL51" s="50">
        <f t="shared" si="16"/>
        <v>85.276472999999996</v>
      </c>
      <c r="UM51" s="50">
        <v>10.150645000000001</v>
      </c>
      <c r="UN51" s="50"/>
      <c r="UO51" s="50">
        <v>10.150645000000001</v>
      </c>
      <c r="UP51" s="50">
        <v>4.9006449999999999</v>
      </c>
      <c r="UQ51" s="50"/>
      <c r="UR51" s="50">
        <v>4.9006449999999999</v>
      </c>
      <c r="US51" s="50">
        <v>6.4331449999999997</v>
      </c>
      <c r="UT51" s="50"/>
      <c r="UU51" s="50">
        <v>6.4331449999999997</v>
      </c>
      <c r="UV51" s="50">
        <v>11.8024141</v>
      </c>
      <c r="UW51" s="50"/>
      <c r="UX51" s="50">
        <v>11.8024141</v>
      </c>
      <c r="UY51" s="50"/>
      <c r="UZ51" s="50"/>
      <c r="VA51" s="50"/>
      <c r="VB51" s="50"/>
      <c r="VC51" s="50"/>
      <c r="VD51" s="50"/>
      <c r="VE51" s="50"/>
      <c r="VF51" s="50"/>
      <c r="VG51" s="50"/>
      <c r="VH51" s="50"/>
      <c r="VI51" s="50"/>
      <c r="VJ51" s="50"/>
      <c r="VK51" s="50"/>
      <c r="VL51" s="50"/>
      <c r="VM51" s="50"/>
      <c r="VN51" s="50"/>
      <c r="VO51" s="50"/>
      <c r="VP51" s="50"/>
      <c r="VQ51" s="50"/>
      <c r="VR51" s="50"/>
      <c r="VS51" s="50"/>
      <c r="VT51" s="50"/>
      <c r="VU51" s="50"/>
      <c r="VV51" s="50"/>
      <c r="VW51" s="276">
        <f t="shared" si="57"/>
        <v>27.607486999999999</v>
      </c>
      <c r="VX51" s="292">
        <f t="shared" si="58"/>
        <v>0</v>
      </c>
      <c r="VY51" s="292">
        <f t="shared" si="59"/>
        <v>27.607486999999999</v>
      </c>
      <c r="VZ51" s="276">
        <f t="shared" si="60"/>
        <v>33.286848999999997</v>
      </c>
      <c r="WA51" s="292">
        <f t="shared" si="61"/>
        <v>0</v>
      </c>
      <c r="WB51" s="292">
        <f t="shared" si="62"/>
        <v>33.286848999999997</v>
      </c>
      <c r="WC51" s="277">
        <f t="shared" si="112"/>
        <v>5.6793619999999976</v>
      </c>
      <c r="WD51" s="277">
        <f t="shared" si="104"/>
        <v>20.571818072394635</v>
      </c>
    </row>
    <row r="52" spans="1:602" s="12" customFormat="1" ht="21" hidden="1" customHeight="1">
      <c r="A52" s="314" t="s">
        <v>140</v>
      </c>
      <c r="B52" s="13" t="s">
        <v>141</v>
      </c>
      <c r="C52" s="47" t="s">
        <v>142</v>
      </c>
      <c r="D52" s="45">
        <v>0.25282582341591686</v>
      </c>
      <c r="E52" s="42">
        <v>0.11210806995976119</v>
      </c>
      <c r="F52" s="42">
        <v>20.959692887348393</v>
      </c>
      <c r="G52" s="42">
        <v>9.8915501334653761</v>
      </c>
      <c r="H52" s="42">
        <v>0.11642029641265558</v>
      </c>
      <c r="I52" s="42">
        <v>0.44397523349326418</v>
      </c>
      <c r="J52" s="42">
        <v>1.0538655727628188</v>
      </c>
      <c r="K52" s="42">
        <v>0.43987332172269933</v>
      </c>
      <c r="L52" s="42">
        <v>0.55525633035668553</v>
      </c>
      <c r="M52" s="42">
        <v>0.82165670656399237</v>
      </c>
      <c r="N52" s="42">
        <v>1.8150819574162917</v>
      </c>
      <c r="O52" s="42">
        <v>0.41040136368034363</v>
      </c>
      <c r="P52" s="42">
        <v>0.33557619193971583</v>
      </c>
      <c r="Q52" s="42">
        <v>0.50838024541692994</v>
      </c>
      <c r="R52" s="42">
        <v>2.2615443992919793</v>
      </c>
      <c r="S52" s="42">
        <v>-1.8643671066186305</v>
      </c>
      <c r="T52" s="44" t="s">
        <v>46</v>
      </c>
      <c r="U52" s="44" t="s">
        <v>46</v>
      </c>
      <c r="V52" s="42">
        <v>6.8976645124387481</v>
      </c>
      <c r="W52" s="42">
        <v>6.8917507583906747</v>
      </c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44" t="s">
        <v>46</v>
      </c>
      <c r="AK52" s="44" t="s">
        <v>46</v>
      </c>
      <c r="AL52" s="42">
        <v>0</v>
      </c>
      <c r="AM52" s="42">
        <v>0</v>
      </c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44"/>
      <c r="BA52" s="44"/>
      <c r="BB52" s="42"/>
      <c r="BC52" s="43">
        <f t="shared" si="21"/>
        <v>0</v>
      </c>
      <c r="BD52" s="43">
        <v>0</v>
      </c>
      <c r="BE52" s="42"/>
      <c r="BF52" s="44"/>
      <c r="BG52" s="50"/>
      <c r="BH52" s="44"/>
      <c r="BI52" s="44"/>
      <c r="BJ52" s="50"/>
      <c r="BK52" s="314"/>
      <c r="BL52" s="44"/>
      <c r="BM52" s="50"/>
      <c r="BN52" s="44"/>
      <c r="BO52" s="44"/>
      <c r="BP52" s="50"/>
      <c r="BQ52" s="44"/>
      <c r="BR52" s="44"/>
      <c r="BS52" s="50"/>
      <c r="BT52" s="44"/>
      <c r="BU52" s="44"/>
      <c r="BV52" s="50"/>
      <c r="BW52" s="44"/>
      <c r="BX52" s="44"/>
      <c r="BY52" s="50"/>
      <c r="BZ52" s="44"/>
      <c r="CA52" s="44"/>
      <c r="CB52" s="44"/>
      <c r="CC52" s="44"/>
      <c r="CD52" s="44"/>
      <c r="CE52" s="50"/>
      <c r="CF52" s="44"/>
      <c r="CG52" s="44"/>
      <c r="CH52" s="50"/>
      <c r="CI52" s="44"/>
      <c r="CJ52" s="314"/>
      <c r="CK52" s="314"/>
      <c r="CL52" s="314"/>
      <c r="CM52" s="314"/>
      <c r="CN52" s="314"/>
      <c r="CO52" s="314"/>
      <c r="CP52" s="127"/>
      <c r="CQ52" s="127"/>
      <c r="CR52" s="127"/>
      <c r="CS52" s="43">
        <f t="shared" ref="CS52:CS65" si="123">CU52-CT52</f>
        <v>0</v>
      </c>
      <c r="CT52" s="43"/>
      <c r="CU52" s="42"/>
      <c r="CV52" s="314"/>
      <c r="CW52" s="314"/>
      <c r="CX52" s="42">
        <f>CV52+CW52</f>
        <v>0</v>
      </c>
      <c r="CY52" s="42">
        <v>0</v>
      </c>
      <c r="CZ52" s="42">
        <v>0</v>
      </c>
      <c r="DA52" s="42">
        <v>0</v>
      </c>
      <c r="DB52" s="42">
        <v>0</v>
      </c>
      <c r="DC52" s="42">
        <v>0</v>
      </c>
      <c r="DD52" s="42">
        <v>0</v>
      </c>
      <c r="DE52" s="42">
        <v>0</v>
      </c>
      <c r="DF52" s="42">
        <v>0</v>
      </c>
      <c r="DG52" s="42">
        <v>0</v>
      </c>
      <c r="DH52" s="42">
        <v>0</v>
      </c>
      <c r="DI52" s="42">
        <v>0</v>
      </c>
      <c r="DJ52" s="42">
        <v>0</v>
      </c>
      <c r="DK52" s="42">
        <v>0</v>
      </c>
      <c r="DL52" s="42">
        <v>0</v>
      </c>
      <c r="DM52" s="42">
        <v>0</v>
      </c>
      <c r="DN52" s="42">
        <v>0</v>
      </c>
      <c r="DO52" s="42">
        <v>0</v>
      </c>
      <c r="DP52" s="42">
        <v>0</v>
      </c>
      <c r="DQ52" s="42">
        <v>0</v>
      </c>
      <c r="DR52" s="42">
        <v>0</v>
      </c>
      <c r="DS52" s="42">
        <v>0</v>
      </c>
      <c r="DT52" s="42">
        <v>0</v>
      </c>
      <c r="DU52" s="42">
        <v>0</v>
      </c>
      <c r="DV52" s="42">
        <v>0</v>
      </c>
      <c r="DW52" s="42">
        <v>0</v>
      </c>
      <c r="DX52" s="42">
        <v>0</v>
      </c>
      <c r="DY52" s="42">
        <v>0</v>
      </c>
      <c r="DZ52" s="42">
        <v>0</v>
      </c>
      <c r="EA52" s="42">
        <v>0</v>
      </c>
      <c r="EB52" s="42">
        <v>0</v>
      </c>
      <c r="EC52" s="42">
        <v>0</v>
      </c>
      <c r="ED52" s="42">
        <v>0</v>
      </c>
      <c r="EE52" s="42">
        <v>0</v>
      </c>
      <c r="EF52" s="45">
        <f t="shared" si="27"/>
        <v>0</v>
      </c>
      <c r="EG52" s="45">
        <f t="shared" si="28"/>
        <v>0</v>
      </c>
      <c r="EH52" s="45">
        <f t="shared" si="29"/>
        <v>0</v>
      </c>
      <c r="EI52" s="45">
        <f t="shared" si="94"/>
        <v>0</v>
      </c>
      <c r="EJ52" s="45"/>
      <c r="EK52" s="45"/>
      <c r="EL52" s="45">
        <v>0</v>
      </c>
      <c r="EM52" s="45">
        <v>0</v>
      </c>
      <c r="EN52" s="45">
        <v>0</v>
      </c>
      <c r="EO52" s="45">
        <v>0</v>
      </c>
      <c r="EP52" s="45">
        <v>0</v>
      </c>
      <c r="EQ52" s="45">
        <v>0</v>
      </c>
      <c r="ER52" s="45">
        <v>0</v>
      </c>
      <c r="ES52" s="45">
        <v>0</v>
      </c>
      <c r="ET52" s="45">
        <v>0</v>
      </c>
      <c r="EU52" s="45">
        <v>0</v>
      </c>
      <c r="EV52" s="45">
        <v>0</v>
      </c>
      <c r="EW52" s="45">
        <v>0</v>
      </c>
      <c r="EX52" s="45">
        <v>0</v>
      </c>
      <c r="EY52" s="45">
        <v>0</v>
      </c>
      <c r="EZ52" s="45">
        <v>0</v>
      </c>
      <c r="FA52" s="45">
        <v>0</v>
      </c>
      <c r="FB52" s="45">
        <v>0</v>
      </c>
      <c r="FC52" s="45">
        <v>0</v>
      </c>
      <c r="FD52" s="45">
        <v>0</v>
      </c>
      <c r="FE52" s="45">
        <v>0</v>
      </c>
      <c r="FF52" s="45">
        <v>0</v>
      </c>
      <c r="FG52" s="45">
        <v>0</v>
      </c>
      <c r="FH52" s="45">
        <v>0</v>
      </c>
      <c r="FI52" s="45">
        <v>0</v>
      </c>
      <c r="FJ52" s="45">
        <v>0</v>
      </c>
      <c r="FK52" s="45">
        <v>0</v>
      </c>
      <c r="FL52" s="45">
        <v>0</v>
      </c>
      <c r="FM52" s="45">
        <v>0</v>
      </c>
      <c r="FN52" s="45">
        <v>0</v>
      </c>
      <c r="FO52" s="45">
        <v>0</v>
      </c>
      <c r="FP52" s="45">
        <v>0</v>
      </c>
      <c r="FQ52" s="45">
        <v>0</v>
      </c>
      <c r="FR52" s="45">
        <v>0</v>
      </c>
      <c r="FS52" s="45">
        <v>0</v>
      </c>
      <c r="FT52" s="45">
        <v>0</v>
      </c>
      <c r="FU52" s="45">
        <v>0</v>
      </c>
      <c r="FV52" s="45">
        <f t="shared" si="30"/>
        <v>0</v>
      </c>
      <c r="FW52" s="45">
        <f t="shared" si="31"/>
        <v>0</v>
      </c>
      <c r="FX52" s="45">
        <f t="shared" si="32"/>
        <v>0</v>
      </c>
      <c r="FY52" s="45">
        <f t="shared" si="95"/>
        <v>0</v>
      </c>
      <c r="FZ52" s="45"/>
      <c r="GA52" s="45"/>
      <c r="GB52" s="45">
        <v>0</v>
      </c>
      <c r="GC52" s="45">
        <v>0</v>
      </c>
      <c r="GD52" s="45">
        <v>0</v>
      </c>
      <c r="GE52" s="45">
        <v>0</v>
      </c>
      <c r="GF52" s="45">
        <v>0</v>
      </c>
      <c r="GG52" s="45">
        <v>0</v>
      </c>
      <c r="GH52" s="45">
        <v>0</v>
      </c>
      <c r="GI52" s="45">
        <v>0</v>
      </c>
      <c r="GJ52" s="45">
        <v>0</v>
      </c>
      <c r="GK52" s="45">
        <v>0</v>
      </c>
      <c r="GL52" s="45">
        <v>0</v>
      </c>
      <c r="GM52" s="45">
        <v>0</v>
      </c>
      <c r="GN52" s="45">
        <v>0</v>
      </c>
      <c r="GO52" s="45">
        <v>0</v>
      </c>
      <c r="GP52" s="45">
        <v>0</v>
      </c>
      <c r="GQ52" s="45">
        <v>0</v>
      </c>
      <c r="GR52" s="45">
        <v>0</v>
      </c>
      <c r="GS52" s="45">
        <v>0</v>
      </c>
      <c r="GT52" s="45">
        <v>0</v>
      </c>
      <c r="GU52" s="45">
        <v>0</v>
      </c>
      <c r="GV52" s="45">
        <v>0</v>
      </c>
      <c r="GW52" s="45">
        <v>0</v>
      </c>
      <c r="GX52" s="45">
        <v>0</v>
      </c>
      <c r="GY52" s="45">
        <v>0</v>
      </c>
      <c r="GZ52" s="45">
        <v>0</v>
      </c>
      <c r="HA52" s="45">
        <v>0</v>
      </c>
      <c r="HB52" s="45">
        <v>0</v>
      </c>
      <c r="HC52" s="45">
        <v>0</v>
      </c>
      <c r="HD52" s="45">
        <v>0</v>
      </c>
      <c r="HE52" s="45">
        <v>0</v>
      </c>
      <c r="HF52" s="45">
        <v>0</v>
      </c>
      <c r="HG52" s="45">
        <v>0</v>
      </c>
      <c r="HH52" s="45">
        <v>0</v>
      </c>
      <c r="HI52" s="45">
        <v>0</v>
      </c>
      <c r="HJ52" s="45">
        <v>0</v>
      </c>
      <c r="HK52" s="45">
        <v>0</v>
      </c>
      <c r="HL52" s="45">
        <f t="shared" si="33"/>
        <v>0</v>
      </c>
      <c r="HM52" s="45">
        <f t="shared" si="34"/>
        <v>0</v>
      </c>
      <c r="HN52" s="45">
        <f t="shared" si="35"/>
        <v>0</v>
      </c>
      <c r="HO52" s="50">
        <f t="shared" si="96"/>
        <v>0</v>
      </c>
      <c r="HP52" s="45"/>
      <c r="HQ52" s="45"/>
      <c r="HR52" s="45">
        <v>0</v>
      </c>
      <c r="HS52" s="45">
        <v>0</v>
      </c>
      <c r="HT52" s="45">
        <v>0</v>
      </c>
      <c r="HU52" s="45">
        <v>0</v>
      </c>
      <c r="HV52" s="45">
        <v>0</v>
      </c>
      <c r="HW52" s="45">
        <v>0</v>
      </c>
      <c r="HX52" s="45">
        <v>0</v>
      </c>
      <c r="HY52" s="45">
        <v>0</v>
      </c>
      <c r="HZ52" s="45">
        <v>0</v>
      </c>
      <c r="IA52" s="45">
        <v>0</v>
      </c>
      <c r="IB52" s="45">
        <v>0</v>
      </c>
      <c r="IC52" s="45">
        <v>0</v>
      </c>
      <c r="ID52" s="45">
        <v>0</v>
      </c>
      <c r="IE52" s="45">
        <v>0</v>
      </c>
      <c r="IF52" s="45">
        <v>0</v>
      </c>
      <c r="IG52" s="45">
        <v>0</v>
      </c>
      <c r="IH52" s="45">
        <v>0</v>
      </c>
      <c r="II52" s="45">
        <v>0</v>
      </c>
      <c r="IJ52" s="45">
        <v>0</v>
      </c>
      <c r="IK52" s="45">
        <v>0</v>
      </c>
      <c r="IL52" s="45">
        <v>0</v>
      </c>
      <c r="IM52" s="45">
        <v>0</v>
      </c>
      <c r="IN52" s="45">
        <v>0</v>
      </c>
      <c r="IO52" s="45">
        <v>0</v>
      </c>
      <c r="IP52" s="45">
        <v>0</v>
      </c>
      <c r="IQ52" s="45">
        <v>0</v>
      </c>
      <c r="IR52" s="45">
        <v>0</v>
      </c>
      <c r="IS52" s="45">
        <v>0</v>
      </c>
      <c r="IT52" s="45">
        <v>0</v>
      </c>
      <c r="IU52" s="45">
        <v>0</v>
      </c>
      <c r="IV52" s="45">
        <v>0</v>
      </c>
      <c r="IW52" s="45">
        <v>0</v>
      </c>
      <c r="IX52" s="45">
        <v>0</v>
      </c>
      <c r="IY52" s="45">
        <v>0</v>
      </c>
      <c r="IZ52" s="45">
        <v>0</v>
      </c>
      <c r="JA52" s="45">
        <v>0</v>
      </c>
      <c r="JB52" s="45">
        <f t="shared" si="36"/>
        <v>0</v>
      </c>
      <c r="JC52" s="45">
        <f t="shared" si="37"/>
        <v>0</v>
      </c>
      <c r="JD52" s="45">
        <f t="shared" si="38"/>
        <v>0</v>
      </c>
      <c r="JE52" s="50">
        <f t="shared" si="97"/>
        <v>0</v>
      </c>
      <c r="JF52" s="45"/>
      <c r="JG52" s="45"/>
      <c r="JH52" s="45">
        <v>0</v>
      </c>
      <c r="JI52" s="45">
        <v>0</v>
      </c>
      <c r="JJ52" s="45">
        <v>0</v>
      </c>
      <c r="JK52" s="45">
        <v>0</v>
      </c>
      <c r="JL52" s="45">
        <v>0</v>
      </c>
      <c r="JM52" s="45">
        <v>0</v>
      </c>
      <c r="JN52" s="45">
        <v>0</v>
      </c>
      <c r="JO52" s="45">
        <v>0</v>
      </c>
      <c r="JP52" s="45">
        <v>0</v>
      </c>
      <c r="JQ52" s="50">
        <v>0</v>
      </c>
      <c r="JR52" s="50">
        <v>0</v>
      </c>
      <c r="JS52" s="50">
        <v>0</v>
      </c>
      <c r="JT52" s="50">
        <v>0</v>
      </c>
      <c r="JU52" s="50">
        <v>0</v>
      </c>
      <c r="JV52" s="50">
        <v>0</v>
      </c>
      <c r="JW52" s="50">
        <v>0</v>
      </c>
      <c r="JX52" s="50">
        <v>0</v>
      </c>
      <c r="JY52" s="50">
        <v>0</v>
      </c>
      <c r="JZ52" s="50">
        <v>0</v>
      </c>
      <c r="KA52" s="50">
        <v>0</v>
      </c>
      <c r="KB52" s="50">
        <v>0</v>
      </c>
      <c r="KC52" s="50">
        <v>0</v>
      </c>
      <c r="KD52" s="50">
        <v>0</v>
      </c>
      <c r="KE52" s="50">
        <v>0</v>
      </c>
      <c r="KF52" s="50">
        <v>0</v>
      </c>
      <c r="KG52" s="50">
        <v>0</v>
      </c>
      <c r="KH52" s="50">
        <v>0</v>
      </c>
      <c r="KI52" s="50">
        <v>0</v>
      </c>
      <c r="KJ52" s="50">
        <v>0</v>
      </c>
      <c r="KK52" s="50">
        <v>0</v>
      </c>
      <c r="KL52" s="50">
        <v>0</v>
      </c>
      <c r="KM52" s="50">
        <v>0</v>
      </c>
      <c r="KN52" s="50">
        <v>0</v>
      </c>
      <c r="KO52" s="50">
        <v>0</v>
      </c>
      <c r="KP52" s="50">
        <v>0</v>
      </c>
      <c r="KQ52" s="50">
        <v>0</v>
      </c>
      <c r="KR52" s="45">
        <f t="shared" si="48"/>
        <v>0</v>
      </c>
      <c r="KS52" s="45">
        <f t="shared" si="39"/>
        <v>0</v>
      </c>
      <c r="KT52" s="45">
        <f t="shared" si="49"/>
        <v>0</v>
      </c>
      <c r="KU52" s="50">
        <f t="shared" si="98"/>
        <v>0</v>
      </c>
      <c r="KV52" s="45"/>
      <c r="KW52" s="45"/>
      <c r="KX52" s="50">
        <v>0</v>
      </c>
      <c r="KY52" s="50">
        <v>0</v>
      </c>
      <c r="KZ52" s="50">
        <v>0</v>
      </c>
      <c r="LA52" s="50">
        <v>0</v>
      </c>
      <c r="LB52" s="50">
        <v>0</v>
      </c>
      <c r="LC52" s="50">
        <v>0</v>
      </c>
      <c r="LD52" s="50">
        <v>0</v>
      </c>
      <c r="LF52" s="87">
        <v>0</v>
      </c>
      <c r="LG52" s="50">
        <v>0</v>
      </c>
      <c r="LH52" s="50"/>
      <c r="LI52" s="50">
        <v>0</v>
      </c>
      <c r="LJ52" s="174">
        <v>0</v>
      </c>
      <c r="LK52" s="50">
        <v>0</v>
      </c>
      <c r="LL52" s="174">
        <v>0</v>
      </c>
      <c r="LM52" s="50"/>
      <c r="LN52" s="50">
        <v>0</v>
      </c>
      <c r="LO52" s="50"/>
      <c r="LP52" s="44">
        <v>0</v>
      </c>
      <c r="LQ52" s="44">
        <v>0</v>
      </c>
      <c r="LR52" s="44">
        <v>0</v>
      </c>
      <c r="LS52" s="52">
        <v>0</v>
      </c>
      <c r="LT52" s="44">
        <v>0</v>
      </c>
      <c r="LU52" s="52">
        <v>0</v>
      </c>
      <c r="LV52" s="44">
        <v>0</v>
      </c>
      <c r="LW52" s="44">
        <v>0</v>
      </c>
      <c r="LX52" s="44">
        <v>0</v>
      </c>
      <c r="LY52" s="179"/>
      <c r="LZ52" s="179"/>
      <c r="MA52" s="179"/>
      <c r="MB52" s="179"/>
      <c r="MC52" s="179"/>
      <c r="ME52" s="44"/>
      <c r="MF52" s="44">
        <v>0</v>
      </c>
      <c r="MG52" s="44"/>
      <c r="MH52" s="50">
        <f t="shared" si="66"/>
        <v>0</v>
      </c>
      <c r="MI52" s="50">
        <f t="shared" si="50"/>
        <v>0</v>
      </c>
      <c r="MJ52" s="50">
        <f t="shared" si="51"/>
        <v>0</v>
      </c>
      <c r="MK52" s="50">
        <f t="shared" si="99"/>
        <v>0</v>
      </c>
      <c r="ML52" s="50"/>
      <c r="MM52" s="50"/>
      <c r="MN52" s="44">
        <v>0</v>
      </c>
      <c r="MO52" s="44">
        <v>0</v>
      </c>
      <c r="MP52" s="44">
        <v>0</v>
      </c>
      <c r="MQ52" s="44">
        <v>0</v>
      </c>
      <c r="MR52" s="44">
        <v>0</v>
      </c>
      <c r="MS52" s="44">
        <v>0</v>
      </c>
      <c r="MT52" s="179"/>
      <c r="MU52" s="179"/>
      <c r="MW52" s="44"/>
      <c r="MX52" s="44">
        <v>0</v>
      </c>
      <c r="MY52" s="44"/>
      <c r="MZ52" s="183"/>
      <c r="NA52" s="183"/>
      <c r="NC52" s="44"/>
      <c r="ND52" s="44"/>
      <c r="NE52" s="44"/>
      <c r="NF52" s="44"/>
      <c r="NG52" s="44"/>
      <c r="NH52" s="44"/>
      <c r="NI52" s="44"/>
      <c r="NJ52" s="44"/>
      <c r="NK52" s="44"/>
      <c r="NL52" s="44"/>
      <c r="NM52" s="44"/>
      <c r="NN52" s="44"/>
      <c r="NO52" s="44"/>
      <c r="NP52" s="44"/>
      <c r="NQ52" s="44"/>
      <c r="NR52" s="44"/>
      <c r="NS52" s="44"/>
      <c r="NT52" s="44"/>
      <c r="NU52" s="44">
        <v>0</v>
      </c>
      <c r="NV52" s="44">
        <v>0</v>
      </c>
      <c r="NW52" s="44">
        <v>0</v>
      </c>
      <c r="NX52" s="50">
        <f t="shared" si="117"/>
        <v>0</v>
      </c>
      <c r="NY52" s="50">
        <f t="shared" si="40"/>
        <v>0</v>
      </c>
      <c r="NZ52" s="50">
        <f t="shared" si="41"/>
        <v>0</v>
      </c>
      <c r="OA52" s="50">
        <f t="shared" si="100"/>
        <v>0</v>
      </c>
      <c r="OB52" s="50"/>
      <c r="OC52" s="50"/>
      <c r="OD52" s="44"/>
      <c r="OE52" s="44"/>
      <c r="OF52" s="44"/>
      <c r="OG52" s="50">
        <v>0</v>
      </c>
      <c r="OH52" s="44"/>
      <c r="OI52" s="44"/>
      <c r="OJ52" s="74">
        <f t="shared" si="107"/>
        <v>0</v>
      </c>
      <c r="OK52" s="44"/>
      <c r="OL52" s="44"/>
      <c r="OM52" s="44"/>
      <c r="ON52" s="44"/>
      <c r="OO52" s="44"/>
      <c r="OP52" s="44"/>
      <c r="OQ52" s="44"/>
      <c r="OR52" s="44"/>
      <c r="OS52" s="44"/>
      <c r="OT52" s="44"/>
      <c r="OU52" s="44"/>
      <c r="OV52" s="44"/>
      <c r="OW52" s="44"/>
      <c r="OX52" s="44"/>
      <c r="OY52" s="44"/>
      <c r="OZ52" s="44"/>
      <c r="PA52" s="44"/>
      <c r="PB52" s="44"/>
      <c r="PC52" s="44"/>
      <c r="PD52" s="44"/>
      <c r="PE52" s="44"/>
      <c r="PF52" s="44"/>
      <c r="PG52" s="44"/>
      <c r="PH52" s="44"/>
      <c r="PI52" s="44"/>
      <c r="PJ52" s="44"/>
      <c r="PK52" s="44"/>
      <c r="PL52" s="44"/>
      <c r="PM52" s="44"/>
      <c r="PN52" s="50">
        <f t="shared" si="122"/>
        <v>0</v>
      </c>
      <c r="PO52" s="50">
        <f t="shared" si="108"/>
        <v>0</v>
      </c>
      <c r="PP52" s="50">
        <f t="shared" si="116"/>
        <v>0</v>
      </c>
      <c r="PQ52" s="50">
        <f t="shared" si="118"/>
        <v>0</v>
      </c>
      <c r="PR52" s="50"/>
      <c r="PS52" s="50"/>
      <c r="PT52" s="44"/>
      <c r="PU52" s="44"/>
      <c r="PV52" s="44"/>
      <c r="PW52" s="44"/>
      <c r="PX52" s="44"/>
      <c r="PY52" s="44"/>
      <c r="PZ52" s="44"/>
      <c r="QA52" s="44"/>
      <c r="QB52" s="44"/>
      <c r="QC52" s="44"/>
      <c r="QD52" s="44"/>
      <c r="QE52" s="44"/>
      <c r="QF52" s="44"/>
      <c r="QG52" s="44"/>
      <c r="QH52" s="44"/>
      <c r="QI52" s="50">
        <v>0</v>
      </c>
      <c r="QJ52" s="44"/>
      <c r="QK52" s="44"/>
      <c r="QL52" s="44"/>
      <c r="QM52" s="44"/>
      <c r="QN52" s="44"/>
      <c r="QO52" s="50">
        <v>0</v>
      </c>
      <c r="QP52" s="44"/>
      <c r="QQ52" s="44"/>
      <c r="QR52" s="44"/>
      <c r="QS52" s="44"/>
      <c r="QT52" s="44"/>
      <c r="QU52" s="50">
        <v>0</v>
      </c>
      <c r="QV52" s="44"/>
      <c r="QW52" s="44"/>
      <c r="QX52" s="50">
        <v>0</v>
      </c>
      <c r="QY52" s="44"/>
      <c r="QZ52" s="44"/>
      <c r="RA52" s="50">
        <v>0</v>
      </c>
      <c r="RB52" s="44"/>
      <c r="RC52" s="44"/>
      <c r="RD52" s="50">
        <f t="shared" si="52"/>
        <v>0</v>
      </c>
      <c r="RE52" s="50">
        <f t="shared" si="53"/>
        <v>0</v>
      </c>
      <c r="RF52" s="50">
        <f t="shared" si="54"/>
        <v>0</v>
      </c>
      <c r="RG52" s="50">
        <f t="shared" si="119"/>
        <v>0</v>
      </c>
      <c r="RH52" s="50"/>
      <c r="RI52" s="50"/>
      <c r="RJ52" s="50"/>
      <c r="RK52" s="50"/>
      <c r="RL52" s="50"/>
      <c r="RM52" s="50"/>
      <c r="RN52" s="50"/>
      <c r="RO52" s="50"/>
      <c r="RP52" s="50"/>
      <c r="RQ52" s="50"/>
      <c r="RR52" s="50"/>
      <c r="RS52" s="50">
        <v>0</v>
      </c>
      <c r="RT52" s="50"/>
      <c r="RU52" s="50"/>
      <c r="RV52" s="50">
        <v>0</v>
      </c>
      <c r="RW52" s="50"/>
      <c r="RX52" s="50"/>
      <c r="RY52" s="50">
        <v>0</v>
      </c>
      <c r="RZ52" s="50"/>
      <c r="SA52" s="50"/>
      <c r="SB52" s="50">
        <v>0</v>
      </c>
      <c r="SC52" s="50"/>
      <c r="SD52" s="50"/>
      <c r="SE52" s="50">
        <v>0</v>
      </c>
      <c r="SF52" s="50"/>
      <c r="SG52" s="50"/>
      <c r="SH52" s="50">
        <v>0</v>
      </c>
      <c r="SI52" s="50"/>
      <c r="SJ52" s="50"/>
      <c r="SK52" s="50"/>
      <c r="SL52" s="50"/>
      <c r="SM52" s="50"/>
      <c r="SN52" s="50">
        <v>0</v>
      </c>
      <c r="SO52" s="50"/>
      <c r="SP52" s="50"/>
      <c r="SQ52" s="50">
        <v>0</v>
      </c>
      <c r="SR52" s="50"/>
      <c r="SS52" s="50"/>
      <c r="ST52" s="50">
        <f t="shared" si="55"/>
        <v>0</v>
      </c>
      <c r="SU52" s="50">
        <f t="shared" si="65"/>
        <v>0</v>
      </c>
      <c r="SV52" s="50">
        <f t="shared" si="56"/>
        <v>0</v>
      </c>
      <c r="SW52" s="50">
        <f t="shared" si="103"/>
        <v>0</v>
      </c>
      <c r="SX52" s="50"/>
      <c r="SY52" s="50"/>
      <c r="SZ52" s="50"/>
      <c r="TA52" s="50"/>
      <c r="TB52" s="50"/>
      <c r="TC52" s="50">
        <v>0</v>
      </c>
      <c r="TD52" s="50"/>
      <c r="TE52" s="50"/>
      <c r="TF52" s="50"/>
      <c r="TG52" s="50"/>
      <c r="TH52" s="50">
        <v>0</v>
      </c>
      <c r="TI52" s="50">
        <v>0</v>
      </c>
      <c r="TJ52" s="50"/>
      <c r="TK52" s="50"/>
      <c r="TL52" s="50">
        <v>0</v>
      </c>
      <c r="TM52" s="50"/>
      <c r="TN52" s="50"/>
      <c r="TO52" s="50">
        <v>0</v>
      </c>
      <c r="TP52" s="50"/>
      <c r="TQ52" s="50"/>
      <c r="TR52" s="50">
        <v>0</v>
      </c>
      <c r="TS52" s="50"/>
      <c r="TT52" s="50"/>
      <c r="TU52" s="50">
        <v>0</v>
      </c>
      <c r="TV52" s="50"/>
      <c r="TW52" s="50"/>
      <c r="TX52" s="50">
        <v>0</v>
      </c>
      <c r="TY52" s="50"/>
      <c r="TZ52" s="50"/>
      <c r="UA52" s="50">
        <v>0</v>
      </c>
      <c r="UB52" s="50"/>
      <c r="UC52" s="50"/>
      <c r="UD52" s="50">
        <v>0</v>
      </c>
      <c r="UE52" s="50"/>
      <c r="UF52" s="50"/>
      <c r="UG52" s="50">
        <v>0</v>
      </c>
      <c r="UH52" s="50"/>
      <c r="UI52" s="50"/>
      <c r="UJ52" s="50">
        <f t="shared" si="45"/>
        <v>0</v>
      </c>
      <c r="UK52" s="50">
        <f t="shared" si="15"/>
        <v>0</v>
      </c>
      <c r="UL52" s="50">
        <f t="shared" si="16"/>
        <v>0</v>
      </c>
      <c r="UM52" s="50">
        <v>0</v>
      </c>
      <c r="UN52" s="50"/>
      <c r="UO52" s="50"/>
      <c r="UP52" s="50">
        <v>0</v>
      </c>
      <c r="UQ52" s="50"/>
      <c r="UR52" s="50"/>
      <c r="US52" s="50">
        <v>0</v>
      </c>
      <c r="UT52" s="50"/>
      <c r="UU52" s="50"/>
      <c r="UV52" s="50">
        <v>0</v>
      </c>
      <c r="UW52" s="50"/>
      <c r="UX52" s="50"/>
      <c r="UY52" s="50"/>
      <c r="UZ52" s="50"/>
      <c r="VA52" s="50"/>
      <c r="VB52" s="50"/>
      <c r="VC52" s="50"/>
      <c r="VD52" s="50"/>
      <c r="VE52" s="50"/>
      <c r="VF52" s="50"/>
      <c r="VG52" s="50"/>
      <c r="VH52" s="50"/>
      <c r="VI52" s="50"/>
      <c r="VJ52" s="50"/>
      <c r="VK52" s="50"/>
      <c r="VL52" s="50"/>
      <c r="VM52" s="50"/>
      <c r="VN52" s="50"/>
      <c r="VO52" s="50"/>
      <c r="VP52" s="50"/>
      <c r="VQ52" s="50"/>
      <c r="VR52" s="50"/>
      <c r="VS52" s="50"/>
      <c r="VT52" s="50"/>
      <c r="VU52" s="50"/>
      <c r="VV52" s="50"/>
      <c r="VW52" s="276">
        <f t="shared" si="57"/>
        <v>0</v>
      </c>
      <c r="VX52" s="292">
        <f t="shared" si="58"/>
        <v>0</v>
      </c>
      <c r="VY52" s="292">
        <f t="shared" si="59"/>
        <v>0</v>
      </c>
      <c r="VZ52" s="276">
        <f t="shared" si="60"/>
        <v>0</v>
      </c>
      <c r="WA52" s="292">
        <f t="shared" si="61"/>
        <v>0</v>
      </c>
      <c r="WB52" s="292">
        <f t="shared" si="62"/>
        <v>0</v>
      </c>
      <c r="WC52" s="277">
        <f t="shared" si="112"/>
        <v>0</v>
      </c>
      <c r="WD52" s="277" t="e">
        <f t="shared" si="104"/>
        <v>#DIV/0!</v>
      </c>
    </row>
    <row r="53" spans="1:602" s="12" customFormat="1" ht="20.5">
      <c r="A53" s="314" t="s">
        <v>143</v>
      </c>
      <c r="B53" s="14" t="s">
        <v>144</v>
      </c>
      <c r="C53" s="46" t="s">
        <v>145</v>
      </c>
      <c r="D53" s="45">
        <v>630.02282855532974</v>
      </c>
      <c r="E53" s="42">
        <v>842.67730974781023</v>
      </c>
      <c r="F53" s="42">
        <v>753.94452365097527</v>
      </c>
      <c r="G53" s="42">
        <v>800.53605841742512</v>
      </c>
      <c r="H53" s="42">
        <v>59.072529524590067</v>
      </c>
      <c r="I53" s="42">
        <v>57.956400191233975</v>
      </c>
      <c r="J53" s="42">
        <v>69.335378227784702</v>
      </c>
      <c r="K53" s="42">
        <v>57.68556781122475</v>
      </c>
      <c r="L53" s="42">
        <v>58.659542916659554</v>
      </c>
      <c r="M53" s="42">
        <v>99.095820456343446</v>
      </c>
      <c r="N53" s="42">
        <v>51.886644071462307</v>
      </c>
      <c r="O53" s="42">
        <v>37.495106743843237</v>
      </c>
      <c r="P53" s="42">
        <v>56.502630889977858</v>
      </c>
      <c r="Q53" s="42">
        <v>65.612538033363492</v>
      </c>
      <c r="R53" s="42">
        <v>57.680925265081015</v>
      </c>
      <c r="S53" s="42">
        <v>94.269538548443109</v>
      </c>
      <c r="T53" s="42">
        <v>581.88034331051063</v>
      </c>
      <c r="U53" s="42">
        <v>183.37227936949699</v>
      </c>
      <c r="V53" s="42">
        <v>765.25262268000756</v>
      </c>
      <c r="W53" s="42">
        <v>765.29752960996234</v>
      </c>
      <c r="X53" s="42">
        <v>48.531741424351601</v>
      </c>
      <c r="Y53" s="42">
        <v>50.50450163914833</v>
      </c>
      <c r="Z53" s="42">
        <v>51.329692930034554</v>
      </c>
      <c r="AA53" s="42">
        <v>57.332798874223819</v>
      </c>
      <c r="AB53" s="42">
        <v>53.792236526826827</v>
      </c>
      <c r="AC53" s="42">
        <v>95.633574936966795</v>
      </c>
      <c r="AD53" s="42">
        <v>50.446877080950024</v>
      </c>
      <c r="AE53" s="42">
        <v>29.590289753615519</v>
      </c>
      <c r="AF53" s="42">
        <v>52.160282240852354</v>
      </c>
      <c r="AG53" s="42">
        <v>56.686108516741513</v>
      </c>
      <c r="AH53" s="42">
        <v>54.78498557207984</v>
      </c>
      <c r="AI53" s="42">
        <v>66.978880313714782</v>
      </c>
      <c r="AJ53" s="42">
        <v>565.46410240977605</v>
      </c>
      <c r="AK53" s="42">
        <v>102.307868324597</v>
      </c>
      <c r="AL53" s="42">
        <v>667.77196980950589</v>
      </c>
      <c r="AM53" s="42">
        <v>667.97799244170494</v>
      </c>
      <c r="AN53" s="42">
        <v>50.943910393224854</v>
      </c>
      <c r="AO53" s="42">
        <v>53.37891295439411</v>
      </c>
      <c r="AP53" s="42">
        <v>57.051021536587733</v>
      </c>
      <c r="AQ53" s="42">
        <v>62.643300948770928</v>
      </c>
      <c r="AR53" s="42">
        <v>53.453422049390724</v>
      </c>
      <c r="AS53" s="42">
        <v>96.871947214301585</v>
      </c>
      <c r="AT53" s="42">
        <v>44.333673399696075</v>
      </c>
      <c r="AU53" s="42">
        <v>27.784523508688054</v>
      </c>
      <c r="AV53" s="42">
        <v>55.149280596012545</v>
      </c>
      <c r="AW53" s="42">
        <v>56.244901850302497</v>
      </c>
      <c r="AX53" s="42">
        <v>51.832293214039758</v>
      </c>
      <c r="AY53" s="42">
        <v>58.25490037051582</v>
      </c>
      <c r="AZ53" s="42">
        <v>592.07185777257962</v>
      </c>
      <c r="BA53" s="42">
        <v>75.870230263345022</v>
      </c>
      <c r="BB53" s="42">
        <v>667.9420880359246</v>
      </c>
      <c r="BC53" s="42">
        <f t="shared" si="21"/>
        <v>592.07186214079604</v>
      </c>
      <c r="BD53" s="42">
        <v>75.870229822254856</v>
      </c>
      <c r="BE53" s="42">
        <v>667.94209196305087</v>
      </c>
      <c r="BF53" s="44">
        <f t="shared" ref="BF53:CI53" si="124">BF54+BF55+BF56</f>
        <v>62.019895769999998</v>
      </c>
      <c r="BG53" s="44">
        <f t="shared" si="124"/>
        <v>2.8603594599999997</v>
      </c>
      <c r="BH53" s="44">
        <f t="shared" si="124"/>
        <v>64.880255229999989</v>
      </c>
      <c r="BI53" s="44">
        <f t="shared" si="124"/>
        <v>65.357054229999989</v>
      </c>
      <c r="BJ53" s="44">
        <f t="shared" si="124"/>
        <v>3.25669494</v>
      </c>
      <c r="BK53" s="44">
        <f t="shared" si="124"/>
        <v>68.613749169999991</v>
      </c>
      <c r="BL53" s="44">
        <f t="shared" si="124"/>
        <v>66.274564919999989</v>
      </c>
      <c r="BM53" s="44">
        <f t="shared" si="124"/>
        <v>6.0193247899999998</v>
      </c>
      <c r="BN53" s="44">
        <f t="shared" si="124"/>
        <v>72.293889710000002</v>
      </c>
      <c r="BO53" s="44">
        <f t="shared" si="124"/>
        <v>68.023623040000004</v>
      </c>
      <c r="BP53" s="44">
        <f t="shared" si="124"/>
        <v>4.6777818</v>
      </c>
      <c r="BQ53" s="44">
        <f t="shared" si="124"/>
        <v>72.701404840000009</v>
      </c>
      <c r="BR53" s="44">
        <f t="shared" si="124"/>
        <v>63.918007059999994</v>
      </c>
      <c r="BS53" s="44">
        <f t="shared" si="124"/>
        <v>3.5671977500000001</v>
      </c>
      <c r="BT53" s="44">
        <f t="shared" si="124"/>
        <v>67.485204809999999</v>
      </c>
      <c r="BU53" s="44">
        <f t="shared" si="124"/>
        <v>102.29335832000001</v>
      </c>
      <c r="BV53" s="44">
        <f t="shared" si="124"/>
        <v>4.6837659699999996</v>
      </c>
      <c r="BW53" s="44">
        <f t="shared" si="124"/>
        <v>106.97712429000001</v>
      </c>
      <c r="BX53" s="44">
        <f t="shared" si="124"/>
        <v>56.187579810000003</v>
      </c>
      <c r="BY53" s="44">
        <f t="shared" si="124"/>
        <v>4.9462446599999996</v>
      </c>
      <c r="BZ53" s="44">
        <f t="shared" si="124"/>
        <v>61.133824469999993</v>
      </c>
      <c r="CA53" s="44">
        <f t="shared" si="124"/>
        <v>36.766886569999997</v>
      </c>
      <c r="CB53" s="44">
        <f t="shared" si="124"/>
        <v>5.3576380199999996</v>
      </c>
      <c r="CC53" s="44">
        <f t="shared" si="124"/>
        <v>42.124524589999993</v>
      </c>
      <c r="CD53" s="44">
        <f t="shared" si="124"/>
        <v>67.434073319999996</v>
      </c>
      <c r="CE53" s="44">
        <f t="shared" si="124"/>
        <v>6.1511370899999998</v>
      </c>
      <c r="CF53" s="44">
        <f t="shared" si="124"/>
        <v>73.585210409999988</v>
      </c>
      <c r="CG53" s="44">
        <f t="shared" si="124"/>
        <v>74.830358579999995</v>
      </c>
      <c r="CH53" s="44">
        <f t="shared" si="124"/>
        <v>9.880891759999999</v>
      </c>
      <c r="CI53" s="44">
        <f t="shared" si="124"/>
        <v>84.711250339999992</v>
      </c>
      <c r="CJ53" s="44">
        <f t="shared" ref="CJ53:CO53" si="125">CJ54+CJ55+CJ56</f>
        <v>65.322968840000016</v>
      </c>
      <c r="CK53" s="44">
        <f t="shared" si="125"/>
        <v>5.5709354900000001</v>
      </c>
      <c r="CL53" s="44">
        <f t="shared" si="125"/>
        <v>70.893904329999998</v>
      </c>
      <c r="CM53" s="44">
        <f t="shared" si="125"/>
        <v>74.968535020000019</v>
      </c>
      <c r="CN53" s="44">
        <f t="shared" si="125"/>
        <v>6.2527147900000006</v>
      </c>
      <c r="CO53" s="44">
        <f t="shared" si="125"/>
        <v>81.221249810000018</v>
      </c>
      <c r="CP53" s="44">
        <f t="shared" si="24"/>
        <v>803.3969054800001</v>
      </c>
      <c r="CQ53" s="44">
        <f t="shared" si="25"/>
        <v>63.224686519999992</v>
      </c>
      <c r="CR53" s="44">
        <f t="shared" si="26"/>
        <v>866.62159199999996</v>
      </c>
      <c r="CS53" s="42">
        <f t="shared" si="123"/>
        <v>802.11336299999994</v>
      </c>
      <c r="CT53" s="42">
        <f>CT54+CT55+CT56</f>
        <v>63.224609999999998</v>
      </c>
      <c r="CU53" s="42">
        <f>CU54+CU55+CU56</f>
        <v>865.33797299999992</v>
      </c>
      <c r="CV53" s="44">
        <f>CV54+CV55+CV56</f>
        <v>65.689311070000002</v>
      </c>
      <c r="CW53" s="44">
        <f>CW54+CW55+CW56</f>
        <v>1.2952199499999997</v>
      </c>
      <c r="CX53" s="44">
        <f>CX54+CX55+CX56</f>
        <v>66.984531019999991</v>
      </c>
      <c r="CY53" s="44">
        <v>69.696806010000003</v>
      </c>
      <c r="CZ53" s="44">
        <v>4.4409196599999996</v>
      </c>
      <c r="DA53" s="44">
        <v>74.137725670000009</v>
      </c>
      <c r="DB53" s="44">
        <v>69.894918970000006</v>
      </c>
      <c r="DC53" s="44">
        <v>5.495097190000001</v>
      </c>
      <c r="DD53" s="44">
        <v>75.390016160000002</v>
      </c>
      <c r="DE53" s="44">
        <v>74.978586550000003</v>
      </c>
      <c r="DF53" s="44">
        <v>4.2370936100000005</v>
      </c>
      <c r="DG53" s="44">
        <v>79.215680160000005</v>
      </c>
      <c r="DH53" s="44">
        <v>72.845236810000003</v>
      </c>
      <c r="DI53" s="44">
        <v>4.8773953599999995</v>
      </c>
      <c r="DJ53" s="44">
        <v>77.722632170000011</v>
      </c>
      <c r="DK53" s="44">
        <v>117.48988716999999</v>
      </c>
      <c r="DL53" s="44">
        <v>9.76005301</v>
      </c>
      <c r="DM53" s="44">
        <v>127.24994017999998</v>
      </c>
      <c r="DN53" s="44">
        <v>56.618255050000002</v>
      </c>
      <c r="DO53" s="44">
        <v>6.2079311200000005</v>
      </c>
      <c r="DP53" s="44">
        <v>62.82618617</v>
      </c>
      <c r="DQ53" s="44">
        <v>40.014875859999997</v>
      </c>
      <c r="DR53" s="44">
        <v>3.7952565400000005</v>
      </c>
      <c r="DS53" s="44">
        <v>43.810132400000001</v>
      </c>
      <c r="DT53" s="44">
        <v>65.626801199999989</v>
      </c>
      <c r="DU53" s="44">
        <v>2.7774359399999997</v>
      </c>
      <c r="DV53" s="44">
        <v>68.404237139999992</v>
      </c>
      <c r="DW53" s="44">
        <v>71.54122190999999</v>
      </c>
      <c r="DX53" s="44">
        <v>4.3570684800000006</v>
      </c>
      <c r="DY53" s="44">
        <v>75.89829039</v>
      </c>
      <c r="DZ53" s="44">
        <v>76.574844159999998</v>
      </c>
      <c r="EA53" s="44">
        <v>8.2521615399999995</v>
      </c>
      <c r="EB53" s="44">
        <v>84.827005700000015</v>
      </c>
      <c r="EC53" s="44">
        <v>66.085698340000008</v>
      </c>
      <c r="ED53" s="44">
        <v>5.98045647</v>
      </c>
      <c r="EE53" s="44">
        <v>72.066154810000015</v>
      </c>
      <c r="EF53" s="50">
        <f t="shared" si="27"/>
        <v>847.05644309999991</v>
      </c>
      <c r="EG53" s="50">
        <f t="shared" si="28"/>
        <v>61.476088870000005</v>
      </c>
      <c r="EH53" s="50">
        <f t="shared" si="29"/>
        <v>908.53253196999992</v>
      </c>
      <c r="EI53" s="50">
        <f t="shared" si="94"/>
        <v>847.0640493599999</v>
      </c>
      <c r="EJ53" s="50">
        <f>EJ54+EJ55+EJ56</f>
        <v>61.476088869999998</v>
      </c>
      <c r="EK53" s="50">
        <f>EK54+EK55+EK56</f>
        <v>908.54013822999991</v>
      </c>
      <c r="EL53" s="50">
        <v>66.101164769999997</v>
      </c>
      <c r="EM53" s="50">
        <v>1.4662736500000002</v>
      </c>
      <c r="EN53" s="50">
        <v>67.567438420000002</v>
      </c>
      <c r="EO53" s="50">
        <v>67.159892389999996</v>
      </c>
      <c r="EP53" s="50">
        <v>4.2117281200000001</v>
      </c>
      <c r="EQ53" s="50">
        <v>71.37162051</v>
      </c>
      <c r="ER53" s="50">
        <v>71.987784979999986</v>
      </c>
      <c r="ES53" s="50">
        <v>4.3797003700000001</v>
      </c>
      <c r="ET53" s="50">
        <v>76.367485349999995</v>
      </c>
      <c r="EU53" s="50">
        <v>77.277893890000001</v>
      </c>
      <c r="EV53" s="50">
        <v>6.5556663000000013</v>
      </c>
      <c r="EW53" s="50">
        <v>83.833560190000014</v>
      </c>
      <c r="EX53" s="50">
        <v>64.862996400000014</v>
      </c>
      <c r="EY53" s="50">
        <v>2.9183330600000001</v>
      </c>
      <c r="EZ53" s="50">
        <v>67.781329460000009</v>
      </c>
      <c r="FA53" s="50">
        <v>111.44579055999999</v>
      </c>
      <c r="FB53" s="50">
        <v>1.8231706999999999</v>
      </c>
      <c r="FC53" s="50">
        <v>113.26896126</v>
      </c>
      <c r="FD53" s="50">
        <v>56.286396419999996</v>
      </c>
      <c r="FE53" s="50">
        <v>7.3888774799999997</v>
      </c>
      <c r="FF53" s="50">
        <v>63.675273899999993</v>
      </c>
      <c r="FG53" s="50">
        <v>39.802633970000002</v>
      </c>
      <c r="FH53" s="50">
        <v>2.5346455800000003</v>
      </c>
      <c r="FI53" s="50">
        <v>42.337279550000005</v>
      </c>
      <c r="FJ53" s="50">
        <v>44.414802940000008</v>
      </c>
      <c r="FK53" s="50">
        <v>2.1464326800000002</v>
      </c>
      <c r="FL53" s="50">
        <v>46.561235620000005</v>
      </c>
      <c r="FM53" s="50">
        <v>95.429487809999998</v>
      </c>
      <c r="FN53" s="50">
        <v>3.1932251599999999</v>
      </c>
      <c r="FO53" s="50">
        <v>98.622712969999995</v>
      </c>
      <c r="FP53" s="50">
        <v>78.771598910000009</v>
      </c>
      <c r="FQ53" s="50">
        <v>2.6037852899999998</v>
      </c>
      <c r="FR53" s="50">
        <v>81.375384199999999</v>
      </c>
      <c r="FS53" s="50">
        <v>67.389815979999995</v>
      </c>
      <c r="FT53" s="50">
        <v>3.9607091900000002</v>
      </c>
      <c r="FU53" s="50">
        <v>71.350525169999997</v>
      </c>
      <c r="FV53" s="50">
        <f t="shared" si="30"/>
        <v>840.93025901999977</v>
      </c>
      <c r="FW53" s="50">
        <f t="shared" si="31"/>
        <v>43.182547579999998</v>
      </c>
      <c r="FX53" s="50">
        <f t="shared" si="32"/>
        <v>884.11280659999989</v>
      </c>
      <c r="FY53" s="50">
        <f t="shared" si="95"/>
        <v>840.98921099999995</v>
      </c>
      <c r="FZ53" s="50">
        <f>FZ54+FZ55+FZ56</f>
        <v>43.182547</v>
      </c>
      <c r="GA53" s="50">
        <f>GA54+GA55+GA56</f>
        <v>884.17175799999995</v>
      </c>
      <c r="GB53" s="50">
        <v>63.240432850000005</v>
      </c>
      <c r="GC53" s="50">
        <v>2.1377288400000003</v>
      </c>
      <c r="GD53" s="50">
        <v>65.378161690000013</v>
      </c>
      <c r="GE53" s="50">
        <v>78.016315799999987</v>
      </c>
      <c r="GF53" s="50">
        <v>2.1002753199999997</v>
      </c>
      <c r="GG53" s="50">
        <v>80.116591119999995</v>
      </c>
      <c r="GH53" s="50">
        <v>79.679716460000009</v>
      </c>
      <c r="GI53" s="50">
        <v>4.5209168399999999</v>
      </c>
      <c r="GJ53" s="50">
        <v>84.200633299999993</v>
      </c>
      <c r="GK53" s="50">
        <v>80.041297839999999</v>
      </c>
      <c r="GL53" s="50">
        <v>4.9240423699999996</v>
      </c>
      <c r="GM53" s="50">
        <v>84.965340209999994</v>
      </c>
      <c r="GN53" s="50">
        <v>70.51535401000001</v>
      </c>
      <c r="GO53" s="50">
        <v>2.8417552100000001</v>
      </c>
      <c r="GP53" s="50">
        <v>73.357109220000012</v>
      </c>
      <c r="GQ53" s="50">
        <v>124.75229004000002</v>
      </c>
      <c r="GR53" s="50">
        <v>5.5325530899999995</v>
      </c>
      <c r="GS53" s="50">
        <v>130.28484313000001</v>
      </c>
      <c r="GT53" s="50">
        <v>53.560227140000002</v>
      </c>
      <c r="GU53" s="50">
        <v>8.4287688999999997</v>
      </c>
      <c r="GV53" s="50">
        <v>61.988996039999996</v>
      </c>
      <c r="GW53" s="50">
        <v>38.10524624</v>
      </c>
      <c r="GX53" s="50">
        <v>6.8769254999999987</v>
      </c>
      <c r="GY53" s="50">
        <v>44.982171739999998</v>
      </c>
      <c r="GZ53" s="50">
        <v>48.559259619999999</v>
      </c>
      <c r="HA53" s="50">
        <v>5.6159815700000006</v>
      </c>
      <c r="HB53" s="50">
        <v>54.175241190000001</v>
      </c>
      <c r="HC53" s="50">
        <v>94.411333660000025</v>
      </c>
      <c r="HD53" s="50">
        <v>9.8647419000000003</v>
      </c>
      <c r="HE53" s="50">
        <v>104.27607556000002</v>
      </c>
      <c r="HF53" s="50">
        <v>73.920481050000006</v>
      </c>
      <c r="HG53" s="50">
        <v>7.5257351999999997</v>
      </c>
      <c r="HH53" s="50">
        <v>81.446216249999992</v>
      </c>
      <c r="HI53" s="50">
        <v>65.87489085</v>
      </c>
      <c r="HJ53" s="50">
        <v>9.2550796300000009</v>
      </c>
      <c r="HK53" s="50">
        <v>75.129970479999997</v>
      </c>
      <c r="HL53" s="50">
        <f t="shared" si="33"/>
        <v>870.67684556000029</v>
      </c>
      <c r="HM53" s="50">
        <f t="shared" si="34"/>
        <v>69.624504369999997</v>
      </c>
      <c r="HN53" s="50">
        <f t="shared" si="35"/>
        <v>940.3013499299999</v>
      </c>
      <c r="HO53" s="50">
        <f t="shared" si="96"/>
        <v>870.67684200000008</v>
      </c>
      <c r="HP53" s="50">
        <f>HP54+HP55+HP56</f>
        <v>69.624504999999999</v>
      </c>
      <c r="HQ53" s="50">
        <f>HQ54+HQ55+HQ56</f>
        <v>940.30134700000008</v>
      </c>
      <c r="HR53" s="50">
        <v>69.428112249999998</v>
      </c>
      <c r="HS53" s="50">
        <v>3.6222602800000003</v>
      </c>
      <c r="HT53" s="50">
        <v>73.05037252999999</v>
      </c>
      <c r="HU53" s="50">
        <v>77.417165220000015</v>
      </c>
      <c r="HV53" s="50">
        <v>3.8659672700000001</v>
      </c>
      <c r="HW53" s="50">
        <v>81.28313249</v>
      </c>
      <c r="HX53" s="50">
        <v>76.579923640000004</v>
      </c>
      <c r="HY53" s="50">
        <v>6.0783053499999999</v>
      </c>
      <c r="HZ53" s="50">
        <v>82.658228989999998</v>
      </c>
      <c r="IA53" s="50">
        <v>83.927238119999998</v>
      </c>
      <c r="IB53" s="50">
        <v>6.88918841</v>
      </c>
      <c r="IC53" s="50">
        <v>90.816426529999987</v>
      </c>
      <c r="ID53" s="50">
        <v>68.353189200000017</v>
      </c>
      <c r="IE53" s="50">
        <v>6.8033950899999986</v>
      </c>
      <c r="IF53" s="50">
        <v>75.156584289999998</v>
      </c>
      <c r="IG53" s="50">
        <v>121.06029836000002</v>
      </c>
      <c r="IH53" s="50">
        <v>6.7704266199999985</v>
      </c>
      <c r="II53" s="50">
        <v>127.83072498000001</v>
      </c>
      <c r="IJ53" s="50">
        <v>66.376078129999996</v>
      </c>
      <c r="IK53" s="50">
        <v>7.70284865</v>
      </c>
      <c r="IL53" s="50">
        <v>74.078926780000003</v>
      </c>
      <c r="IM53" s="50">
        <v>40.594696329999991</v>
      </c>
      <c r="IN53" s="50">
        <v>9.8580827099999997</v>
      </c>
      <c r="IO53" s="50">
        <v>50.452779039999996</v>
      </c>
      <c r="IP53" s="50">
        <v>67.546901640000016</v>
      </c>
      <c r="IQ53" s="50">
        <v>8.0474878299999997</v>
      </c>
      <c r="IR53" s="50">
        <v>75.59438947000001</v>
      </c>
      <c r="IS53" s="50">
        <v>94.285537199999979</v>
      </c>
      <c r="IT53" s="50">
        <v>11.65667601</v>
      </c>
      <c r="IU53" s="50">
        <v>105.94221321000001</v>
      </c>
      <c r="IV53" s="50">
        <v>71.572448309999984</v>
      </c>
      <c r="IW53" s="50">
        <v>8.6545410499999988</v>
      </c>
      <c r="IX53" s="50">
        <v>80.226989360000005</v>
      </c>
      <c r="IY53" s="50">
        <v>90.260654409999987</v>
      </c>
      <c r="IZ53" s="50">
        <v>8.3655650900000005</v>
      </c>
      <c r="JA53" s="50">
        <v>98.626219500000005</v>
      </c>
      <c r="JB53" s="50">
        <f t="shared" si="36"/>
        <v>927.40224281000019</v>
      </c>
      <c r="JC53" s="50">
        <f t="shared" si="37"/>
        <v>88.314744360000006</v>
      </c>
      <c r="JD53" s="50">
        <f t="shared" si="38"/>
        <v>1015.7169871699999</v>
      </c>
      <c r="JE53" s="50">
        <f t="shared" si="97"/>
        <v>927.44869200000005</v>
      </c>
      <c r="JF53" s="50">
        <f>JF54+JF55+JF56</f>
        <v>88.314742999999993</v>
      </c>
      <c r="JG53" s="50">
        <f>JG54+JG55+JG56</f>
        <v>1015.7634350000001</v>
      </c>
      <c r="JH53" s="50">
        <v>84.77685305</v>
      </c>
      <c r="JI53" s="50">
        <v>6.9589322099999986</v>
      </c>
      <c r="JJ53" s="50">
        <v>91.735785259999986</v>
      </c>
      <c r="JK53" s="50">
        <v>87.248218730000019</v>
      </c>
      <c r="JL53" s="50">
        <v>7.6382975700000006</v>
      </c>
      <c r="JM53" s="50">
        <v>94.886516300000011</v>
      </c>
      <c r="JN53" s="50">
        <v>81.580235700000003</v>
      </c>
      <c r="JO53" s="50">
        <v>6.2636737499999997</v>
      </c>
      <c r="JP53" s="50">
        <v>87.843909449999998</v>
      </c>
      <c r="JQ53" s="50">
        <v>105.71487101000001</v>
      </c>
      <c r="JR53" s="50">
        <v>8.9061647199999996</v>
      </c>
      <c r="JS53" s="50">
        <v>114.62103573000002</v>
      </c>
      <c r="JT53" s="50">
        <v>77.823604099999997</v>
      </c>
      <c r="JU53" s="50">
        <v>5.1148101600000002</v>
      </c>
      <c r="JV53" s="50">
        <v>82.938414259999988</v>
      </c>
      <c r="JW53" s="50">
        <v>122.38174650999997</v>
      </c>
      <c r="JX53" s="50">
        <v>6.0185853700000003</v>
      </c>
      <c r="JY53" s="50">
        <v>128.40033187999998</v>
      </c>
      <c r="JZ53" s="50">
        <v>86.40733646999999</v>
      </c>
      <c r="KA53" s="50">
        <v>11.84336624</v>
      </c>
      <c r="KB53" s="50">
        <v>98.250702709999999</v>
      </c>
      <c r="KC53" s="50">
        <v>40.585850840000006</v>
      </c>
      <c r="KD53" s="50">
        <v>12.840763320000002</v>
      </c>
      <c r="KE53" s="50">
        <v>53.426614160000007</v>
      </c>
      <c r="KF53" s="50">
        <v>77.763285780000004</v>
      </c>
      <c r="KG53" s="50">
        <v>9.365124269999999</v>
      </c>
      <c r="KH53" s="50">
        <v>87.128410049999999</v>
      </c>
      <c r="KI53" s="50">
        <v>109.52632539999999</v>
      </c>
      <c r="KJ53" s="50">
        <v>13.421681880000001</v>
      </c>
      <c r="KK53" s="50">
        <v>122.94800727999997</v>
      </c>
      <c r="KL53" s="50">
        <v>70.96358908000002</v>
      </c>
      <c r="KM53" s="50">
        <v>8.7698128800000017</v>
      </c>
      <c r="KN53" s="50">
        <v>79.733401959999995</v>
      </c>
      <c r="KO53" s="50">
        <v>73.316801039999945</v>
      </c>
      <c r="KP53" s="50">
        <v>9.1445921800000018</v>
      </c>
      <c r="KQ53" s="50">
        <v>82.461393219999991</v>
      </c>
      <c r="KR53" s="50">
        <f t="shared" si="48"/>
        <v>1018.0887177100002</v>
      </c>
      <c r="KS53" s="50">
        <f t="shared" si="39"/>
        <v>106.28580454999999</v>
      </c>
      <c r="KT53" s="50">
        <f t="shared" si="49"/>
        <v>1124.3745222599998</v>
      </c>
      <c r="KU53" s="50">
        <f t="shared" si="98"/>
        <v>1018.1479580000001</v>
      </c>
      <c r="KV53" s="50">
        <f>KV54+KV55+KV56</f>
        <v>106.32899099999999</v>
      </c>
      <c r="KW53" s="50">
        <f>KW54+KW55+KW56</f>
        <v>1124.4769490000001</v>
      </c>
      <c r="KX53" s="50">
        <v>88.276898549999999</v>
      </c>
      <c r="KY53" s="50">
        <v>6.4338477000000003</v>
      </c>
      <c r="KZ53" s="50">
        <v>94.710746249999985</v>
      </c>
      <c r="LA53" s="50">
        <v>101.42728069000002</v>
      </c>
      <c r="LB53" s="50">
        <v>7.5076911500000003</v>
      </c>
      <c r="LC53" s="50">
        <v>108.93497183999999</v>
      </c>
      <c r="LD53" s="50">
        <v>84.398724939999965</v>
      </c>
      <c r="LE53" s="50">
        <v>8.6202890100000005</v>
      </c>
      <c r="LF53" s="87">
        <v>93.019013949999987</v>
      </c>
      <c r="LG53" s="50">
        <v>118.94042245999999</v>
      </c>
      <c r="LH53" s="50">
        <v>10.394865269999997</v>
      </c>
      <c r="LI53" s="175">
        <v>129.33528772999995</v>
      </c>
      <c r="LJ53" s="174">
        <v>75.616366860000014</v>
      </c>
      <c r="LK53" s="50">
        <v>6.185840129999999</v>
      </c>
      <c r="LL53" s="174">
        <v>81.802206989999988</v>
      </c>
      <c r="LM53" s="50">
        <v>124.17700146000001</v>
      </c>
      <c r="LN53" s="50">
        <v>5.8372962900000003</v>
      </c>
      <c r="LO53" s="50">
        <v>130.01429775000003</v>
      </c>
      <c r="LP53" s="44">
        <v>91.829985990000011</v>
      </c>
      <c r="LQ53" s="44">
        <v>9.1851169200000022</v>
      </c>
      <c r="LR53" s="44">
        <v>101.01510291</v>
      </c>
      <c r="LS53" s="52">
        <v>49.825286029999994</v>
      </c>
      <c r="LT53" s="44">
        <v>17.133335470000002</v>
      </c>
      <c r="LU53" s="52">
        <v>66.958621500000007</v>
      </c>
      <c r="LV53" s="44">
        <v>81.485130129999959</v>
      </c>
      <c r="LW53" s="44">
        <v>12.300588590000004</v>
      </c>
      <c r="LX53" s="44">
        <v>93.78571872000002</v>
      </c>
      <c r="LY53" s="44">
        <v>118.58810573000001</v>
      </c>
      <c r="LZ53" s="44">
        <v>10.116866509999999</v>
      </c>
      <c r="MA53" s="44">
        <v>128.70497223999999</v>
      </c>
      <c r="MB53" s="44">
        <v>78.559443200000018</v>
      </c>
      <c r="MC53" s="44">
        <v>6.5144627000000002</v>
      </c>
      <c r="MD53" s="44">
        <v>85.0739059</v>
      </c>
      <c r="ME53" s="44">
        <v>100.62720228999957</v>
      </c>
      <c r="MF53" s="44">
        <v>11.38184869</v>
      </c>
      <c r="MG53" s="44">
        <v>112.00905097999954</v>
      </c>
      <c r="MH53" s="50">
        <f t="shared" si="66"/>
        <v>1113.7518483299996</v>
      </c>
      <c r="MI53" s="50">
        <f t="shared" si="50"/>
        <v>111.61204842999999</v>
      </c>
      <c r="MJ53" s="50">
        <f t="shared" si="51"/>
        <v>1225.3638967599995</v>
      </c>
      <c r="MK53" s="50">
        <f t="shared" si="99"/>
        <v>1115.3198600000003</v>
      </c>
      <c r="ML53" s="50">
        <f>ML54+ML55+ML56</f>
        <v>111.97706800000002</v>
      </c>
      <c r="MM53" s="50">
        <f>MM54+MM55+MM56</f>
        <v>1227.2969280000002</v>
      </c>
      <c r="MN53" s="44">
        <v>109.67894113</v>
      </c>
      <c r="MO53" s="44">
        <v>6.158745800000001</v>
      </c>
      <c r="MP53" s="44">
        <v>115.83768693</v>
      </c>
      <c r="MQ53" s="44">
        <v>105.15696638</v>
      </c>
      <c r="MR53" s="44">
        <v>10.941970450000001</v>
      </c>
      <c r="MS53" s="44">
        <v>116.09893683000001</v>
      </c>
      <c r="MT53" s="50">
        <v>118.17925462999999</v>
      </c>
      <c r="MU53" s="50">
        <v>6.4629121899999991</v>
      </c>
      <c r="MV53" s="50">
        <v>124.64216681999997</v>
      </c>
      <c r="MW53" s="44">
        <v>125.65829220000002</v>
      </c>
      <c r="MX53" s="44">
        <v>8.8934555700000004</v>
      </c>
      <c r="MY53" s="44">
        <v>134.55174777000005</v>
      </c>
      <c r="MZ53" s="44">
        <v>84.418283859999988</v>
      </c>
      <c r="NA53" s="44">
        <v>8.6934518199999999</v>
      </c>
      <c r="NB53" s="50">
        <v>93.11173568000001</v>
      </c>
      <c r="NC53" s="44">
        <v>186.34368101000001</v>
      </c>
      <c r="ND53" s="44">
        <v>6.2014354399999991</v>
      </c>
      <c r="NE53" s="44">
        <v>192.54511644999997</v>
      </c>
      <c r="NF53" s="44">
        <v>85.986815210000003</v>
      </c>
      <c r="NG53" s="44">
        <v>6.9339509800000014</v>
      </c>
      <c r="NH53" s="44">
        <v>92.920766189999995</v>
      </c>
      <c r="NI53" s="44">
        <v>53.678745200000009</v>
      </c>
      <c r="NJ53" s="44">
        <v>6.2664025300000006</v>
      </c>
      <c r="NK53" s="44">
        <v>59.945147730000002</v>
      </c>
      <c r="NL53" s="44">
        <v>80.755422719999984</v>
      </c>
      <c r="NM53" s="44">
        <v>6.4772749299999992</v>
      </c>
      <c r="NN53" s="44">
        <v>87.232697650000006</v>
      </c>
      <c r="NO53" s="44">
        <v>135.54373763999999</v>
      </c>
      <c r="NP53" s="44">
        <v>11.76547703</v>
      </c>
      <c r="NQ53" s="44">
        <v>147.30921467000002</v>
      </c>
      <c r="NR53" s="44">
        <v>87.148686459999979</v>
      </c>
      <c r="NS53" s="44">
        <v>11.720039079999999</v>
      </c>
      <c r="NT53" s="44">
        <v>98.868725540000028</v>
      </c>
      <c r="NU53" s="44">
        <v>128.12004901</v>
      </c>
      <c r="NV53" s="44">
        <v>13.692546789999998</v>
      </c>
      <c r="NW53" s="44">
        <v>141.81259580000003</v>
      </c>
      <c r="NX53" s="50">
        <f t="shared" si="117"/>
        <v>1300.6688754499999</v>
      </c>
      <c r="NY53" s="50">
        <f t="shared" si="40"/>
        <v>104.20766261</v>
      </c>
      <c r="NZ53" s="50">
        <f t="shared" si="41"/>
        <v>1404.8765380600003</v>
      </c>
      <c r="OA53" s="50">
        <f t="shared" si="100"/>
        <v>1300.74861319</v>
      </c>
      <c r="OB53" s="50">
        <f>OB54+OB55+OB56</f>
        <v>104.33320981</v>
      </c>
      <c r="OC53" s="50">
        <v>1405.081823</v>
      </c>
      <c r="OD53" s="44">
        <v>109.84571479</v>
      </c>
      <c r="OE53" s="44">
        <v>5.7855977200000011</v>
      </c>
      <c r="OF53" s="44">
        <v>115.63131250999999</v>
      </c>
      <c r="OG53" s="50">
        <v>112.22552870999999</v>
      </c>
      <c r="OH53" s="44">
        <v>10.81876787</v>
      </c>
      <c r="OI53" s="44">
        <v>123.04429657999999</v>
      </c>
      <c r="OJ53" s="44">
        <f t="shared" si="107"/>
        <v>99.433707389999981</v>
      </c>
      <c r="OK53" s="44">
        <v>7.7281679699999994</v>
      </c>
      <c r="OL53" s="44">
        <v>107.16187535999998</v>
      </c>
      <c r="OM53" s="44">
        <v>145.20287504999999</v>
      </c>
      <c r="ON53" s="44">
        <v>10.399045659999999</v>
      </c>
      <c r="OO53" s="44">
        <v>155.60192071</v>
      </c>
      <c r="OP53" s="44">
        <v>88.323689189999982</v>
      </c>
      <c r="OQ53" s="44">
        <v>7.1851484300000008</v>
      </c>
      <c r="OR53" s="44">
        <v>95.508837619999966</v>
      </c>
      <c r="OS53" s="44">
        <v>168.70323670000005</v>
      </c>
      <c r="OT53" s="44">
        <v>6.9077952800000002</v>
      </c>
      <c r="OU53" s="44">
        <v>175.61103198000004</v>
      </c>
      <c r="OV53" s="44">
        <v>155.73211390999998</v>
      </c>
      <c r="OW53" s="44">
        <v>11.82971472</v>
      </c>
      <c r="OX53" s="44">
        <v>167.56182863000006</v>
      </c>
      <c r="OY53" s="95">
        <v>59.676543700000018</v>
      </c>
      <c r="OZ53" s="95">
        <v>13.810525930000001</v>
      </c>
      <c r="PA53" s="95">
        <v>73.487069630000036</v>
      </c>
      <c r="PB53" s="44">
        <v>100.66365116999999</v>
      </c>
      <c r="PC53" s="44">
        <v>9.9739008899999977</v>
      </c>
      <c r="PD53" s="44">
        <v>110.63755205999998</v>
      </c>
      <c r="PE53" s="44">
        <v>166.07048903999998</v>
      </c>
      <c r="PF53" s="44">
        <v>10.5666878</v>
      </c>
      <c r="PG53" s="44">
        <v>176.63717684</v>
      </c>
      <c r="PH53" s="44">
        <v>96.638369010000034</v>
      </c>
      <c r="PI53" s="44">
        <v>9.002855760000001</v>
      </c>
      <c r="PJ53" s="44">
        <v>105.64122477000005</v>
      </c>
      <c r="PK53" s="44">
        <v>109.81863054999997</v>
      </c>
      <c r="PL53" s="44">
        <v>13.647508329999997</v>
      </c>
      <c r="PM53" s="44">
        <v>123.46613887999999</v>
      </c>
      <c r="PN53" s="50">
        <f t="shared" si="122"/>
        <v>1412.3345492100002</v>
      </c>
      <c r="PO53" s="50">
        <f t="shared" si="108"/>
        <v>117.65571635999999</v>
      </c>
      <c r="PP53" s="50">
        <f t="shared" si="116"/>
        <v>1529.99026557</v>
      </c>
      <c r="PQ53" s="50">
        <f t="shared" si="118"/>
        <v>1412.4498376399999</v>
      </c>
      <c r="PR53" s="50">
        <f>PR54+PR55+PR56</f>
        <v>117.65571636</v>
      </c>
      <c r="PS53" s="50">
        <v>1530.105554</v>
      </c>
      <c r="PT53" s="44">
        <v>116.38651818999998</v>
      </c>
      <c r="PU53" s="44">
        <v>5.8225769599999984</v>
      </c>
      <c r="PV53" s="44">
        <v>122.20909514999994</v>
      </c>
      <c r="PW53" s="44">
        <v>113.49439383000001</v>
      </c>
      <c r="PX53" s="44">
        <v>11.744872700000002</v>
      </c>
      <c r="PY53" s="44">
        <v>125.23926653000001</v>
      </c>
      <c r="PZ53" s="44">
        <v>101.63749711000001</v>
      </c>
      <c r="QA53" s="44">
        <v>10.385044209999997</v>
      </c>
      <c r="QB53" s="44">
        <v>112.02254132000006</v>
      </c>
      <c r="QC53" s="44">
        <v>158.24898671999995</v>
      </c>
      <c r="QD53" s="44">
        <v>12.831647850000001</v>
      </c>
      <c r="QE53" s="44">
        <v>171.08063456999989</v>
      </c>
      <c r="QF53" s="50">
        <v>99.302925559999977</v>
      </c>
      <c r="QG53" s="44">
        <v>7.1282449099999994</v>
      </c>
      <c r="QH53" s="44">
        <v>106.43117046999997</v>
      </c>
      <c r="QI53" s="50">
        <v>193.54411560999986</v>
      </c>
      <c r="QJ53" s="44">
        <v>9.3286338499999992</v>
      </c>
      <c r="QK53" s="44">
        <v>202.87274945999985</v>
      </c>
      <c r="QL53" s="44">
        <v>107.31751521000002</v>
      </c>
      <c r="QM53" s="44">
        <v>18.740071840000002</v>
      </c>
      <c r="QN53" s="44">
        <v>126.05758705000005</v>
      </c>
      <c r="QO53" s="50">
        <v>48.045147579999991</v>
      </c>
      <c r="QP53" s="44">
        <v>18.165658130000001</v>
      </c>
      <c r="QQ53" s="44">
        <v>66.210805709999988</v>
      </c>
      <c r="QR53" s="44">
        <v>81.337848510000015</v>
      </c>
      <c r="QS53" s="44">
        <v>8.7073726999999987</v>
      </c>
      <c r="QT53" s="44">
        <v>90.045221210000008</v>
      </c>
      <c r="QU53" s="50">
        <v>180.47361579000017</v>
      </c>
      <c r="QV53" s="44">
        <v>11.359891210000006</v>
      </c>
      <c r="QW53" s="44">
        <v>191.83350700000017</v>
      </c>
      <c r="QX53" s="50">
        <v>105.75113842999991</v>
      </c>
      <c r="QY53" s="44">
        <v>7.9378266500000025</v>
      </c>
      <c r="QZ53" s="44">
        <v>113.68896507999992</v>
      </c>
      <c r="RA53" s="50">
        <v>105.99308834999998</v>
      </c>
      <c r="RB53" s="44">
        <v>13.846086110000003</v>
      </c>
      <c r="RC53" s="44">
        <v>119.83917445999998</v>
      </c>
      <c r="RD53" s="50">
        <f t="shared" si="52"/>
        <v>1411.5327908899997</v>
      </c>
      <c r="RE53" s="50">
        <f t="shared" si="53"/>
        <v>135.99792712000001</v>
      </c>
      <c r="RF53" s="50">
        <f t="shared" si="54"/>
        <v>1547.5307180099999</v>
      </c>
      <c r="RG53" s="50">
        <f t="shared" si="119"/>
        <v>1411.8004960000001</v>
      </c>
      <c r="RH53" s="50">
        <f>RH54+RH55+RH56</f>
        <v>136.03614400000001</v>
      </c>
      <c r="RI53" s="50">
        <f>RI54+RI55+RI56</f>
        <v>1547.83664</v>
      </c>
      <c r="RJ53" s="50">
        <v>135.54362233999998</v>
      </c>
      <c r="RK53" s="50">
        <v>5.78770279</v>
      </c>
      <c r="RL53" s="50">
        <v>141.33132512999993</v>
      </c>
      <c r="RM53" s="50">
        <v>121.04178727999998</v>
      </c>
      <c r="RN53" s="50">
        <v>8.7696073699999992</v>
      </c>
      <c r="RO53" s="50">
        <v>129.81139464999995</v>
      </c>
      <c r="RP53" s="50">
        <v>121.61983559999983</v>
      </c>
      <c r="RQ53" s="50">
        <v>8.9631959600000037</v>
      </c>
      <c r="RR53" s="50">
        <v>130.58303155999982</v>
      </c>
      <c r="RS53" s="50">
        <v>191.18755601999996</v>
      </c>
      <c r="RT53" s="50">
        <v>6.0609961499999994</v>
      </c>
      <c r="RU53" s="50">
        <v>197.24855216999995</v>
      </c>
      <c r="RV53" s="50">
        <v>105.59304908999999</v>
      </c>
      <c r="RW53" s="50">
        <v>3.4530454000000002</v>
      </c>
      <c r="RX53" s="50">
        <v>109.04609448999999</v>
      </c>
      <c r="RY53" s="50">
        <v>215.70670594999999</v>
      </c>
      <c r="RZ53" s="50">
        <v>4.4863820499999996</v>
      </c>
      <c r="SA53" s="50">
        <v>220.19308799999999</v>
      </c>
      <c r="SB53" s="50">
        <v>100.25927089000005</v>
      </c>
      <c r="SC53" s="50">
        <v>19.632337109999998</v>
      </c>
      <c r="SD53" s="50">
        <v>119.89160800000005</v>
      </c>
      <c r="SE53" s="50">
        <v>46.945995360000005</v>
      </c>
      <c r="SF53" s="50">
        <v>4.6048851799999992</v>
      </c>
      <c r="SG53" s="50">
        <v>51.550880540000001</v>
      </c>
      <c r="SH53" s="50">
        <v>86.641641920000026</v>
      </c>
      <c r="SI53" s="50">
        <v>10.41025615</v>
      </c>
      <c r="SJ53" s="50">
        <v>97.051898070000021</v>
      </c>
      <c r="SK53" s="50">
        <v>170.00997705999998</v>
      </c>
      <c r="SL53" s="50">
        <v>5.3996611099999985</v>
      </c>
      <c r="SM53" s="50">
        <v>175.40963816999997</v>
      </c>
      <c r="SN53" s="50">
        <v>140.15479116</v>
      </c>
      <c r="SO53" s="50">
        <v>6.0229144300000019</v>
      </c>
      <c r="SP53" s="50">
        <v>146.17770559000002</v>
      </c>
      <c r="SQ53" s="50">
        <v>136.03424844</v>
      </c>
      <c r="SR53" s="50">
        <v>10.093043120000001</v>
      </c>
      <c r="SS53" s="50">
        <v>146.12729156</v>
      </c>
      <c r="ST53" s="50">
        <f t="shared" si="55"/>
        <v>1570.7384811099998</v>
      </c>
      <c r="SU53" s="50">
        <f t="shared" si="65"/>
        <v>93.684026819999985</v>
      </c>
      <c r="SV53" s="50">
        <f t="shared" si="56"/>
        <v>1664.4225079299997</v>
      </c>
      <c r="SW53" s="50">
        <f t="shared" si="103"/>
        <v>1570.796965</v>
      </c>
      <c r="SX53" s="50">
        <f>SX54+SX55+SX56</f>
        <v>93.625861</v>
      </c>
      <c r="SY53" s="50">
        <f>SY54+SY55+SY56</f>
        <v>1664.422826</v>
      </c>
      <c r="SZ53" s="50">
        <v>143.29631651000003</v>
      </c>
      <c r="TA53" s="50">
        <v>6.4136387900000003</v>
      </c>
      <c r="TB53" s="50">
        <v>149.70995530000002</v>
      </c>
      <c r="TC53" s="50">
        <v>132.06388928999993</v>
      </c>
      <c r="TD53" s="50">
        <v>13.061275750000004</v>
      </c>
      <c r="TE53" s="50">
        <v>145.12516503999993</v>
      </c>
      <c r="TF53" s="50">
        <v>121.75265947999996</v>
      </c>
      <c r="TG53" s="50">
        <v>10.60834612</v>
      </c>
      <c r="TH53" s="50">
        <v>132.36100559999997</v>
      </c>
      <c r="TI53" s="50">
        <v>178.20020251</v>
      </c>
      <c r="TJ53" s="50">
        <v>7.1232970099999999</v>
      </c>
      <c r="TK53" s="50">
        <v>185.32349951999998</v>
      </c>
      <c r="TL53" s="50">
        <v>156.00963174999993</v>
      </c>
      <c r="TM53" s="50">
        <v>8.8179003300000005</v>
      </c>
      <c r="TN53" s="50">
        <v>164.82753207999994</v>
      </c>
      <c r="TO53" s="50">
        <v>273.68648196000015</v>
      </c>
      <c r="TP53" s="50">
        <v>19.58249344</v>
      </c>
      <c r="TQ53" s="50">
        <v>293.26897540000016</v>
      </c>
      <c r="TR53" s="50">
        <v>111.53663452000001</v>
      </c>
      <c r="TS53" s="50">
        <v>21.340408930000002</v>
      </c>
      <c r="TT53" s="50">
        <v>132.87704345</v>
      </c>
      <c r="TU53" s="50">
        <v>55.364020939999961</v>
      </c>
      <c r="TV53" s="50">
        <v>18.059492430000002</v>
      </c>
      <c r="TW53" s="50">
        <v>73.423513369999966</v>
      </c>
      <c r="TX53" s="50">
        <v>155.62680787999994</v>
      </c>
      <c r="TY53" s="50">
        <v>16.21046716</v>
      </c>
      <c r="TZ53" s="50">
        <v>171.83727503999995</v>
      </c>
      <c r="UA53" s="50">
        <v>156.30934123999992</v>
      </c>
      <c r="UB53" s="50">
        <v>12.281688390000003</v>
      </c>
      <c r="UC53" s="50">
        <v>168.59102962999992</v>
      </c>
      <c r="UD53" s="50">
        <v>112.89016312999999</v>
      </c>
      <c r="UE53" s="50">
        <v>9.4365342199999969</v>
      </c>
      <c r="UF53" s="50">
        <v>122.32669734999999</v>
      </c>
      <c r="UG53" s="50">
        <v>121.26357961000011</v>
      </c>
      <c r="UH53" s="50">
        <v>12.13314227</v>
      </c>
      <c r="UI53" s="50">
        <v>133.39672188000011</v>
      </c>
      <c r="UJ53" s="50">
        <f t="shared" si="45"/>
        <v>1717.99972882</v>
      </c>
      <c r="UK53" s="50">
        <f t="shared" si="15"/>
        <v>155.06868484000003</v>
      </c>
      <c r="UL53" s="50">
        <f t="shared" si="16"/>
        <v>1873.0684136599996</v>
      </c>
      <c r="UM53" s="50">
        <v>164.83895235000006</v>
      </c>
      <c r="UN53" s="50">
        <v>14.851034490000004</v>
      </c>
      <c r="UO53" s="50">
        <v>179.68998684000007</v>
      </c>
      <c r="UP53" s="50">
        <v>145.76284369999996</v>
      </c>
      <c r="UQ53" s="50">
        <v>12.371827410000002</v>
      </c>
      <c r="UR53" s="50">
        <v>158.13467110999997</v>
      </c>
      <c r="US53" s="50">
        <v>128.6462487</v>
      </c>
      <c r="UT53" s="50">
        <v>19.448909579999999</v>
      </c>
      <c r="UU53" s="50">
        <v>148.09515827999999</v>
      </c>
      <c r="UV53" s="50">
        <v>188.19548847999999</v>
      </c>
      <c r="UW53" s="50">
        <v>14.457999490000002</v>
      </c>
      <c r="UX53" s="50">
        <v>202.65348796999999</v>
      </c>
      <c r="UY53" s="50"/>
      <c r="UZ53" s="50"/>
      <c r="VA53" s="50"/>
      <c r="VB53" s="50"/>
      <c r="VC53" s="50"/>
      <c r="VD53" s="50"/>
      <c r="VE53" s="50"/>
      <c r="VF53" s="50"/>
      <c r="VG53" s="50"/>
      <c r="VH53" s="50"/>
      <c r="VI53" s="50"/>
      <c r="VJ53" s="50"/>
      <c r="VK53" s="50"/>
      <c r="VL53" s="50"/>
      <c r="VM53" s="50"/>
      <c r="VN53" s="50"/>
      <c r="VO53" s="50"/>
      <c r="VP53" s="50"/>
      <c r="VQ53" s="50"/>
      <c r="VR53" s="50"/>
      <c r="VS53" s="50"/>
      <c r="VT53" s="50"/>
      <c r="VU53" s="50"/>
      <c r="VV53" s="50"/>
      <c r="VW53" s="276">
        <f t="shared" si="57"/>
        <v>575.31306800000004</v>
      </c>
      <c r="VX53" s="292">
        <f t="shared" si="58"/>
        <v>37.206558000000001</v>
      </c>
      <c r="VY53" s="292">
        <f t="shared" si="59"/>
        <v>612.51962500000002</v>
      </c>
      <c r="VZ53" s="276">
        <f t="shared" si="60"/>
        <v>627.443533</v>
      </c>
      <c r="WA53" s="292">
        <f t="shared" si="61"/>
        <v>61.129770999999998</v>
      </c>
      <c r="WB53" s="292">
        <f t="shared" si="62"/>
        <v>688.57330400000001</v>
      </c>
      <c r="WC53" s="277">
        <f t="shared" si="112"/>
        <v>76.053678999999988</v>
      </c>
      <c r="WD53" s="277">
        <f t="shared" si="104"/>
        <v>12.416529347937228</v>
      </c>
    </row>
    <row r="54" spans="1:602" s="12" customFormat="1" ht="20.5">
      <c r="A54" s="314" t="s">
        <v>208</v>
      </c>
      <c r="B54" s="13">
        <v>7120</v>
      </c>
      <c r="C54" s="47" t="s">
        <v>209</v>
      </c>
      <c r="D54" s="45">
        <v>23.943120699369956</v>
      </c>
      <c r="E54" s="42">
        <v>23.89274961440174</v>
      </c>
      <c r="F54" s="42">
        <v>23.943391045013975</v>
      </c>
      <c r="G54" s="42">
        <v>23.281173698499156</v>
      </c>
      <c r="H54" s="42">
        <v>1.6486331893387061</v>
      </c>
      <c r="I54" s="42">
        <v>1.7968238655443054</v>
      </c>
      <c r="J54" s="42">
        <v>1.8599965281927819</v>
      </c>
      <c r="K54" s="42">
        <v>1.8240206373327417</v>
      </c>
      <c r="L54" s="42">
        <v>1.7814227010660157</v>
      </c>
      <c r="M54" s="42">
        <v>1.7743865999624364</v>
      </c>
      <c r="N54" s="42">
        <v>1.8021382917570192</v>
      </c>
      <c r="O54" s="42">
        <v>1.7920672050813597</v>
      </c>
      <c r="P54" s="42">
        <v>1.8130374898264667</v>
      </c>
      <c r="Q54" s="42">
        <v>1.804707998247022</v>
      </c>
      <c r="R54" s="42">
        <v>1.804114660701988</v>
      </c>
      <c r="S54" s="42">
        <v>1.7861793615289612</v>
      </c>
      <c r="T54" s="44" t="s">
        <v>46</v>
      </c>
      <c r="U54" s="44" t="s">
        <v>46</v>
      </c>
      <c r="V54" s="42">
        <v>21.487528528579801</v>
      </c>
      <c r="W54" s="42">
        <v>21.487528528579805</v>
      </c>
      <c r="X54" s="42">
        <v>1.8222420475694503</v>
      </c>
      <c r="Y54" s="42">
        <v>1.7449413634526838</v>
      </c>
      <c r="Z54" s="42">
        <v>1.7557838316230414</v>
      </c>
      <c r="AA54" s="42">
        <v>1.7476655795926033</v>
      </c>
      <c r="AB54" s="42">
        <v>1.7427860399200914</v>
      </c>
      <c r="AC54" s="42">
        <v>3.4090756455569404</v>
      </c>
      <c r="AD54" s="42">
        <v>1.8277386013739252</v>
      </c>
      <c r="AE54" s="42">
        <v>2.5305234460816957</v>
      </c>
      <c r="AF54" s="42">
        <v>2.1481494129230909</v>
      </c>
      <c r="AG54" s="42">
        <v>2.1390046157961535</v>
      </c>
      <c r="AH54" s="42">
        <v>2.1465543736233714</v>
      </c>
      <c r="AI54" s="42">
        <v>2.1587028531425547</v>
      </c>
      <c r="AJ54" s="42">
        <v>24.233720468295601</v>
      </c>
      <c r="AK54" s="42">
        <v>0.93944705778566995</v>
      </c>
      <c r="AL54" s="42">
        <v>25.173167810655599</v>
      </c>
      <c r="AM54" s="42">
        <v>25.380906810359999</v>
      </c>
      <c r="AN54" s="42">
        <v>2.0945612147910371</v>
      </c>
      <c r="AO54" s="42">
        <v>2.1480631442052123</v>
      </c>
      <c r="AP54" s="42">
        <v>2.3381824804639701</v>
      </c>
      <c r="AQ54" s="42">
        <v>2.2473947217147314</v>
      </c>
      <c r="AR54" s="42">
        <v>2.3110051451044673</v>
      </c>
      <c r="AS54" s="42">
        <v>2.3340118866711062</v>
      </c>
      <c r="AT54" s="42">
        <v>2.3395583975048519</v>
      </c>
      <c r="AU54" s="42">
        <v>2.3436036220624814</v>
      </c>
      <c r="AV54" s="42">
        <v>2.3538298017654991</v>
      </c>
      <c r="AW54" s="42">
        <v>2.3739164831162034</v>
      </c>
      <c r="AX54" s="42">
        <v>2.3401175861264307</v>
      </c>
      <c r="AY54" s="42">
        <v>3.1462456104404639</v>
      </c>
      <c r="AZ54" s="42">
        <v>27.228267938144899</v>
      </c>
      <c r="BA54" s="42">
        <v>1.1422221558215337</v>
      </c>
      <c r="BB54" s="42">
        <v>28.370490093966453</v>
      </c>
      <c r="BC54" s="42">
        <f t="shared" si="21"/>
        <v>27.228268478836206</v>
      </c>
      <c r="BD54" s="42">
        <v>1.1422217289599945</v>
      </c>
      <c r="BE54" s="42">
        <v>28.370490207796202</v>
      </c>
      <c r="BF54" s="44">
        <v>17.38575419</v>
      </c>
      <c r="BG54" s="44">
        <v>7.0817790000000005E-2</v>
      </c>
      <c r="BH54" s="44">
        <f>BF54+BG54</f>
        <v>17.45657198</v>
      </c>
      <c r="BI54" s="42">
        <v>17.392993969999999</v>
      </c>
      <c r="BJ54" s="42">
        <v>8.3674940000000003E-2</v>
      </c>
      <c r="BK54" s="44">
        <f>BI54+BJ54</f>
        <v>17.476668910000001</v>
      </c>
      <c r="BL54" s="44">
        <v>17.285552760000002</v>
      </c>
      <c r="BM54" s="44">
        <v>5.030076E-2</v>
      </c>
      <c r="BN54" s="44">
        <f>BL54+BM54</f>
        <v>17.335853520000001</v>
      </c>
      <c r="BO54" s="44">
        <v>17.390915289999999</v>
      </c>
      <c r="BP54" s="44">
        <v>5.7592890000000001E-2</v>
      </c>
      <c r="BQ54" s="44">
        <f>BO54+BP54</f>
        <v>17.448508179999997</v>
      </c>
      <c r="BR54" s="44">
        <v>17.366774579999998</v>
      </c>
      <c r="BS54" s="44">
        <v>5.1319199999999995E-2</v>
      </c>
      <c r="BT54" s="44">
        <f>BR54+BS54</f>
        <v>17.418093779999996</v>
      </c>
      <c r="BU54" s="44">
        <v>17.338280309999998</v>
      </c>
      <c r="BV54" s="44">
        <v>5.7421440000000004E-2</v>
      </c>
      <c r="BW54" s="44">
        <f>BU54+BV54</f>
        <v>17.395701749999997</v>
      </c>
      <c r="BX54" s="44">
        <v>17.385339179999999</v>
      </c>
      <c r="BY54" s="44">
        <v>5.7930639999999999E-2</v>
      </c>
      <c r="BZ54" s="44">
        <f>BX54+BY54</f>
        <v>17.443269819999998</v>
      </c>
      <c r="CA54" s="44">
        <v>17.36924836</v>
      </c>
      <c r="CB54" s="44">
        <v>6.3449909999999998E-2</v>
      </c>
      <c r="CC54" s="44">
        <f>CA54+CB54</f>
        <v>17.432698269999999</v>
      </c>
      <c r="CD54" s="44">
        <v>18.876555579999998</v>
      </c>
      <c r="CE54" s="44">
        <v>4.9617290000000001E-2</v>
      </c>
      <c r="CF54" s="44">
        <f>CD54+CE54</f>
        <v>18.926172869999998</v>
      </c>
      <c r="CG54" s="44">
        <v>17.43295423</v>
      </c>
      <c r="CH54" s="44">
        <v>5.6665140000000003E-2</v>
      </c>
      <c r="CI54" s="44">
        <f>CG54+CH54</f>
        <v>17.48961937</v>
      </c>
      <c r="CJ54" s="42">
        <v>17.245038910000002</v>
      </c>
      <c r="CK54" s="42">
        <v>5.5156219999999999E-2</v>
      </c>
      <c r="CL54" s="44">
        <f>CJ54+CK54</f>
        <v>17.300195130000002</v>
      </c>
      <c r="CM54" s="42">
        <v>18.560029100000001</v>
      </c>
      <c r="CN54" s="42">
        <v>9.8147720000000008E-2</v>
      </c>
      <c r="CO54" s="44">
        <f>CM54+CN54</f>
        <v>18.658176820000001</v>
      </c>
      <c r="CP54" s="44">
        <f t="shared" si="24"/>
        <v>211.02943646000003</v>
      </c>
      <c r="CQ54" s="44">
        <f t="shared" si="25"/>
        <v>0.75209394000000007</v>
      </c>
      <c r="CR54" s="44">
        <f t="shared" si="26"/>
        <v>211.78153039999998</v>
      </c>
      <c r="CS54" s="42">
        <f t="shared" si="123"/>
        <v>211.029436</v>
      </c>
      <c r="CT54" s="42">
        <v>0.75209400000000004</v>
      </c>
      <c r="CU54" s="42">
        <v>211.78153</v>
      </c>
      <c r="CV54" s="42">
        <v>17.417797920000002</v>
      </c>
      <c r="CW54" s="42"/>
      <c r="CX54" s="44">
        <f>CV54+CW54</f>
        <v>17.417797920000002</v>
      </c>
      <c r="CY54" s="42">
        <v>17.40752226</v>
      </c>
      <c r="CZ54" s="42">
        <v>0</v>
      </c>
      <c r="DA54" s="44">
        <v>17.40752226</v>
      </c>
      <c r="DB54" s="42">
        <v>17.411966750000001</v>
      </c>
      <c r="DC54" s="42">
        <v>0</v>
      </c>
      <c r="DD54" s="44">
        <v>17.411966750000001</v>
      </c>
      <c r="DE54" s="42">
        <v>17.420681569999999</v>
      </c>
      <c r="DF54" s="42">
        <v>0</v>
      </c>
      <c r="DG54" s="44">
        <v>17.420681569999999</v>
      </c>
      <c r="DH54" s="42">
        <v>17.415094460000002</v>
      </c>
      <c r="DI54" s="42">
        <v>0</v>
      </c>
      <c r="DJ54" s="44">
        <v>17.415094460000002</v>
      </c>
      <c r="DK54" s="42">
        <v>15.38691429</v>
      </c>
      <c r="DL54" s="42">
        <v>0</v>
      </c>
      <c r="DM54" s="44">
        <v>15.38691429</v>
      </c>
      <c r="DN54" s="42">
        <v>17.416137429999999</v>
      </c>
      <c r="DO54" s="42">
        <v>0</v>
      </c>
      <c r="DP54" s="44">
        <v>17.416137429999999</v>
      </c>
      <c r="DQ54" s="42">
        <v>17.420047649999997</v>
      </c>
      <c r="DR54" s="42">
        <v>0</v>
      </c>
      <c r="DS54" s="44">
        <v>17.420047649999997</v>
      </c>
      <c r="DT54" s="42">
        <v>17.069017849999998</v>
      </c>
      <c r="DU54" s="42">
        <v>0</v>
      </c>
      <c r="DV54" s="44">
        <v>17.069017849999998</v>
      </c>
      <c r="DW54" s="42">
        <v>17.410994690000003</v>
      </c>
      <c r="DX54" s="42">
        <v>0</v>
      </c>
      <c r="DY54" s="44">
        <v>17.410994690000003</v>
      </c>
      <c r="DZ54" s="42">
        <v>17.347805210000001</v>
      </c>
      <c r="EA54" s="42">
        <v>0</v>
      </c>
      <c r="EB54" s="44">
        <v>17.347805210000001</v>
      </c>
      <c r="EC54" s="42">
        <v>16.707252149999999</v>
      </c>
      <c r="ED54" s="42">
        <v>0</v>
      </c>
      <c r="EE54" s="44">
        <v>16.707252149999999</v>
      </c>
      <c r="EF54" s="50">
        <f t="shared" si="27"/>
        <v>205.83123222999996</v>
      </c>
      <c r="EG54" s="50">
        <f t="shared" si="28"/>
        <v>0</v>
      </c>
      <c r="EH54" s="50">
        <f t="shared" si="29"/>
        <v>205.83123222999996</v>
      </c>
      <c r="EI54" s="50">
        <f t="shared" si="94"/>
        <v>205.83123222999996</v>
      </c>
      <c r="EJ54" s="50"/>
      <c r="EK54" s="50">
        <v>205.83123222999996</v>
      </c>
      <c r="EL54" s="50">
        <v>15.850774139999999</v>
      </c>
      <c r="EM54" s="50">
        <v>0</v>
      </c>
      <c r="EN54" s="50">
        <v>15.850774139999999</v>
      </c>
      <c r="EO54" s="50">
        <v>15.645520830000001</v>
      </c>
      <c r="EP54" s="50">
        <v>0</v>
      </c>
      <c r="EQ54" s="50">
        <v>15.645520830000001</v>
      </c>
      <c r="ER54" s="50">
        <v>15.72433066</v>
      </c>
      <c r="ES54" s="50">
        <v>0</v>
      </c>
      <c r="ET54" s="50">
        <v>15.72433066</v>
      </c>
      <c r="EU54" s="50">
        <v>15.75511753</v>
      </c>
      <c r="EV54" s="50">
        <v>0</v>
      </c>
      <c r="EW54" s="50">
        <v>15.755117530000001</v>
      </c>
      <c r="EX54" s="50">
        <v>15.750644010000002</v>
      </c>
      <c r="EY54" s="50">
        <v>0</v>
      </c>
      <c r="EZ54" s="50">
        <v>15.750644010000002</v>
      </c>
      <c r="FA54" s="50">
        <v>15.754879170000001</v>
      </c>
      <c r="FB54" s="50">
        <v>0</v>
      </c>
      <c r="FC54" s="50">
        <v>15.754879170000001</v>
      </c>
      <c r="FD54" s="50">
        <v>15.963807270000002</v>
      </c>
      <c r="FE54" s="50">
        <v>0</v>
      </c>
      <c r="FF54" s="50">
        <v>15.963807270000002</v>
      </c>
      <c r="FG54" s="50">
        <v>15.962297590000002</v>
      </c>
      <c r="FH54" s="50">
        <v>0</v>
      </c>
      <c r="FI54" s="50">
        <v>15.962297590000002</v>
      </c>
      <c r="FJ54" s="50">
        <v>14.297422090000001</v>
      </c>
      <c r="FK54" s="50">
        <v>0</v>
      </c>
      <c r="FL54" s="50">
        <v>14.297422090000001</v>
      </c>
      <c r="FM54" s="50">
        <v>16.18735831</v>
      </c>
      <c r="FN54" s="50">
        <v>0</v>
      </c>
      <c r="FO54" s="50">
        <v>16.18735831</v>
      </c>
      <c r="FP54" s="50">
        <v>17.190620680000002</v>
      </c>
      <c r="FQ54" s="50">
        <v>0</v>
      </c>
      <c r="FR54" s="50">
        <v>17.190620680000002</v>
      </c>
      <c r="FS54" s="50">
        <v>13.97704573</v>
      </c>
      <c r="FT54" s="50">
        <v>0</v>
      </c>
      <c r="FU54" s="50">
        <v>13.97704573</v>
      </c>
      <c r="FV54" s="50">
        <f t="shared" si="30"/>
        <v>188.05981801000001</v>
      </c>
      <c r="FW54" s="50">
        <f t="shared" si="31"/>
        <v>0</v>
      </c>
      <c r="FX54" s="50">
        <f t="shared" si="32"/>
        <v>188.05981801000001</v>
      </c>
      <c r="FY54" s="50">
        <f t="shared" si="95"/>
        <v>188.11876699999999</v>
      </c>
      <c r="FZ54" s="50"/>
      <c r="GA54" s="50">
        <f>188.059819+0.058948</f>
        <v>188.11876699999999</v>
      </c>
      <c r="GB54" s="50">
        <v>15.021943270000001</v>
      </c>
      <c r="GC54" s="50">
        <v>0</v>
      </c>
      <c r="GD54" s="50">
        <v>15.021943270000001</v>
      </c>
      <c r="GE54" s="50">
        <v>15.005475720000002</v>
      </c>
      <c r="GF54" s="50">
        <v>0</v>
      </c>
      <c r="GG54" s="50">
        <v>15.005475720000002</v>
      </c>
      <c r="GH54" s="50">
        <v>14.927203190000002</v>
      </c>
      <c r="GI54" s="50">
        <v>0</v>
      </c>
      <c r="GJ54" s="50">
        <v>14.927203190000002</v>
      </c>
      <c r="GK54" s="50">
        <v>14.941481609999999</v>
      </c>
      <c r="GL54" s="50">
        <v>0</v>
      </c>
      <c r="GM54" s="50">
        <v>14.941481609999999</v>
      </c>
      <c r="GN54" s="50">
        <v>14.93547377</v>
      </c>
      <c r="GO54" s="50">
        <v>0</v>
      </c>
      <c r="GP54" s="50">
        <v>14.93547377</v>
      </c>
      <c r="GQ54" s="50">
        <v>14.92383924</v>
      </c>
      <c r="GR54" s="50">
        <v>0</v>
      </c>
      <c r="GS54" s="50">
        <v>14.92383924</v>
      </c>
      <c r="GT54" s="50">
        <v>14.934018440000001</v>
      </c>
      <c r="GU54" s="50">
        <v>0</v>
      </c>
      <c r="GV54" s="50">
        <v>14.934018440000001</v>
      </c>
      <c r="GW54" s="50">
        <v>14.93195235</v>
      </c>
      <c r="GX54" s="50">
        <v>0</v>
      </c>
      <c r="GY54" s="50">
        <v>14.93195235</v>
      </c>
      <c r="GZ54" s="50">
        <v>14.923991760000002</v>
      </c>
      <c r="HA54" s="50">
        <v>0</v>
      </c>
      <c r="HB54" s="50">
        <v>14.923991760000002</v>
      </c>
      <c r="HC54" s="50">
        <v>14.932675400000003</v>
      </c>
      <c r="HD54" s="50">
        <v>0</v>
      </c>
      <c r="HE54" s="50">
        <v>14.932675400000003</v>
      </c>
      <c r="HF54" s="50">
        <v>14.932753910000001</v>
      </c>
      <c r="HG54" s="50">
        <v>0</v>
      </c>
      <c r="HH54" s="50">
        <v>14.932753910000001</v>
      </c>
      <c r="HI54" s="50">
        <v>14.912214670000003</v>
      </c>
      <c r="HJ54" s="50">
        <v>0</v>
      </c>
      <c r="HK54" s="50">
        <v>14.912214670000003</v>
      </c>
      <c r="HL54" s="50">
        <f t="shared" si="33"/>
        <v>179.32302333000001</v>
      </c>
      <c r="HM54" s="50">
        <f t="shared" si="34"/>
        <v>0</v>
      </c>
      <c r="HN54" s="50">
        <f t="shared" si="35"/>
        <v>179.32302333000001</v>
      </c>
      <c r="HO54" s="50">
        <f t="shared" si="96"/>
        <v>179.32302200000001</v>
      </c>
      <c r="HP54" s="50"/>
      <c r="HQ54" s="50">
        <v>179.32302200000001</v>
      </c>
      <c r="HR54" s="50">
        <v>15.3428001</v>
      </c>
      <c r="HS54" s="50">
        <v>0</v>
      </c>
      <c r="HT54" s="50">
        <v>15.3428001</v>
      </c>
      <c r="HU54" s="50">
        <v>15.33726577</v>
      </c>
      <c r="HV54" s="50">
        <v>0</v>
      </c>
      <c r="HW54" s="50">
        <v>15.33726577</v>
      </c>
      <c r="HX54" s="50">
        <v>15.294624000000001</v>
      </c>
      <c r="HY54" s="50">
        <v>0</v>
      </c>
      <c r="HZ54" s="50">
        <v>15.294624000000001</v>
      </c>
      <c r="IA54" s="50">
        <v>15.36839509</v>
      </c>
      <c r="IB54" s="50">
        <v>0</v>
      </c>
      <c r="IC54" s="50">
        <v>15.36839509</v>
      </c>
      <c r="ID54" s="50">
        <v>15.329576320000001</v>
      </c>
      <c r="IE54" s="50">
        <v>0</v>
      </c>
      <c r="IF54" s="50">
        <v>15.329576320000001</v>
      </c>
      <c r="IG54" s="50">
        <v>15.315569389999999</v>
      </c>
      <c r="IH54" s="50">
        <v>0</v>
      </c>
      <c r="II54" s="50">
        <v>15.315569389999999</v>
      </c>
      <c r="IJ54" s="50">
        <v>15.322102660000001</v>
      </c>
      <c r="IK54" s="50">
        <v>0</v>
      </c>
      <c r="IL54" s="50">
        <v>15.322102660000001</v>
      </c>
      <c r="IM54" s="50">
        <v>15.328411989999996</v>
      </c>
      <c r="IN54" s="50">
        <v>0</v>
      </c>
      <c r="IO54" s="50">
        <v>15.328411989999996</v>
      </c>
      <c r="IP54" s="50">
        <v>15.318747229999998</v>
      </c>
      <c r="IQ54" s="50">
        <v>0</v>
      </c>
      <c r="IR54" s="50">
        <v>15.318747229999998</v>
      </c>
      <c r="IS54" s="50">
        <v>15.30618876</v>
      </c>
      <c r="IT54" s="50">
        <v>0</v>
      </c>
      <c r="IU54" s="50">
        <v>15.30618876</v>
      </c>
      <c r="IV54" s="50">
        <v>15.32078976</v>
      </c>
      <c r="IW54" s="50">
        <v>0</v>
      </c>
      <c r="IX54" s="50">
        <v>15.32078976</v>
      </c>
      <c r="IY54" s="50">
        <v>16.789173929999997</v>
      </c>
      <c r="IZ54" s="50">
        <v>0</v>
      </c>
      <c r="JA54" s="50">
        <v>16.789173929999997</v>
      </c>
      <c r="JB54" s="50">
        <f t="shared" si="36"/>
        <v>185.37364499999998</v>
      </c>
      <c r="JC54" s="50">
        <f t="shared" si="37"/>
        <v>0</v>
      </c>
      <c r="JD54" s="50">
        <f t="shared" si="38"/>
        <v>185.37364499999998</v>
      </c>
      <c r="JE54" s="50">
        <f t="shared" si="97"/>
        <v>185.45343299999999</v>
      </c>
      <c r="JF54" s="50"/>
      <c r="JG54" s="50">
        <f>185.438762+0.014671</f>
        <v>185.45343299999999</v>
      </c>
      <c r="JH54" s="50">
        <v>16.52246495</v>
      </c>
      <c r="JI54" s="50">
        <v>0</v>
      </c>
      <c r="JJ54" s="50">
        <v>16.52246495</v>
      </c>
      <c r="JK54" s="50">
        <v>16.585762849999998</v>
      </c>
      <c r="JL54" s="50">
        <v>0</v>
      </c>
      <c r="JM54" s="50">
        <v>16.585762849999998</v>
      </c>
      <c r="JN54" s="50">
        <v>16.483011129999998</v>
      </c>
      <c r="JO54" s="50">
        <v>0</v>
      </c>
      <c r="JP54" s="50">
        <v>16.483011129999998</v>
      </c>
      <c r="JQ54" s="50">
        <v>16.588039479999999</v>
      </c>
      <c r="JR54" s="50">
        <v>0</v>
      </c>
      <c r="JS54" s="50">
        <v>16.588039479999999</v>
      </c>
      <c r="JT54" s="50">
        <v>16.495456779999998</v>
      </c>
      <c r="JU54" s="50">
        <v>0</v>
      </c>
      <c r="JV54" s="50">
        <v>16.495456779999998</v>
      </c>
      <c r="JW54" s="50">
        <v>16.49228527</v>
      </c>
      <c r="JX54" s="50">
        <v>0</v>
      </c>
      <c r="JY54" s="50">
        <v>16.49228527</v>
      </c>
      <c r="JZ54" s="50">
        <v>16.58175357</v>
      </c>
      <c r="KA54" s="50">
        <v>0</v>
      </c>
      <c r="KB54" s="50">
        <v>16.58175357</v>
      </c>
      <c r="KC54" s="50">
        <v>16.488560460000002</v>
      </c>
      <c r="KD54" s="50">
        <v>0</v>
      </c>
      <c r="KE54" s="50">
        <v>16.488560460000002</v>
      </c>
      <c r="KF54" s="50">
        <v>16.487430029999999</v>
      </c>
      <c r="KG54" s="50">
        <v>0</v>
      </c>
      <c r="KH54" s="50">
        <v>16.487430029999999</v>
      </c>
      <c r="KI54" s="50">
        <v>16.578480190000001</v>
      </c>
      <c r="KJ54" s="50">
        <v>0</v>
      </c>
      <c r="KK54" s="50">
        <v>16.578480190000001</v>
      </c>
      <c r="KL54" s="50">
        <v>16.489799329999997</v>
      </c>
      <c r="KM54" s="50">
        <v>0</v>
      </c>
      <c r="KN54" s="50">
        <v>16.489799329999997</v>
      </c>
      <c r="KO54" s="50">
        <v>16.478183649999998</v>
      </c>
      <c r="KP54" s="50">
        <v>0</v>
      </c>
      <c r="KQ54" s="50">
        <v>16.478183649999998</v>
      </c>
      <c r="KR54" s="50">
        <f t="shared" si="48"/>
        <v>198.27122768999999</v>
      </c>
      <c r="KS54" s="50">
        <f t="shared" si="39"/>
        <v>0</v>
      </c>
      <c r="KT54" s="50">
        <f t="shared" si="49"/>
        <v>198.27122768999999</v>
      </c>
      <c r="KU54" s="50">
        <f t="shared" si="98"/>
        <v>198.290063</v>
      </c>
      <c r="KV54" s="50"/>
      <c r="KW54" s="50">
        <v>198.290063</v>
      </c>
      <c r="KX54" s="50">
        <v>16.67347994</v>
      </c>
      <c r="KY54" s="50">
        <v>0</v>
      </c>
      <c r="KZ54" s="50">
        <v>16.67347994</v>
      </c>
      <c r="LA54" s="50">
        <v>16.580661039999999</v>
      </c>
      <c r="LB54" s="50">
        <v>0</v>
      </c>
      <c r="LC54" s="50">
        <v>16.580661039999999</v>
      </c>
      <c r="LD54" s="50">
        <v>16.562977209999996</v>
      </c>
      <c r="LF54" s="87">
        <v>16.562977209999996</v>
      </c>
      <c r="LG54" s="50">
        <v>16.637143799999997</v>
      </c>
      <c r="LH54" s="50"/>
      <c r="LI54" s="50">
        <v>16.637143799999997</v>
      </c>
      <c r="LJ54" s="174">
        <v>16.572349429999999</v>
      </c>
      <c r="LK54" s="50">
        <v>0</v>
      </c>
      <c r="LL54" s="174">
        <v>16.572349429999999</v>
      </c>
      <c r="LM54" s="50">
        <v>16.569542569999999</v>
      </c>
      <c r="LN54" s="50">
        <v>0</v>
      </c>
      <c r="LO54" s="50">
        <v>16.569542569999999</v>
      </c>
      <c r="LP54" s="44">
        <v>16.659994189999999</v>
      </c>
      <c r="LQ54" s="183"/>
      <c r="LR54" s="44">
        <v>16.659994189999999</v>
      </c>
      <c r="LS54" s="52">
        <v>16.577351019999998</v>
      </c>
      <c r="LT54" s="183"/>
      <c r="LU54" s="49">
        <v>16.577351019999998</v>
      </c>
      <c r="LV54" s="44">
        <v>16.600533669999997</v>
      </c>
      <c r="LW54" s="44">
        <v>0</v>
      </c>
      <c r="LX54" s="44">
        <v>16.600533669999997</v>
      </c>
      <c r="LY54" s="44">
        <v>16.658969919999997</v>
      </c>
      <c r="LZ54" s="44">
        <v>0</v>
      </c>
      <c r="MA54" s="44">
        <v>16.658969919999997</v>
      </c>
      <c r="MB54" s="44">
        <v>16.416596080000001</v>
      </c>
      <c r="MC54" s="44">
        <v>0</v>
      </c>
      <c r="MD54" s="44">
        <v>16.416596080000001</v>
      </c>
      <c r="ME54" s="44">
        <v>38.201840269999998</v>
      </c>
      <c r="MF54" s="44">
        <v>0</v>
      </c>
      <c r="MG54" s="44">
        <v>38.201840269999998</v>
      </c>
      <c r="MH54" s="50">
        <f t="shared" si="66"/>
        <v>220.71143914000001</v>
      </c>
      <c r="MI54" s="50">
        <f t="shared" si="50"/>
        <v>0</v>
      </c>
      <c r="MJ54" s="50">
        <f t="shared" si="51"/>
        <v>220.71143914000001</v>
      </c>
      <c r="MK54" s="50">
        <f t="shared" si="99"/>
        <v>222.69890000000001</v>
      </c>
      <c r="ML54" s="50">
        <v>2.181E-2</v>
      </c>
      <c r="MM54" s="50">
        <f>222.349923+0.370787</f>
        <v>222.72071</v>
      </c>
      <c r="MN54" s="44">
        <v>21.12859177</v>
      </c>
      <c r="MO54" s="44">
        <v>0</v>
      </c>
      <c r="MP54" s="44">
        <v>21.12859177</v>
      </c>
      <c r="MQ54" s="44">
        <v>20.992854559999998</v>
      </c>
      <c r="MR54" s="44">
        <v>0</v>
      </c>
      <c r="MS54" s="44">
        <v>20.992854559999998</v>
      </c>
      <c r="MT54" s="50">
        <v>20.997319889999996</v>
      </c>
      <c r="MU54" s="50">
        <v>0</v>
      </c>
      <c r="MV54" s="50">
        <v>20.997319889999996</v>
      </c>
      <c r="MW54" s="44">
        <v>21.117608769999997</v>
      </c>
      <c r="MX54" s="44">
        <v>0</v>
      </c>
      <c r="MY54" s="44">
        <v>21.117608769999997</v>
      </c>
      <c r="MZ54" s="44">
        <v>21.032383189999997</v>
      </c>
      <c r="NA54" s="44">
        <v>0</v>
      </c>
      <c r="NB54" s="50">
        <v>21.032383189999997</v>
      </c>
      <c r="NC54" s="44">
        <v>55.813490899999998</v>
      </c>
      <c r="ND54" s="44">
        <v>0</v>
      </c>
      <c r="NE54" s="44">
        <v>55.813490899999998</v>
      </c>
      <c r="NF54" s="44">
        <v>21.13632011</v>
      </c>
      <c r="NG54" s="44">
        <v>0</v>
      </c>
      <c r="NH54" s="44">
        <v>21.13632011</v>
      </c>
      <c r="NI54" s="44">
        <v>21.013260220000003</v>
      </c>
      <c r="NJ54" s="44">
        <v>0</v>
      </c>
      <c r="NK54" s="44">
        <v>21.013260220000003</v>
      </c>
      <c r="NL54" s="44">
        <v>21.057391059999997</v>
      </c>
      <c r="NM54" s="44">
        <v>0</v>
      </c>
      <c r="NN54" s="44">
        <v>21.057391059999997</v>
      </c>
      <c r="NO54" s="44">
        <v>21.095477379999998</v>
      </c>
      <c r="NP54" s="44">
        <v>4.2785070000000001E-2</v>
      </c>
      <c r="NQ54" s="44">
        <v>21.138262449999999</v>
      </c>
      <c r="NR54" s="44">
        <v>21.000796829999999</v>
      </c>
      <c r="NS54" s="44">
        <v>3.3568010000000002E-2</v>
      </c>
      <c r="NT54" s="44">
        <v>21.034364839999999</v>
      </c>
      <c r="NU54" s="44">
        <v>50.708673679999997</v>
      </c>
      <c r="NV54" s="44">
        <v>3.4225730000000003E-2</v>
      </c>
      <c r="NW54" s="44">
        <v>50.74289941</v>
      </c>
      <c r="NX54" s="50">
        <f t="shared" si="117"/>
        <v>317.09416835999997</v>
      </c>
      <c r="NY54" s="50">
        <f t="shared" si="40"/>
        <v>0.11057881</v>
      </c>
      <c r="NZ54" s="50">
        <f t="shared" si="41"/>
        <v>317.20474717000002</v>
      </c>
      <c r="OA54" s="50">
        <f t="shared" si="100"/>
        <v>317.09416819</v>
      </c>
      <c r="OB54" s="50">
        <v>0.11057881</v>
      </c>
      <c r="OC54" s="50">
        <v>317.204747</v>
      </c>
      <c r="OD54" s="44">
        <v>20.10477869</v>
      </c>
      <c r="OE54" s="44">
        <v>2.923071E-2</v>
      </c>
      <c r="OF54" s="44">
        <v>20.134009400000004</v>
      </c>
      <c r="OG54" s="50">
        <v>20.091945450000001</v>
      </c>
      <c r="OH54" s="44">
        <v>2.7372830000000001E-2</v>
      </c>
      <c r="OI54" s="44">
        <v>20.119318280000002</v>
      </c>
      <c r="OJ54" s="44">
        <f t="shared" si="107"/>
        <v>20.188994410000003</v>
      </c>
      <c r="OK54" s="44"/>
      <c r="OL54" s="44">
        <v>20.188994410000003</v>
      </c>
      <c r="OM54" s="44">
        <v>20.196740430000002</v>
      </c>
      <c r="ON54" s="44"/>
      <c r="OO54" s="44">
        <v>20.196740430000002</v>
      </c>
      <c r="OP54" s="44">
        <v>20.111523010000003</v>
      </c>
      <c r="OQ54" s="44"/>
      <c r="OR54" s="44">
        <v>20.111523010000003</v>
      </c>
      <c r="OS54" s="44">
        <v>20.11266419</v>
      </c>
      <c r="OT54" s="44"/>
      <c r="OU54" s="44">
        <v>20.11266419</v>
      </c>
      <c r="OV54" s="44">
        <v>67.518304369999996</v>
      </c>
      <c r="OW54" s="44"/>
      <c r="OX54" s="44">
        <v>67.518304369999996</v>
      </c>
      <c r="OY54" s="95">
        <v>20.11614531</v>
      </c>
      <c r="OZ54" s="44"/>
      <c r="PA54" s="95">
        <v>20.11614531</v>
      </c>
      <c r="PB54" s="44">
        <v>20.125562640000002</v>
      </c>
      <c r="PC54" s="44"/>
      <c r="PD54" s="44">
        <v>20.125562640000002</v>
      </c>
      <c r="PE54" s="44">
        <v>20.216318940000001</v>
      </c>
      <c r="PF54" s="44"/>
      <c r="PG54" s="44">
        <v>20.216318940000001</v>
      </c>
      <c r="PH54" s="44">
        <v>21.94987266</v>
      </c>
      <c r="PI54" s="44"/>
      <c r="PJ54" s="44">
        <v>21.94987266</v>
      </c>
      <c r="PK54" s="44">
        <v>20.633888389999999</v>
      </c>
      <c r="PL54" s="44">
        <v>6.4250470000000004E-2</v>
      </c>
      <c r="PM54" s="44">
        <v>20.69813886</v>
      </c>
      <c r="PN54" s="50">
        <f t="shared" si="122"/>
        <v>291.36673848999999</v>
      </c>
      <c r="PO54" s="50">
        <f t="shared" si="108"/>
        <v>0.12085401000000001</v>
      </c>
      <c r="PP54" s="50">
        <f t="shared" si="116"/>
        <v>291.48759250000001</v>
      </c>
      <c r="PQ54" s="50">
        <f t="shared" si="118"/>
        <v>291.36673698999999</v>
      </c>
      <c r="PR54" s="50">
        <v>0.12085401000000001</v>
      </c>
      <c r="PS54" s="50">
        <v>291.48759100000001</v>
      </c>
      <c r="PT54" s="44">
        <v>22.80215789</v>
      </c>
      <c r="PU54" s="44">
        <v>1.5313370000000001E-2</v>
      </c>
      <c r="PV54" s="44">
        <v>22.817471260000001</v>
      </c>
      <c r="PW54" s="44">
        <v>22.047487880000002</v>
      </c>
      <c r="PX54" s="44">
        <v>8.9798199999999995E-3</v>
      </c>
      <c r="PY54" s="44">
        <v>22.056467700000002</v>
      </c>
      <c r="PZ54" s="44">
        <v>22.388595290000001</v>
      </c>
      <c r="QA54" s="44">
        <v>8.9203600000000004E-3</v>
      </c>
      <c r="QB54" s="44">
        <v>22.397515650000003</v>
      </c>
      <c r="QC54" s="44">
        <v>22.387599949999998</v>
      </c>
      <c r="QD54" s="44">
        <v>1.9219380000000001E-2</v>
      </c>
      <c r="QE54" s="44">
        <v>22.406819329999998</v>
      </c>
      <c r="QF54" s="50">
        <v>22.376885300000001</v>
      </c>
      <c r="QG54" s="44">
        <v>2.0353139999999999E-2</v>
      </c>
      <c r="QH54" s="44">
        <v>22.397238440000002</v>
      </c>
      <c r="QI54" s="50">
        <v>22.456796619999995</v>
      </c>
      <c r="QJ54" s="44">
        <v>2.0241499999999999E-2</v>
      </c>
      <c r="QK54" s="44">
        <v>22.477038119999996</v>
      </c>
      <c r="QL54" s="44">
        <v>22.412468880000002</v>
      </c>
      <c r="QM54" s="44">
        <v>1.9745200000000001E-2</v>
      </c>
      <c r="QN54" s="44">
        <v>22.432214080000001</v>
      </c>
      <c r="QO54" s="50">
        <v>22.529030219999996</v>
      </c>
      <c r="QP54" s="44">
        <v>1.7568470000000003E-2</v>
      </c>
      <c r="QQ54" s="44">
        <v>22.546598689999996</v>
      </c>
      <c r="QR54" s="44">
        <v>22.384805360000001</v>
      </c>
      <c r="QS54" s="44">
        <v>1.7130819999999998E-2</v>
      </c>
      <c r="QT54" s="44">
        <v>22.40193618</v>
      </c>
      <c r="QU54" s="50">
        <v>22.478419499999998</v>
      </c>
      <c r="QV54" s="44">
        <v>1.678694E-2</v>
      </c>
      <c r="QW54" s="44">
        <v>22.495206439999997</v>
      </c>
      <c r="QX54" s="50">
        <v>22.538448429999999</v>
      </c>
      <c r="QY54" s="44"/>
      <c r="QZ54" s="44">
        <v>22.538448429999999</v>
      </c>
      <c r="RA54" s="50">
        <v>24.478714869999997</v>
      </c>
      <c r="RB54" s="44">
        <v>3.4219200000000002E-3</v>
      </c>
      <c r="RC54" s="44">
        <v>24.482136789999998</v>
      </c>
      <c r="RD54" s="50">
        <f t="shared" si="52"/>
        <v>271.28141018999997</v>
      </c>
      <c r="RE54" s="50">
        <f t="shared" si="53"/>
        <v>0.16768092000000001</v>
      </c>
      <c r="RF54" s="50">
        <f t="shared" si="54"/>
        <v>271.44909110999998</v>
      </c>
      <c r="RG54" s="50">
        <f t="shared" si="119"/>
        <v>271.28140999999999</v>
      </c>
      <c r="RH54" s="50">
        <v>0.167681</v>
      </c>
      <c r="RI54" s="50">
        <v>271.44909100000001</v>
      </c>
      <c r="RJ54" s="50">
        <v>24.220555359999999</v>
      </c>
      <c r="RK54" s="50"/>
      <c r="RL54" s="50">
        <v>24.220555359999999</v>
      </c>
      <c r="RM54" s="50">
        <v>24.163724989999999</v>
      </c>
      <c r="RN54" s="50"/>
      <c r="RO54" s="50">
        <v>24.163724989999999</v>
      </c>
      <c r="RP54" s="50">
        <v>24.159481740000004</v>
      </c>
      <c r="RQ54" s="50"/>
      <c r="RR54" s="50">
        <v>24.159481740000004</v>
      </c>
      <c r="RS54" s="50">
        <v>24.207989889999997</v>
      </c>
      <c r="RT54" s="50"/>
      <c r="RU54" s="50">
        <v>24.207989889999997</v>
      </c>
      <c r="RV54" s="50">
        <v>24.31208118</v>
      </c>
      <c r="RW54" s="50"/>
      <c r="RX54" s="50">
        <v>24.31208118</v>
      </c>
      <c r="RY54" s="50">
        <v>24.173629119999909</v>
      </c>
      <c r="RZ54" s="50"/>
      <c r="SA54" s="50">
        <v>24.173629119999909</v>
      </c>
      <c r="SB54" s="50">
        <v>24.206115690000004</v>
      </c>
      <c r="SC54" s="50">
        <v>1.9184000000000001E-4</v>
      </c>
      <c r="SD54" s="50">
        <v>24.206307530000004</v>
      </c>
      <c r="SE54" s="50">
        <v>24.152757799999996</v>
      </c>
      <c r="SF54" s="50">
        <v>4.6382999999999998E-4</v>
      </c>
      <c r="SG54" s="50">
        <v>24.153221629999997</v>
      </c>
      <c r="SH54" s="50">
        <v>24.173621090000001</v>
      </c>
      <c r="SI54" s="50">
        <v>6.6733999999999999E-4</v>
      </c>
      <c r="SJ54" s="50">
        <v>24.174288430000001</v>
      </c>
      <c r="SK54" s="50">
        <v>24.225543729999998</v>
      </c>
      <c r="SL54" s="50">
        <v>1.05426E-3</v>
      </c>
      <c r="SM54" s="50">
        <v>24.226597989999998</v>
      </c>
      <c r="SN54" s="50">
        <v>24.167466270000002</v>
      </c>
      <c r="SO54" s="50">
        <v>1.31894E-3</v>
      </c>
      <c r="SP54" s="50">
        <v>24.167466270000002</v>
      </c>
      <c r="SQ54" s="50">
        <v>20.065045099999999</v>
      </c>
      <c r="SR54" s="50">
        <v>1.69706E-3</v>
      </c>
      <c r="SS54" s="50">
        <v>20.066742000000001</v>
      </c>
      <c r="ST54" s="50">
        <f t="shared" si="55"/>
        <v>286.22801195999995</v>
      </c>
      <c r="SU54" s="50">
        <f t="shared" si="65"/>
        <v>5.3932700000000004E-3</v>
      </c>
      <c r="SV54" s="50">
        <f t="shared" si="56"/>
        <v>286.23208612999986</v>
      </c>
      <c r="SW54" s="50">
        <f t="shared" si="103"/>
        <v>286.22669399999995</v>
      </c>
      <c r="SX54" s="50">
        <v>5.3930000000000002E-3</v>
      </c>
      <c r="SY54" s="50">
        <v>286.23208699999998</v>
      </c>
      <c r="SZ54" s="50">
        <v>26.813079300000002</v>
      </c>
      <c r="TA54" s="50">
        <v>1.6064E-3</v>
      </c>
      <c r="TB54" s="50">
        <v>26.814685700000002</v>
      </c>
      <c r="TC54" s="50">
        <v>26.780319739999999</v>
      </c>
      <c r="TD54" s="50">
        <v>1.59951E-3</v>
      </c>
      <c r="TE54" s="50">
        <v>26.781919249999998</v>
      </c>
      <c r="TF54" s="50">
        <v>27.248206699999997</v>
      </c>
      <c r="TG54" s="50">
        <v>1.76333E-3</v>
      </c>
      <c r="TH54" s="50">
        <v>27.249970029999997</v>
      </c>
      <c r="TI54" s="50">
        <v>27.282694840000001</v>
      </c>
      <c r="TJ54" s="50">
        <v>2.0126099999999997E-3</v>
      </c>
      <c r="TK54" s="50">
        <v>27.284707450000003</v>
      </c>
      <c r="TL54" s="50">
        <v>27.196819100000003</v>
      </c>
      <c r="TM54" s="50">
        <v>1.7647400000000001E-3</v>
      </c>
      <c r="TN54" s="50">
        <v>27.198583840000001</v>
      </c>
      <c r="TO54" s="50">
        <v>27.20610941</v>
      </c>
      <c r="TP54" s="50">
        <v>1.73296E-3</v>
      </c>
      <c r="TQ54" s="50">
        <v>27.207842369999998</v>
      </c>
      <c r="TR54" s="50">
        <v>27.226503900000001</v>
      </c>
      <c r="TS54" s="50">
        <v>6.6587199999999999E-3</v>
      </c>
      <c r="TT54" s="50">
        <v>27.233162620000002</v>
      </c>
      <c r="TU54" s="50">
        <v>27.191099510000001</v>
      </c>
      <c r="TV54" s="50">
        <v>6.8184600000000001E-3</v>
      </c>
      <c r="TW54" s="50">
        <v>27.197917970000002</v>
      </c>
      <c r="TX54" s="50">
        <v>27.18071261</v>
      </c>
      <c r="TY54" s="50">
        <v>5.9917E-3</v>
      </c>
      <c r="TZ54" s="50">
        <v>27.18670431</v>
      </c>
      <c r="UA54" s="50">
        <v>26.331497489999997</v>
      </c>
      <c r="UB54" s="50">
        <v>6.1226400000000004E-3</v>
      </c>
      <c r="UC54" s="50">
        <v>26.337620129999998</v>
      </c>
      <c r="UD54" s="50">
        <v>27.260840859999998</v>
      </c>
      <c r="UE54" s="50">
        <v>6.4167499999999997E-3</v>
      </c>
      <c r="UF54" s="50">
        <v>27.267257609999998</v>
      </c>
      <c r="UG54" s="50">
        <v>25.900321340000001</v>
      </c>
      <c r="UH54" s="50">
        <v>6.4102200000000003E-3</v>
      </c>
      <c r="UI54" s="50">
        <v>25.906731560000001</v>
      </c>
      <c r="UJ54" s="50">
        <f t="shared" si="45"/>
        <v>323.6182048</v>
      </c>
      <c r="UK54" s="50">
        <f t="shared" si="15"/>
        <v>4.8898040000000004E-2</v>
      </c>
      <c r="UL54" s="50">
        <f t="shared" si="16"/>
        <v>323.66710284000004</v>
      </c>
      <c r="UM54" s="50">
        <v>30.223207689999999</v>
      </c>
      <c r="UN54" s="50">
        <v>6.4930700000000001E-3</v>
      </c>
      <c r="UO54" s="50">
        <v>30.22970076</v>
      </c>
      <c r="UP54" s="50">
        <v>30.142216739999999</v>
      </c>
      <c r="UQ54" s="50">
        <v>6.64703E-3</v>
      </c>
      <c r="UR54" s="50">
        <v>30.148863769999998</v>
      </c>
      <c r="US54" s="50">
        <v>31.343583810000002</v>
      </c>
      <c r="UT54" s="50"/>
      <c r="UU54" s="50">
        <v>31.343583810000002</v>
      </c>
      <c r="UV54" s="50">
        <v>30.813933389999999</v>
      </c>
      <c r="UW54" s="50">
        <v>1.0502020000000001E-2</v>
      </c>
      <c r="UX54" s="50">
        <v>30.82443541</v>
      </c>
      <c r="UY54" s="50"/>
      <c r="UZ54" s="50"/>
      <c r="VA54" s="50"/>
      <c r="VB54" s="50"/>
      <c r="VC54" s="50"/>
      <c r="VD54" s="50"/>
      <c r="VE54" s="50"/>
      <c r="VF54" s="50"/>
      <c r="VG54" s="50"/>
      <c r="VH54" s="50"/>
      <c r="VI54" s="50"/>
      <c r="VJ54" s="50"/>
      <c r="VK54" s="50"/>
      <c r="VL54" s="50"/>
      <c r="VM54" s="50"/>
      <c r="VN54" s="50"/>
      <c r="VO54" s="50"/>
      <c r="VP54" s="50"/>
      <c r="VQ54" s="50"/>
      <c r="VR54" s="50"/>
      <c r="VS54" s="50"/>
      <c r="VT54" s="50"/>
      <c r="VU54" s="50"/>
      <c r="VV54" s="50"/>
      <c r="VW54" s="276">
        <f t="shared" si="57"/>
        <v>108.124301</v>
      </c>
      <c r="VX54" s="292">
        <f t="shared" si="58"/>
        <v>6.9820000000000004E-3</v>
      </c>
      <c r="VY54" s="292">
        <f t="shared" si="59"/>
        <v>108.131282</v>
      </c>
      <c r="VZ54" s="276">
        <f t="shared" si="60"/>
        <v>122.522942</v>
      </c>
      <c r="WA54" s="292">
        <f t="shared" si="61"/>
        <v>2.3642E-2</v>
      </c>
      <c r="WB54" s="292">
        <f t="shared" si="62"/>
        <v>122.546584</v>
      </c>
      <c r="WC54" s="277">
        <f t="shared" si="112"/>
        <v>14.415301999999997</v>
      </c>
      <c r="WD54" s="277">
        <f t="shared" si="104"/>
        <v>13.331296673242065</v>
      </c>
    </row>
    <row r="55" spans="1:602" s="12" customFormat="1" ht="20.5">
      <c r="A55" s="314" t="s">
        <v>210</v>
      </c>
      <c r="B55" s="13" t="s">
        <v>211</v>
      </c>
      <c r="C55" s="47" t="s">
        <v>212</v>
      </c>
      <c r="D55" s="45">
        <v>606.0797078559599</v>
      </c>
      <c r="E55" s="42">
        <v>818.78456013340849</v>
      </c>
      <c r="F55" s="42">
        <v>864.25502558323512</v>
      </c>
      <c r="G55" s="42">
        <v>561.17260954694586</v>
      </c>
      <c r="H55" s="42">
        <v>44.6402055765192</v>
      </c>
      <c r="I55" s="42">
        <v>42.184288763296742</v>
      </c>
      <c r="J55" s="42">
        <v>48.530446582540002</v>
      </c>
      <c r="K55" s="42">
        <v>41.593532606540002</v>
      </c>
      <c r="L55" s="42">
        <v>41.878710280539998</v>
      </c>
      <c r="M55" s="42">
        <v>76.119220778470009</v>
      </c>
      <c r="N55" s="42">
        <v>29.263591926069999</v>
      </c>
      <c r="O55" s="42">
        <v>22.738614179771332</v>
      </c>
      <c r="P55" s="42">
        <v>43.049842075480001</v>
      </c>
      <c r="Q55" s="42">
        <v>43.322555335484708</v>
      </c>
      <c r="R55" s="42">
        <v>39.621445666220005</v>
      </c>
      <c r="S55" s="42">
        <v>44.950812559420001</v>
      </c>
      <c r="T55" s="44" t="s">
        <v>46</v>
      </c>
      <c r="U55" s="44" t="s">
        <v>46</v>
      </c>
      <c r="V55" s="42">
        <v>517.77312626279866</v>
      </c>
      <c r="W55" s="42">
        <v>517.93817347379422</v>
      </c>
      <c r="X55" s="42">
        <v>34.28790530503526</v>
      </c>
      <c r="Y55" s="42">
        <v>34.525995867980264</v>
      </c>
      <c r="Z55" s="42">
        <v>35.869978841896177</v>
      </c>
      <c r="AA55" s="42">
        <v>36.827007472922752</v>
      </c>
      <c r="AB55" s="42">
        <v>35.25666473156101</v>
      </c>
      <c r="AC55" s="42">
        <v>69.285197579979638</v>
      </c>
      <c r="AD55" s="42">
        <v>29.744036744241633</v>
      </c>
      <c r="AE55" s="42">
        <v>12.494984376867519</v>
      </c>
      <c r="AF55" s="42">
        <v>36.044978400805917</v>
      </c>
      <c r="AG55" s="42">
        <v>39.348650021912228</v>
      </c>
      <c r="AH55" s="42">
        <v>37.288279520321453</v>
      </c>
      <c r="AI55" s="42">
        <v>45.633629006095582</v>
      </c>
      <c r="AJ55" s="42">
        <v>409.15739382530501</v>
      </c>
      <c r="AK55" s="42">
        <v>37.449914641920103</v>
      </c>
      <c r="AL55" s="42">
        <v>446.60730786961949</v>
      </c>
      <c r="AM55" s="42">
        <v>446.60558871328527</v>
      </c>
      <c r="AN55" s="42">
        <v>38.65916244073739</v>
      </c>
      <c r="AO55" s="42">
        <v>37.495040224586084</v>
      </c>
      <c r="AP55" s="42">
        <v>37.754581846432295</v>
      </c>
      <c r="AQ55" s="42">
        <v>44.949406434795478</v>
      </c>
      <c r="AR55" s="42">
        <v>34.775498104734751</v>
      </c>
      <c r="AS55" s="42">
        <v>74.072752730491004</v>
      </c>
      <c r="AT55" s="42">
        <v>25.2115938440874</v>
      </c>
      <c r="AU55" s="42">
        <v>14.22645911235565</v>
      </c>
      <c r="AV55" s="42">
        <v>38.588744514829166</v>
      </c>
      <c r="AW55" s="42">
        <v>42.182521727252542</v>
      </c>
      <c r="AX55" s="42">
        <v>36.495728538824473</v>
      </c>
      <c r="AY55" s="42">
        <v>38.565563087290343</v>
      </c>
      <c r="AZ55" s="42">
        <v>432.67628081228912</v>
      </c>
      <c r="BA55" s="42">
        <v>30.300771794127492</v>
      </c>
      <c r="BB55" s="42">
        <v>462.97705260641663</v>
      </c>
      <c r="BC55" s="42">
        <f t="shared" si="21"/>
        <v>432.67628385723481</v>
      </c>
      <c r="BD55" s="42">
        <v>30.300770911947001</v>
      </c>
      <c r="BE55" s="42">
        <v>462.97705476918179</v>
      </c>
      <c r="BF55" s="44">
        <v>37.603299749999998</v>
      </c>
      <c r="BG55" s="44">
        <v>1.3650167</v>
      </c>
      <c r="BH55" s="44">
        <f>BF55+BG55</f>
        <v>38.968316449999996</v>
      </c>
      <c r="BI55" s="42">
        <v>37.058157109999996</v>
      </c>
      <c r="BJ55" s="42">
        <v>1.0249489899999999</v>
      </c>
      <c r="BK55" s="44">
        <f>BI55+BJ55</f>
        <v>38.083106099999995</v>
      </c>
      <c r="BL55" s="44">
        <v>37.719231619999995</v>
      </c>
      <c r="BM55" s="44">
        <v>2.75999572</v>
      </c>
      <c r="BN55" s="44">
        <f>BL55+BM55</f>
        <v>40.479227339999994</v>
      </c>
      <c r="BO55" s="44">
        <v>40.528977020000006</v>
      </c>
      <c r="BP55" s="44">
        <v>1.6904039</v>
      </c>
      <c r="BQ55" s="44">
        <f>BO55+BP55</f>
        <v>42.219380920000006</v>
      </c>
      <c r="BR55" s="44">
        <v>37.001667429999998</v>
      </c>
      <c r="BS55" s="44">
        <v>1.6917669900000001</v>
      </c>
      <c r="BT55" s="44">
        <f>BR55+BS55</f>
        <v>38.693434419999996</v>
      </c>
      <c r="BU55" s="44">
        <v>73.967208260000007</v>
      </c>
      <c r="BV55" s="44">
        <v>1.84531646</v>
      </c>
      <c r="BW55" s="44">
        <f>BU55+BV55</f>
        <v>75.812524720000013</v>
      </c>
      <c r="BX55" s="44">
        <v>26.86877878</v>
      </c>
      <c r="BY55" s="44">
        <v>1.52532837</v>
      </c>
      <c r="BZ55" s="44">
        <f>BX55+BY55</f>
        <v>28.39410715</v>
      </c>
      <c r="CA55" s="44">
        <v>12.042763799999999</v>
      </c>
      <c r="CB55" s="44">
        <v>1.7445342099999999</v>
      </c>
      <c r="CC55" s="44">
        <f>CA55+CB55</f>
        <v>13.787298009999999</v>
      </c>
      <c r="CD55" s="44">
        <v>40.678359169999993</v>
      </c>
      <c r="CE55" s="44">
        <v>2.4425416800000002</v>
      </c>
      <c r="CF55" s="44">
        <f>CD55+CE55</f>
        <v>43.120900849999991</v>
      </c>
      <c r="CG55" s="44">
        <v>46.84776815</v>
      </c>
      <c r="CH55" s="44">
        <v>1.85159527</v>
      </c>
      <c r="CI55" s="44">
        <f>CG55+CH55</f>
        <v>48.699363419999997</v>
      </c>
      <c r="CJ55" s="42">
        <v>37.597864990000005</v>
      </c>
      <c r="CK55" s="42">
        <v>2.6769738300000001</v>
      </c>
      <c r="CL55" s="44">
        <f>CJ55+CK55</f>
        <v>40.274838820000006</v>
      </c>
      <c r="CM55" s="42">
        <v>40.260903040000009</v>
      </c>
      <c r="CN55" s="42">
        <v>1.8682977099999998</v>
      </c>
      <c r="CO55" s="44">
        <f>CM55+CN55</f>
        <v>42.12920075000001</v>
      </c>
      <c r="CP55" s="44">
        <f t="shared" si="24"/>
        <v>468.17497911999993</v>
      </c>
      <c r="CQ55" s="44">
        <f t="shared" si="25"/>
        <v>22.486719830000002</v>
      </c>
      <c r="CR55" s="44">
        <f t="shared" si="26"/>
        <v>490.66169895000002</v>
      </c>
      <c r="CS55" s="42">
        <f t="shared" si="123"/>
        <v>466.89144199999998</v>
      </c>
      <c r="CT55" s="42">
        <v>22.486719999999998</v>
      </c>
      <c r="CU55" s="42">
        <f>436.58892+22.486722+30.30252</f>
        <v>489.37816199999997</v>
      </c>
      <c r="CV55" s="42">
        <v>40.86553722</v>
      </c>
      <c r="CW55" s="42">
        <v>0.19038015999999999</v>
      </c>
      <c r="CX55" s="44">
        <f>CV55+CW55</f>
        <v>41.055917379999997</v>
      </c>
      <c r="CY55" s="42">
        <v>40.938099150000006</v>
      </c>
      <c r="CZ55" s="42">
        <v>0.94891375000000011</v>
      </c>
      <c r="DA55" s="44">
        <v>41.887012900000009</v>
      </c>
      <c r="DB55" s="42">
        <v>41.915590879999996</v>
      </c>
      <c r="DC55" s="42">
        <v>1.8434702199999999</v>
      </c>
      <c r="DD55" s="44">
        <v>43.759061099999997</v>
      </c>
      <c r="DE55" s="42">
        <v>46.247846170000003</v>
      </c>
      <c r="DF55" s="42">
        <v>0.94276587000000012</v>
      </c>
      <c r="DG55" s="44">
        <v>47.190612040000005</v>
      </c>
      <c r="DH55" s="42">
        <v>43.276447910000002</v>
      </c>
      <c r="DI55" s="42">
        <v>1.2898861700000002</v>
      </c>
      <c r="DJ55" s="44">
        <v>44.566334080000004</v>
      </c>
      <c r="DK55" s="42">
        <v>88.079064979999984</v>
      </c>
      <c r="DL55" s="42">
        <v>0.90896868999999991</v>
      </c>
      <c r="DM55" s="44">
        <v>88.988033669999979</v>
      </c>
      <c r="DN55" s="42">
        <v>27.427736069999998</v>
      </c>
      <c r="DO55" s="42">
        <v>1.5749231100000001</v>
      </c>
      <c r="DP55" s="44">
        <v>29.002659179999998</v>
      </c>
      <c r="DQ55" s="42">
        <v>13.971408610000003</v>
      </c>
      <c r="DR55" s="42">
        <v>1.791231</v>
      </c>
      <c r="DS55" s="44">
        <v>15.762639610000003</v>
      </c>
      <c r="DT55" s="42">
        <v>39.816450209999992</v>
      </c>
      <c r="DU55" s="42">
        <v>0.49372799000000001</v>
      </c>
      <c r="DV55" s="44">
        <v>40.310178199999996</v>
      </c>
      <c r="DW55" s="42">
        <v>42.876084959999993</v>
      </c>
      <c r="DX55" s="42">
        <v>2.2891172600000003</v>
      </c>
      <c r="DY55" s="44">
        <v>45.165202219999991</v>
      </c>
      <c r="DZ55" s="42">
        <v>43.093069050000004</v>
      </c>
      <c r="EA55" s="42">
        <v>0.70086139999999986</v>
      </c>
      <c r="EB55" s="44">
        <v>43.793930450000005</v>
      </c>
      <c r="EC55" s="42">
        <v>37.350503280000019</v>
      </c>
      <c r="ED55" s="42">
        <v>1.38619264</v>
      </c>
      <c r="EE55" s="44">
        <v>38.736695920000017</v>
      </c>
      <c r="EF55" s="50">
        <f t="shared" si="27"/>
        <v>505.85783849000001</v>
      </c>
      <c r="EG55" s="50">
        <f t="shared" si="28"/>
        <v>14.360438259999999</v>
      </c>
      <c r="EH55" s="50">
        <f t="shared" si="29"/>
        <v>520.21827674999997</v>
      </c>
      <c r="EI55" s="50">
        <f t="shared" si="94"/>
        <v>505.85783673999993</v>
      </c>
      <c r="EJ55" s="50">
        <v>14.360438259999999</v>
      </c>
      <c r="EK55" s="50">
        <f>468.705248+14.360436+37.152591</f>
        <v>520.21827499999995</v>
      </c>
      <c r="EL55" s="50">
        <v>42.650998039999998</v>
      </c>
      <c r="EM55" s="50">
        <v>0.73779716000000006</v>
      </c>
      <c r="EN55" s="50">
        <v>43.388795199999997</v>
      </c>
      <c r="EO55" s="50">
        <v>41.102435369999995</v>
      </c>
      <c r="EP55" s="50">
        <v>0.34457241999999999</v>
      </c>
      <c r="EQ55" s="50">
        <v>41.447007789999994</v>
      </c>
      <c r="ER55" s="50">
        <v>42.080844529999993</v>
      </c>
      <c r="ES55" s="50">
        <v>1.73244983</v>
      </c>
      <c r="ET55" s="50">
        <v>43.813294359999993</v>
      </c>
      <c r="EU55" s="50">
        <v>48.011675170000004</v>
      </c>
      <c r="EV55" s="50">
        <v>0.48122883999999999</v>
      </c>
      <c r="EW55" s="50">
        <v>48.492904010000004</v>
      </c>
      <c r="EX55" s="50">
        <v>37.936143650000005</v>
      </c>
      <c r="EY55" s="50">
        <v>0.36569383999999999</v>
      </c>
      <c r="EZ55" s="50">
        <v>38.301837490000004</v>
      </c>
      <c r="FA55" s="50">
        <v>81.635335449999999</v>
      </c>
      <c r="FB55" s="50">
        <v>0.31705239000000007</v>
      </c>
      <c r="FC55" s="50">
        <v>81.95238784</v>
      </c>
      <c r="FD55" s="50">
        <v>28.318272859999997</v>
      </c>
      <c r="FE55" s="50">
        <v>0.33351213000000002</v>
      </c>
      <c r="FF55" s="50">
        <v>28.651784989999996</v>
      </c>
      <c r="FG55" s="50">
        <v>14.666191339999999</v>
      </c>
      <c r="FH55" s="50">
        <v>0.71106072000000009</v>
      </c>
      <c r="FI55" s="50">
        <v>15.37725206</v>
      </c>
      <c r="FJ55" s="50">
        <v>19.904754840000003</v>
      </c>
      <c r="FK55" s="50">
        <v>0.54025394000000015</v>
      </c>
      <c r="FL55" s="50">
        <v>20.445008780000002</v>
      </c>
      <c r="FM55" s="50">
        <v>66.13911487</v>
      </c>
      <c r="FN55" s="50">
        <v>0.43653532999999994</v>
      </c>
      <c r="FO55" s="50">
        <v>66.575650199999998</v>
      </c>
      <c r="FP55" s="50">
        <v>49.338475209999999</v>
      </c>
      <c r="FQ55" s="50">
        <v>1.5864348599999998</v>
      </c>
      <c r="FR55" s="50">
        <v>50.924910069999996</v>
      </c>
      <c r="FS55" s="50">
        <v>39.115867859999994</v>
      </c>
      <c r="FT55" s="50">
        <v>0.43866019000000006</v>
      </c>
      <c r="FU55" s="50">
        <v>39.554528049999995</v>
      </c>
      <c r="FV55" s="50">
        <f t="shared" si="30"/>
        <v>510.90010919000002</v>
      </c>
      <c r="FW55" s="50">
        <f t="shared" si="31"/>
        <v>8.0252516499999995</v>
      </c>
      <c r="FX55" s="50">
        <f t="shared" si="32"/>
        <v>518.92536084000005</v>
      </c>
      <c r="FY55" s="50">
        <f t="shared" si="95"/>
        <v>510.90010999999993</v>
      </c>
      <c r="FZ55" s="50">
        <v>8.0252510000000008</v>
      </c>
      <c r="GA55" s="50">
        <v>518.92536099999995</v>
      </c>
      <c r="GB55" s="50">
        <v>45.302941110000006</v>
      </c>
      <c r="GC55" s="50">
        <v>0.42866723000000007</v>
      </c>
      <c r="GD55" s="50">
        <v>45.731608340000008</v>
      </c>
      <c r="GE55" s="50">
        <v>44.107745629999997</v>
      </c>
      <c r="GF55" s="50">
        <v>0.25887963000000003</v>
      </c>
      <c r="GG55" s="50">
        <v>44.366625259999999</v>
      </c>
      <c r="GH55" s="50">
        <v>49.125973289999997</v>
      </c>
      <c r="GI55" s="50">
        <v>0.64855659999999993</v>
      </c>
      <c r="GJ55" s="50">
        <v>49.774529889999997</v>
      </c>
      <c r="GK55" s="50">
        <v>51.93274358</v>
      </c>
      <c r="GL55" s="50">
        <v>0.86288038000000022</v>
      </c>
      <c r="GM55" s="50">
        <v>52.79562396</v>
      </c>
      <c r="GN55" s="50">
        <v>43.247462340000006</v>
      </c>
      <c r="GO55" s="50">
        <v>0.47597714999999996</v>
      </c>
      <c r="GP55" s="50">
        <v>43.723439490000004</v>
      </c>
      <c r="GQ55" s="50">
        <v>94.072199470000015</v>
      </c>
      <c r="GR55" s="50">
        <v>0.77463607999999995</v>
      </c>
      <c r="GS55" s="50">
        <v>94.846835550000009</v>
      </c>
      <c r="GT55" s="50">
        <v>25.255316069999999</v>
      </c>
      <c r="GU55" s="50">
        <v>1.1306979200000002</v>
      </c>
      <c r="GV55" s="50">
        <v>26.386013989999999</v>
      </c>
      <c r="GW55" s="50">
        <v>13.50959351</v>
      </c>
      <c r="GX55" s="50">
        <v>1.7227943199999998</v>
      </c>
      <c r="GY55" s="50">
        <v>15.23238783</v>
      </c>
      <c r="GZ55" s="50">
        <v>23.440773609999997</v>
      </c>
      <c r="HA55" s="50">
        <v>3.2598119600000004</v>
      </c>
      <c r="HB55" s="50">
        <v>26.700585569999998</v>
      </c>
      <c r="HC55" s="50">
        <v>67.038090520000011</v>
      </c>
      <c r="HD55" s="50">
        <v>4.4291017500000001</v>
      </c>
      <c r="HE55" s="50">
        <v>71.467192270000012</v>
      </c>
      <c r="HF55" s="50">
        <v>45.49480131</v>
      </c>
      <c r="HG55" s="50">
        <v>2.3044150099999996</v>
      </c>
      <c r="HH55" s="50">
        <v>47.799216319999999</v>
      </c>
      <c r="HI55" s="50">
        <v>38.616302760000004</v>
      </c>
      <c r="HJ55" s="50">
        <v>2.1345048200000001</v>
      </c>
      <c r="HK55" s="50">
        <v>40.75080758</v>
      </c>
      <c r="HL55" s="50">
        <f t="shared" si="33"/>
        <v>541.14394320000008</v>
      </c>
      <c r="HM55" s="50">
        <f t="shared" si="34"/>
        <v>18.430922850000002</v>
      </c>
      <c r="HN55" s="50">
        <f t="shared" si="35"/>
        <v>559.57486604999997</v>
      </c>
      <c r="HO55" s="50">
        <f t="shared" si="96"/>
        <v>541.14394200000004</v>
      </c>
      <c r="HP55" s="50">
        <v>18.430923</v>
      </c>
      <c r="HQ55" s="50">
        <v>559.57486500000005</v>
      </c>
      <c r="HR55" s="50">
        <v>47.631355480000003</v>
      </c>
      <c r="HS55" s="50">
        <v>1.03321091</v>
      </c>
      <c r="HT55" s="50">
        <v>48.664566389999983</v>
      </c>
      <c r="HU55" s="50">
        <v>43.394236820000003</v>
      </c>
      <c r="HV55" s="50">
        <v>1.4968935699999999</v>
      </c>
      <c r="HW55" s="50">
        <v>44.891130389999994</v>
      </c>
      <c r="HX55" s="50">
        <v>46.550018459999997</v>
      </c>
      <c r="HY55" s="50">
        <v>1.7528312500000001</v>
      </c>
      <c r="HZ55" s="50">
        <v>48.302849710000004</v>
      </c>
      <c r="IA55" s="50">
        <v>50.570192739999996</v>
      </c>
      <c r="IB55" s="50">
        <v>1.5065581699999999</v>
      </c>
      <c r="IC55" s="50">
        <v>52.07675090999998</v>
      </c>
      <c r="ID55" s="50">
        <v>42.888275299999997</v>
      </c>
      <c r="IE55" s="50">
        <v>2.1277807400000004</v>
      </c>
      <c r="IF55" s="50">
        <v>45.016056039999995</v>
      </c>
      <c r="IG55" s="50">
        <v>93.035288030000004</v>
      </c>
      <c r="IH55" s="50">
        <v>2.2874931699999999</v>
      </c>
      <c r="II55" s="50">
        <v>95.322781200000023</v>
      </c>
      <c r="IJ55" s="50">
        <v>32.084095840000003</v>
      </c>
      <c r="IK55" s="50">
        <v>1.7470751399999997</v>
      </c>
      <c r="IL55" s="50">
        <v>33.831170979999996</v>
      </c>
      <c r="IM55" s="50">
        <v>17.019457730000003</v>
      </c>
      <c r="IN55" s="50">
        <v>1.5377782099999999</v>
      </c>
      <c r="IO55" s="50">
        <v>18.557235940000005</v>
      </c>
      <c r="IP55" s="50">
        <v>40.42207028</v>
      </c>
      <c r="IQ55" s="50">
        <v>3.6217749099999996</v>
      </c>
      <c r="IR55" s="50">
        <v>44.043845190000013</v>
      </c>
      <c r="IS55" s="50">
        <v>61.124119440000008</v>
      </c>
      <c r="IT55" s="50">
        <v>5.6595827300000003</v>
      </c>
      <c r="IU55" s="50">
        <v>66.783702169999998</v>
      </c>
      <c r="IV55" s="50">
        <v>46.794770589999999</v>
      </c>
      <c r="IW55" s="50">
        <v>3.7214893999999998</v>
      </c>
      <c r="IX55" s="50">
        <v>50.516259990000002</v>
      </c>
      <c r="IY55" s="50">
        <v>55.643644440000003</v>
      </c>
      <c r="IZ55" s="50">
        <v>2.2545333100000002</v>
      </c>
      <c r="JA55" s="50">
        <v>57.898177750000002</v>
      </c>
      <c r="JB55" s="50">
        <f t="shared" si="36"/>
        <v>577.15752515000008</v>
      </c>
      <c r="JC55" s="50">
        <f t="shared" si="37"/>
        <v>28.747001509999997</v>
      </c>
      <c r="JD55" s="50">
        <f t="shared" si="38"/>
        <v>605.90452665999987</v>
      </c>
      <c r="JE55" s="50">
        <f t="shared" si="97"/>
        <v>577.15499800000009</v>
      </c>
      <c r="JF55" s="50">
        <v>28.747</v>
      </c>
      <c r="JG55" s="50">
        <f>518.017769+28.747001+59.137228</f>
        <v>605.90199800000005</v>
      </c>
      <c r="JH55" s="50">
        <v>60.679852029999992</v>
      </c>
      <c r="JI55" s="50">
        <v>3.1713546599999995</v>
      </c>
      <c r="JJ55" s="50">
        <v>63.851206689999991</v>
      </c>
      <c r="JK55" s="50">
        <v>51.50042907000001</v>
      </c>
      <c r="JL55" s="50">
        <v>2.1660667500000002</v>
      </c>
      <c r="JM55" s="50">
        <v>53.666495820000002</v>
      </c>
      <c r="JN55" s="50">
        <v>54.021279959999994</v>
      </c>
      <c r="JO55" s="50">
        <v>2.5508186299999998</v>
      </c>
      <c r="JP55" s="50">
        <v>56.572098589999996</v>
      </c>
      <c r="JQ55" s="50">
        <v>56.627561799999995</v>
      </c>
      <c r="JR55" s="50">
        <v>3.7317273300000005</v>
      </c>
      <c r="JS55" s="50">
        <v>60.359289130000001</v>
      </c>
      <c r="JT55" s="50">
        <v>55.79372772</v>
      </c>
      <c r="JU55" s="50">
        <v>1.4129435399999999</v>
      </c>
      <c r="JV55" s="50">
        <v>57.20667126</v>
      </c>
      <c r="JW55" s="50">
        <v>99.189007840000002</v>
      </c>
      <c r="JX55" s="50">
        <v>2.4851634699999998</v>
      </c>
      <c r="JY55" s="50">
        <v>101.67417130999999</v>
      </c>
      <c r="JZ55" s="50">
        <v>38.955931579999998</v>
      </c>
      <c r="KA55" s="50">
        <v>2.9941246000000001</v>
      </c>
      <c r="KB55" s="50">
        <v>41.950056180000004</v>
      </c>
      <c r="KC55" s="50">
        <v>20.265657410000003</v>
      </c>
      <c r="KD55" s="50">
        <v>2.8438572300000002</v>
      </c>
      <c r="KE55" s="50">
        <v>23.10951464</v>
      </c>
      <c r="KF55" s="50">
        <v>51.661093829999999</v>
      </c>
      <c r="KG55" s="50">
        <v>4.2463334599999998</v>
      </c>
      <c r="KH55" s="50">
        <v>55.907427290000001</v>
      </c>
      <c r="KI55" s="50">
        <v>59.685842539999989</v>
      </c>
      <c r="KJ55" s="50">
        <v>6.5700528900000004</v>
      </c>
      <c r="KK55" s="50">
        <v>66.255895429999995</v>
      </c>
      <c r="KL55" s="50">
        <v>48.87433017</v>
      </c>
      <c r="KM55" s="50">
        <v>5.0184361800000001</v>
      </c>
      <c r="KN55" s="50">
        <v>53.892766350000002</v>
      </c>
      <c r="KO55" s="50">
        <v>48.667636250000001</v>
      </c>
      <c r="KP55" s="50">
        <v>3.10424283</v>
      </c>
      <c r="KQ55" s="50">
        <v>51.771879079999998</v>
      </c>
      <c r="KR55" s="50">
        <f t="shared" si="48"/>
        <v>645.92235019999998</v>
      </c>
      <c r="KS55" s="50">
        <f t="shared" si="39"/>
        <v>40.295121569999999</v>
      </c>
      <c r="KT55" s="50">
        <f t="shared" si="49"/>
        <v>686.21747176999986</v>
      </c>
      <c r="KU55" s="50">
        <f t="shared" si="98"/>
        <v>645.922011</v>
      </c>
      <c r="KV55" s="50">
        <v>40.295119999999997</v>
      </c>
      <c r="KW55" s="50">
        <f>40.29512+645.922011</f>
        <v>686.21713099999999</v>
      </c>
      <c r="KX55" s="50">
        <v>64.814561979999993</v>
      </c>
      <c r="KY55" s="50">
        <v>2.5366039200000001</v>
      </c>
      <c r="KZ55" s="50">
        <v>67.351165899999998</v>
      </c>
      <c r="LA55" s="50">
        <v>57.078029040000004</v>
      </c>
      <c r="LB55" s="50">
        <v>2.3336907699999996</v>
      </c>
      <c r="LC55" s="50">
        <v>59.411719810000001</v>
      </c>
      <c r="LD55" s="50">
        <v>59.585128519999991</v>
      </c>
      <c r="LE55" s="50">
        <v>1.8947953599999998</v>
      </c>
      <c r="LF55" s="87">
        <v>61.479923879999987</v>
      </c>
      <c r="LG55" s="50">
        <v>64.089222179999993</v>
      </c>
      <c r="LH55" s="50">
        <v>3.0495335600000004</v>
      </c>
      <c r="LI55" s="175">
        <v>67.138755739999979</v>
      </c>
      <c r="LJ55" s="174">
        <v>55.479272589999994</v>
      </c>
      <c r="LK55" s="50">
        <v>2.0671628800000001</v>
      </c>
      <c r="LL55" s="174">
        <v>57.546435469999992</v>
      </c>
      <c r="LM55" s="50">
        <v>102.66174233000001</v>
      </c>
      <c r="LN55" s="50">
        <v>1.0310123</v>
      </c>
      <c r="LO55" s="50">
        <v>103.69275463000002</v>
      </c>
      <c r="LP55" s="44">
        <v>43.512058680000003</v>
      </c>
      <c r="LQ55" s="44">
        <v>1.4398894099999999</v>
      </c>
      <c r="LR55" s="44">
        <v>44.951948089999995</v>
      </c>
      <c r="LS55" s="52">
        <v>25.20957155</v>
      </c>
      <c r="LT55" s="44">
        <v>7.2011083999999999</v>
      </c>
      <c r="LU55" s="52">
        <v>32.410679950000002</v>
      </c>
      <c r="LV55" s="44">
        <v>57.120140220000003</v>
      </c>
      <c r="LW55" s="44">
        <v>5.0840643499999993</v>
      </c>
      <c r="LX55" s="44">
        <v>62.204204570000009</v>
      </c>
      <c r="LY55" s="44">
        <v>64.450906690000011</v>
      </c>
      <c r="LZ55" s="44">
        <v>3.5464443400000003</v>
      </c>
      <c r="MA55" s="44">
        <v>67.997351030000004</v>
      </c>
      <c r="MB55" s="44">
        <v>57.66723214000001</v>
      </c>
      <c r="MC55" s="44">
        <v>1.6865461100000001</v>
      </c>
      <c r="MD55" s="44">
        <v>59.353778250000005</v>
      </c>
      <c r="ME55" s="44">
        <v>53.474534459999546</v>
      </c>
      <c r="MF55" s="44">
        <v>4.2072189300000007</v>
      </c>
      <c r="MG55" s="44">
        <v>57.681753389999535</v>
      </c>
      <c r="MH55" s="50">
        <f t="shared" si="66"/>
        <v>705.14240037999957</v>
      </c>
      <c r="MI55" s="50">
        <f t="shared" si="50"/>
        <v>36.078070330000003</v>
      </c>
      <c r="MJ55" s="50">
        <f t="shared" si="51"/>
        <v>741.22047070999952</v>
      </c>
      <c r="MK55" s="50">
        <f t="shared" si="99"/>
        <v>705.09373900000003</v>
      </c>
      <c r="ML55" s="50">
        <v>36.078068999999999</v>
      </c>
      <c r="MM55" s="50">
        <f>705.093739+36.078069</f>
        <v>741.17180800000006</v>
      </c>
      <c r="MN55" s="44">
        <v>61.880413879999992</v>
      </c>
      <c r="MO55" s="44">
        <v>0.45053271999999989</v>
      </c>
      <c r="MP55" s="44">
        <v>62.330946600000004</v>
      </c>
      <c r="MQ55" s="44">
        <v>73.957537329999994</v>
      </c>
      <c r="MR55" s="44">
        <v>2.9503750499999999</v>
      </c>
      <c r="MS55" s="44">
        <v>76.907912380000013</v>
      </c>
      <c r="MT55" s="50">
        <v>71.609486039999993</v>
      </c>
      <c r="MU55" s="50">
        <v>1.0997541799999999</v>
      </c>
      <c r="MV55" s="50">
        <v>72.70924021999997</v>
      </c>
      <c r="MW55" s="44">
        <v>68.908976749999994</v>
      </c>
      <c r="MX55" s="44">
        <v>2.30686379</v>
      </c>
      <c r="MY55" s="44">
        <v>71.215840540000031</v>
      </c>
      <c r="MZ55" s="44">
        <v>57.401541569999999</v>
      </c>
      <c r="NA55" s="44">
        <v>1.7667345799999996</v>
      </c>
      <c r="NB55" s="50">
        <v>59.168276149999997</v>
      </c>
      <c r="NC55" s="44">
        <v>122.02368016</v>
      </c>
      <c r="ND55" s="44">
        <v>1.6185512500000001</v>
      </c>
      <c r="NE55" s="44">
        <v>123.64223140999998</v>
      </c>
      <c r="NF55" s="44">
        <v>26.172290289999999</v>
      </c>
      <c r="NG55" s="44">
        <v>1.1133178800000001</v>
      </c>
      <c r="NH55" s="44">
        <v>27.285608169999989</v>
      </c>
      <c r="NI55" s="44">
        <v>25.839042750000004</v>
      </c>
      <c r="NJ55" s="44">
        <v>1.6839609099999997</v>
      </c>
      <c r="NK55" s="44">
        <v>27.523003660000001</v>
      </c>
      <c r="NL55" s="44">
        <v>54.253040470000016</v>
      </c>
      <c r="NM55" s="44">
        <v>1.5614845800000001</v>
      </c>
      <c r="NN55" s="44">
        <v>55.814525050000015</v>
      </c>
      <c r="NO55" s="44">
        <v>77.837958749999999</v>
      </c>
      <c r="NP55" s="44">
        <v>4.8045114899999994</v>
      </c>
      <c r="NQ55" s="44">
        <v>82.642470239999994</v>
      </c>
      <c r="NR55" s="44">
        <v>58.646697870000004</v>
      </c>
      <c r="NS55" s="44">
        <v>3.0170545400000002</v>
      </c>
      <c r="NT55" s="44">
        <v>61.663752410000008</v>
      </c>
      <c r="NU55" s="44">
        <v>62.253843979999999</v>
      </c>
      <c r="NV55" s="44">
        <v>3.462375789999999</v>
      </c>
      <c r="NW55" s="44">
        <v>65.716219769999995</v>
      </c>
      <c r="NX55" s="50">
        <f t="shared" si="117"/>
        <v>760.78450983999983</v>
      </c>
      <c r="NY55" s="50">
        <f t="shared" si="40"/>
        <v>25.835516759999997</v>
      </c>
      <c r="NZ55" s="50">
        <f t="shared" si="41"/>
        <v>786.62002659999996</v>
      </c>
      <c r="OA55" s="50">
        <f t="shared" si="100"/>
        <v>760.78451099999995</v>
      </c>
      <c r="OB55" s="50">
        <v>25.835515999999998</v>
      </c>
      <c r="OC55" s="50">
        <v>786.62002699999994</v>
      </c>
      <c r="OD55" s="44">
        <v>75.100044909999994</v>
      </c>
      <c r="OE55" s="44">
        <v>1.08762033</v>
      </c>
      <c r="OF55" s="44">
        <v>76.187665239999973</v>
      </c>
      <c r="OG55" s="50">
        <v>59.097823030000015</v>
      </c>
      <c r="OH55" s="44">
        <v>1.5625084599999999</v>
      </c>
      <c r="OI55" s="44">
        <v>60.660331490000011</v>
      </c>
      <c r="OJ55" s="44">
        <f t="shared" si="107"/>
        <v>68.441593859999998</v>
      </c>
      <c r="OK55" s="44">
        <v>1.74265523</v>
      </c>
      <c r="OL55" s="44">
        <v>70.184249089999994</v>
      </c>
      <c r="OM55" s="44">
        <v>81.952662039999993</v>
      </c>
      <c r="ON55" s="44">
        <v>1.11296449</v>
      </c>
      <c r="OO55" s="44">
        <v>83.065626530000003</v>
      </c>
      <c r="OP55" s="44">
        <v>61.682434309999984</v>
      </c>
      <c r="OQ55" s="44">
        <v>1.9618963700000003</v>
      </c>
      <c r="OR55" s="44">
        <v>63.644330679999982</v>
      </c>
      <c r="OS55" s="44">
        <v>135.89538937000003</v>
      </c>
      <c r="OT55" s="44">
        <v>1.22996354</v>
      </c>
      <c r="OU55" s="44">
        <v>137.12535291</v>
      </c>
      <c r="OV55" s="44">
        <v>49.879152570000016</v>
      </c>
      <c r="OW55" s="44">
        <v>3.2587431299999996</v>
      </c>
      <c r="OX55" s="44">
        <v>53.137895700000023</v>
      </c>
      <c r="OY55" s="95">
        <v>33.796021790000005</v>
      </c>
      <c r="OZ55" s="95">
        <v>2.7374750800000003</v>
      </c>
      <c r="PA55" s="95">
        <v>36.533496870000008</v>
      </c>
      <c r="PB55" s="44">
        <v>74.188614399999992</v>
      </c>
      <c r="PC55" s="44">
        <v>4.3823685399999999</v>
      </c>
      <c r="PD55" s="44">
        <v>78.570982939999979</v>
      </c>
      <c r="PE55" s="44">
        <v>99.40435829999997</v>
      </c>
      <c r="PF55" s="44">
        <v>1.4065455199999999</v>
      </c>
      <c r="PG55" s="44">
        <v>100.81090381999996</v>
      </c>
      <c r="PH55" s="44">
        <v>68.374499729999997</v>
      </c>
      <c r="PI55" s="44">
        <v>2.5314703499999998</v>
      </c>
      <c r="PJ55" s="44">
        <v>70.905970080000017</v>
      </c>
      <c r="PK55" s="44">
        <v>74.208441809999982</v>
      </c>
      <c r="PL55" s="44">
        <v>3.3778891900000003</v>
      </c>
      <c r="PM55" s="44">
        <v>77.586331000000001</v>
      </c>
      <c r="PN55" s="50">
        <f t="shared" si="122"/>
        <v>882.02103612000008</v>
      </c>
      <c r="PO55" s="50">
        <f t="shared" si="108"/>
        <v>26.39210023</v>
      </c>
      <c r="PP55" s="50">
        <f t="shared" si="116"/>
        <v>908.41313634999995</v>
      </c>
      <c r="PQ55" s="50">
        <f t="shared" si="118"/>
        <v>882.03596576999996</v>
      </c>
      <c r="PR55" s="50">
        <v>26.39210023</v>
      </c>
      <c r="PS55" s="50">
        <v>908.42806599999994</v>
      </c>
      <c r="PT55" s="44">
        <v>80.833221269999996</v>
      </c>
      <c r="PU55" s="44">
        <v>1.34016081</v>
      </c>
      <c r="PV55" s="44">
        <v>82.173382079999996</v>
      </c>
      <c r="PW55" s="44">
        <v>66.229642300000009</v>
      </c>
      <c r="PX55" s="44">
        <v>1.2950014400000001</v>
      </c>
      <c r="PY55" s="44">
        <v>67.524643740000002</v>
      </c>
      <c r="PZ55" s="44">
        <v>62.987331389999994</v>
      </c>
      <c r="QA55" s="44">
        <v>2.1572643199999999</v>
      </c>
      <c r="QB55" s="44">
        <v>65.144595709999976</v>
      </c>
      <c r="QC55" s="44">
        <v>90.859051829999999</v>
      </c>
      <c r="QD55" s="44">
        <v>2.4910384099999998</v>
      </c>
      <c r="QE55" s="44">
        <v>93.350090239999986</v>
      </c>
      <c r="QF55" s="50">
        <v>62.483999869999998</v>
      </c>
      <c r="QG55" s="44">
        <v>1.7768345200000002</v>
      </c>
      <c r="QH55" s="44">
        <v>64.260834389999999</v>
      </c>
      <c r="QI55" s="50">
        <v>158.41372348000002</v>
      </c>
      <c r="QJ55" s="44">
        <v>2.7111685199999997</v>
      </c>
      <c r="QK55" s="44">
        <v>161.12489200000002</v>
      </c>
      <c r="QL55" s="44">
        <v>37.584812169999999</v>
      </c>
      <c r="QM55" s="44">
        <v>3.4756368699999993</v>
      </c>
      <c r="QN55" s="44">
        <v>41.060449040000002</v>
      </c>
      <c r="QO55" s="50">
        <v>19.404061990000006</v>
      </c>
      <c r="QP55" s="44">
        <v>3.0212697799999999</v>
      </c>
      <c r="QQ55" s="44">
        <v>22.425331770000007</v>
      </c>
      <c r="QR55" s="44">
        <v>51.141620530000004</v>
      </c>
      <c r="QS55" s="44">
        <v>2.5893246799999998</v>
      </c>
      <c r="QT55" s="44">
        <v>53.730945210000002</v>
      </c>
      <c r="QU55" s="50">
        <v>107.61599923</v>
      </c>
      <c r="QV55" s="44">
        <v>2.02231797</v>
      </c>
      <c r="QW55" s="44">
        <v>109.6383172</v>
      </c>
      <c r="QX55" s="50">
        <v>66.550580409999966</v>
      </c>
      <c r="QY55" s="44">
        <v>1.1030075199999998</v>
      </c>
      <c r="QZ55" s="44">
        <v>67.653587929999972</v>
      </c>
      <c r="RA55" s="50">
        <v>70.078671780000008</v>
      </c>
      <c r="RB55" s="44">
        <v>3.9389326599999999</v>
      </c>
      <c r="RC55" s="44">
        <v>74.017604440000014</v>
      </c>
      <c r="RD55" s="50">
        <f t="shared" si="52"/>
        <v>874.18271624999988</v>
      </c>
      <c r="RE55" s="50">
        <f t="shared" si="53"/>
        <v>27.921957499999994</v>
      </c>
      <c r="RF55" s="50">
        <f t="shared" si="54"/>
        <v>902.10467374999985</v>
      </c>
      <c r="RG55" s="50">
        <f t="shared" si="119"/>
        <v>874.18271900000002</v>
      </c>
      <c r="RH55" s="50">
        <v>27.921959000000001</v>
      </c>
      <c r="RI55" s="50">
        <v>902.10467800000004</v>
      </c>
      <c r="RJ55" s="50">
        <v>90.788793519999999</v>
      </c>
      <c r="RK55" s="50">
        <v>1.0032184099999999</v>
      </c>
      <c r="RL55" s="50">
        <v>91.792011929999987</v>
      </c>
      <c r="RM55" s="50">
        <v>73.171483069999994</v>
      </c>
      <c r="RN55" s="50">
        <v>1.6899273599999998</v>
      </c>
      <c r="RO55" s="50">
        <v>74.861410429999978</v>
      </c>
      <c r="RP55" s="50">
        <v>78.795450129999963</v>
      </c>
      <c r="RQ55" s="50">
        <v>1.3868122699999998</v>
      </c>
      <c r="RR55" s="50">
        <v>80.182262399999985</v>
      </c>
      <c r="RS55" s="50">
        <v>104.62872301000004</v>
      </c>
      <c r="RT55" s="50">
        <v>1.2747406000000001</v>
      </c>
      <c r="RU55" s="50">
        <v>105.90346361000005</v>
      </c>
      <c r="RV55" s="50">
        <v>68.692275039999984</v>
      </c>
      <c r="RW55" s="50">
        <v>0.9773942499999998</v>
      </c>
      <c r="RX55" s="50">
        <v>69.669669289999987</v>
      </c>
      <c r="RY55" s="50">
        <v>177.73557261000008</v>
      </c>
      <c r="RZ55" s="50">
        <v>0.76727186999999997</v>
      </c>
      <c r="SA55" s="50">
        <v>178.50284448000008</v>
      </c>
      <c r="SB55" s="50">
        <v>30.870823620000007</v>
      </c>
      <c r="SC55" s="50">
        <v>3.4383099500000003</v>
      </c>
      <c r="SD55" s="50">
        <v>34.309133570000007</v>
      </c>
      <c r="SE55" s="50">
        <v>15.917629760000001</v>
      </c>
      <c r="SF55" s="50">
        <v>1.8251228600000002</v>
      </c>
      <c r="SG55" s="50">
        <v>17.742752620000001</v>
      </c>
      <c r="SH55" s="50">
        <v>53.800640730000005</v>
      </c>
      <c r="SI55" s="50">
        <v>2.8126855899999996</v>
      </c>
      <c r="SJ55" s="50">
        <v>56.613326320000006</v>
      </c>
      <c r="SK55" s="50">
        <v>106.84882467</v>
      </c>
      <c r="SL55" s="50">
        <v>0.76292302000000001</v>
      </c>
      <c r="SM55" s="50">
        <v>107.61174769</v>
      </c>
      <c r="SN55" s="50">
        <v>76.45584884000003</v>
      </c>
      <c r="SO55" s="50">
        <v>0.54939344000000001</v>
      </c>
      <c r="SP55" s="50">
        <v>77.005242280000033</v>
      </c>
      <c r="SQ55" s="50">
        <v>69.228263910000024</v>
      </c>
      <c r="SR55" s="50">
        <v>1.8830852600000001</v>
      </c>
      <c r="SS55" s="50">
        <v>71.111349170000025</v>
      </c>
      <c r="ST55" s="50">
        <f t="shared" si="55"/>
        <v>946.93432891000009</v>
      </c>
      <c r="SU55" s="50">
        <f t="shared" si="65"/>
        <v>18.370884880000002</v>
      </c>
      <c r="SV55" s="50">
        <f t="shared" si="56"/>
        <v>965.30521379000027</v>
      </c>
      <c r="SW55" s="50">
        <f t="shared" si="103"/>
        <v>946.94018200000005</v>
      </c>
      <c r="SX55" s="50">
        <v>18.364530999999999</v>
      </c>
      <c r="SY55" s="50">
        <v>965.30471299999999</v>
      </c>
      <c r="SZ55" s="50">
        <v>108.54681420999998</v>
      </c>
      <c r="TA55" s="50">
        <v>1.7912134499999999</v>
      </c>
      <c r="TB55" s="50">
        <v>110.33802765999997</v>
      </c>
      <c r="TC55" s="50">
        <v>79.458612139999985</v>
      </c>
      <c r="TD55" s="50">
        <v>0.98481746999999997</v>
      </c>
      <c r="TE55" s="50">
        <v>80.443429609999981</v>
      </c>
      <c r="TF55" s="50">
        <v>81.783883829999979</v>
      </c>
      <c r="TG55" s="50">
        <v>0.95966852000000014</v>
      </c>
      <c r="TH55" s="50">
        <v>82.743552349999973</v>
      </c>
      <c r="TI55" s="50">
        <v>105.22620595999996</v>
      </c>
      <c r="TJ55" s="50">
        <v>1.6516960600000001</v>
      </c>
      <c r="TK55" s="50">
        <v>106.87790201999996</v>
      </c>
      <c r="TL55" s="50">
        <v>82.195066240000017</v>
      </c>
      <c r="TM55" s="50">
        <v>1.6682108199999999</v>
      </c>
      <c r="TN55" s="50">
        <v>83.863277060000016</v>
      </c>
      <c r="TO55" s="50">
        <v>179.65050789</v>
      </c>
      <c r="TP55" s="50">
        <v>4.1102620399999994</v>
      </c>
      <c r="TQ55" s="50">
        <v>183.76076993000001</v>
      </c>
      <c r="TR55" s="50">
        <v>40.74835818999999</v>
      </c>
      <c r="TS55" s="50">
        <v>4.7286983500000002</v>
      </c>
      <c r="TT55" s="50">
        <v>45.477056539999992</v>
      </c>
      <c r="TU55" s="50">
        <v>21.533965629999994</v>
      </c>
      <c r="TV55" s="50">
        <v>5.2718713800000003</v>
      </c>
      <c r="TW55" s="50">
        <v>26.805837009999994</v>
      </c>
      <c r="TX55" s="50">
        <v>110.2268723</v>
      </c>
      <c r="TY55" s="50">
        <v>3.20364206</v>
      </c>
      <c r="TZ55" s="50">
        <v>113.43051436</v>
      </c>
      <c r="UA55" s="50">
        <v>78.28560966000002</v>
      </c>
      <c r="UB55" s="50">
        <v>4.5036113799999997</v>
      </c>
      <c r="UC55" s="50">
        <v>82.789221040000015</v>
      </c>
      <c r="UD55" s="50">
        <v>77.048002700000026</v>
      </c>
      <c r="UE55" s="50">
        <v>2.8690046699999998</v>
      </c>
      <c r="UF55" s="50">
        <v>79.917007370000022</v>
      </c>
      <c r="UG55" s="50">
        <v>79.54506854000013</v>
      </c>
      <c r="UH55" s="50">
        <v>2.8027713300000001</v>
      </c>
      <c r="UI55" s="50">
        <v>82.347839870000129</v>
      </c>
      <c r="UJ55" s="50">
        <f t="shared" si="45"/>
        <v>1044.2489672899999</v>
      </c>
      <c r="UK55" s="50">
        <f t="shared" si="15"/>
        <v>34.545467529999996</v>
      </c>
      <c r="UL55" s="50">
        <f t="shared" si="16"/>
        <v>1078.7944348200001</v>
      </c>
      <c r="UM55" s="50">
        <v>103.82803537000004</v>
      </c>
      <c r="UN55" s="50">
        <v>3.7176988300000002</v>
      </c>
      <c r="UO55" s="50">
        <v>107.54573420000004</v>
      </c>
      <c r="UP55" s="50">
        <v>99.126771069999961</v>
      </c>
      <c r="UQ55" s="50">
        <v>5.7083101000000003</v>
      </c>
      <c r="UR55" s="50">
        <v>104.83508116999997</v>
      </c>
      <c r="US55" s="50">
        <v>84.742473509999996</v>
      </c>
      <c r="UT55" s="50">
        <v>2.3819451200000001</v>
      </c>
      <c r="UU55" s="50">
        <v>87.124418629999994</v>
      </c>
      <c r="UV55" s="50">
        <v>107.72663151999996</v>
      </c>
      <c r="UW55" s="50">
        <v>1.9098251000000002</v>
      </c>
      <c r="UX55" s="50">
        <v>109.63645661999996</v>
      </c>
      <c r="UY55" s="50"/>
      <c r="UZ55" s="50"/>
      <c r="VA55" s="50"/>
      <c r="VB55" s="50"/>
      <c r="VC55" s="50"/>
      <c r="VD55" s="50"/>
      <c r="VE55" s="50"/>
      <c r="VF55" s="50"/>
      <c r="VG55" s="50"/>
      <c r="VH55" s="50"/>
      <c r="VI55" s="50"/>
      <c r="VJ55" s="50"/>
      <c r="VK55" s="50"/>
      <c r="VL55" s="50"/>
      <c r="VM55" s="50"/>
      <c r="VN55" s="50"/>
      <c r="VO55" s="50"/>
      <c r="VP55" s="50"/>
      <c r="VQ55" s="50"/>
      <c r="VR55" s="50"/>
      <c r="VS55" s="50"/>
      <c r="VT55" s="50"/>
      <c r="VU55" s="50"/>
      <c r="VV55" s="50"/>
      <c r="VW55" s="276">
        <f t="shared" si="57"/>
        <v>375.01551599999999</v>
      </c>
      <c r="VX55" s="292">
        <f t="shared" si="58"/>
        <v>5.3873959999999999</v>
      </c>
      <c r="VY55" s="292">
        <f t="shared" si="59"/>
        <v>380.40291200000001</v>
      </c>
      <c r="VZ55" s="276">
        <f t="shared" si="60"/>
        <v>395.42391099999998</v>
      </c>
      <c r="WA55" s="292">
        <f t="shared" si="61"/>
        <v>13.717779</v>
      </c>
      <c r="WB55" s="292">
        <f t="shared" si="62"/>
        <v>409.14169099999998</v>
      </c>
      <c r="WC55" s="277">
        <f t="shared" si="112"/>
        <v>28.738778999999965</v>
      </c>
      <c r="WD55" s="277">
        <f t="shared" si="104"/>
        <v>7.5548262364510919</v>
      </c>
    </row>
    <row r="56" spans="1:602" s="12" customFormat="1" ht="20.5">
      <c r="A56" s="314" t="s">
        <v>213</v>
      </c>
      <c r="B56" s="13" t="s">
        <v>214</v>
      </c>
      <c r="C56" s="47" t="s">
        <v>215</v>
      </c>
      <c r="D56" s="45">
        <v>0</v>
      </c>
      <c r="E56" s="42">
        <v>0</v>
      </c>
      <c r="F56" s="42">
        <v>-134.25389297727389</v>
      </c>
      <c r="G56" s="42">
        <v>216.08227517198006</v>
      </c>
      <c r="H56" s="42">
        <v>12.783690758732165</v>
      </c>
      <c r="I56" s="42">
        <v>13.975287562392928</v>
      </c>
      <c r="J56" s="42">
        <v>18.944935117051923</v>
      </c>
      <c r="K56" s="42">
        <v>14.268014567352006</v>
      </c>
      <c r="L56" s="42">
        <v>14.999409935053546</v>
      </c>
      <c r="M56" s="42">
        <v>21.202213077911001</v>
      </c>
      <c r="N56" s="42">
        <v>20.820913853635293</v>
      </c>
      <c r="O56" s="42">
        <v>12.964425358990542</v>
      </c>
      <c r="P56" s="42">
        <v>11.639751324671387</v>
      </c>
      <c r="Q56" s="42">
        <v>20.485274699631763</v>
      </c>
      <c r="R56" s="42">
        <v>16.255364938159023</v>
      </c>
      <c r="S56" s="42">
        <v>47.532546627494135</v>
      </c>
      <c r="T56" s="44" t="s">
        <v>46</v>
      </c>
      <c r="U56" s="44" t="s">
        <v>46</v>
      </c>
      <c r="V56" s="42">
        <v>225.99196788862901</v>
      </c>
      <c r="W56" s="42">
        <v>225.87182760758833</v>
      </c>
      <c r="X56" s="42">
        <v>12.421594071746888</v>
      </c>
      <c r="Y56" s="42">
        <v>14.233564407715381</v>
      </c>
      <c r="Z56" s="42">
        <v>13.703930256515331</v>
      </c>
      <c r="AA56" s="42">
        <v>18.758125821708472</v>
      </c>
      <c r="AB56" s="42">
        <v>16.792785755345729</v>
      </c>
      <c r="AC56" s="42">
        <v>22.939301711430218</v>
      </c>
      <c r="AD56" s="42">
        <v>18.875101735334461</v>
      </c>
      <c r="AE56" s="42">
        <v>14.564781930666301</v>
      </c>
      <c r="AF56" s="42">
        <v>13.967154427123353</v>
      </c>
      <c r="AG56" s="42">
        <v>15.19845387903313</v>
      </c>
      <c r="AH56" s="42">
        <v>15.350151678135013</v>
      </c>
      <c r="AI56" s="42">
        <v>19.18654845447664</v>
      </c>
      <c r="AJ56" s="42">
        <v>132.072988116175</v>
      </c>
      <c r="AK56" s="42">
        <v>63.918506624891201</v>
      </c>
      <c r="AL56" s="42">
        <v>195.99149412923092</v>
      </c>
      <c r="AM56" s="42">
        <v>195.99149691805968</v>
      </c>
      <c r="AN56" s="42">
        <v>10.190186737696427</v>
      </c>
      <c r="AO56" s="42">
        <v>13.735809585602812</v>
      </c>
      <c r="AP56" s="42">
        <v>16.958257209691464</v>
      </c>
      <c r="AQ56" s="42">
        <v>15.446499792260717</v>
      </c>
      <c r="AR56" s="42">
        <v>16.366918799551513</v>
      </c>
      <c r="AS56" s="42">
        <v>20.46518259713946</v>
      </c>
      <c r="AT56" s="42">
        <v>16.782521158103823</v>
      </c>
      <c r="AU56" s="42">
        <v>11.214460774269924</v>
      </c>
      <c r="AV56" s="42">
        <v>14.206706279417874</v>
      </c>
      <c r="AW56" s="42">
        <v>11.688463639933751</v>
      </c>
      <c r="AX56" s="42">
        <v>12.99644708908885</v>
      </c>
      <c r="AY56" s="42">
        <v>16.543091672785017</v>
      </c>
      <c r="AZ56" s="42">
        <v>132.16730902214556</v>
      </c>
      <c r="BA56" s="42">
        <v>44.427236313396079</v>
      </c>
      <c r="BB56" s="42">
        <v>176.59454533554165</v>
      </c>
      <c r="BC56" s="42">
        <f t="shared" si="21"/>
        <v>132.16730980472508</v>
      </c>
      <c r="BD56" s="42">
        <v>44.427237181347863</v>
      </c>
      <c r="BE56" s="42">
        <v>176.59454698607294</v>
      </c>
      <c r="BF56" s="44">
        <v>7.03084183</v>
      </c>
      <c r="BG56" s="44">
        <v>1.42452497</v>
      </c>
      <c r="BH56" s="44">
        <f>BF56+BG56</f>
        <v>8.4553668000000002</v>
      </c>
      <c r="BI56" s="42">
        <v>10.90590315</v>
      </c>
      <c r="BJ56" s="42">
        <v>2.1480710099999998</v>
      </c>
      <c r="BK56" s="44">
        <f>BI56+BJ56</f>
        <v>13.053974159999999</v>
      </c>
      <c r="BL56" s="44">
        <v>11.269780539999999</v>
      </c>
      <c r="BM56" s="44">
        <v>3.2090283099999999</v>
      </c>
      <c r="BN56" s="44">
        <f>BL56+BM56</f>
        <v>14.47880885</v>
      </c>
      <c r="BO56" s="44">
        <v>10.103730730000001</v>
      </c>
      <c r="BP56" s="44">
        <v>2.9297850099999998</v>
      </c>
      <c r="BQ56" s="44">
        <f>BO56+BP56</f>
        <v>13.03351574</v>
      </c>
      <c r="BR56" s="44">
        <v>9.54956505</v>
      </c>
      <c r="BS56" s="44">
        <v>1.82411156</v>
      </c>
      <c r="BT56" s="44">
        <f>BR56+BS56</f>
        <v>11.37367661</v>
      </c>
      <c r="BU56" s="44">
        <v>10.98786975</v>
      </c>
      <c r="BV56" s="44">
        <v>2.7810280699999996</v>
      </c>
      <c r="BW56" s="44">
        <f>BU56+BV56</f>
        <v>13.768897819999999</v>
      </c>
      <c r="BX56" s="44">
        <v>11.933461849999997</v>
      </c>
      <c r="BY56" s="44">
        <v>3.3629856500000002</v>
      </c>
      <c r="BZ56" s="44">
        <f>BX56+BY56</f>
        <v>15.296447499999998</v>
      </c>
      <c r="CA56" s="44">
        <v>7.3548744099999999</v>
      </c>
      <c r="CB56" s="44">
        <v>3.5496539</v>
      </c>
      <c r="CC56" s="44">
        <f>CA56+CB56</f>
        <v>10.90452831</v>
      </c>
      <c r="CD56" s="44">
        <v>7.8791585699999995</v>
      </c>
      <c r="CE56" s="44">
        <v>3.6589781199999996</v>
      </c>
      <c r="CF56" s="44">
        <f>CD56+CE56</f>
        <v>11.538136689999998</v>
      </c>
      <c r="CG56" s="44">
        <v>10.5496362</v>
      </c>
      <c r="CH56" s="44">
        <v>7.9726313499999995</v>
      </c>
      <c r="CI56" s="44">
        <f>CG56+CH56</f>
        <v>18.522267549999999</v>
      </c>
      <c r="CJ56" s="42">
        <v>10.48006494</v>
      </c>
      <c r="CK56" s="42">
        <v>2.8388054400000002</v>
      </c>
      <c r="CL56" s="44">
        <f>CJ56+CK56</f>
        <v>13.31887038</v>
      </c>
      <c r="CM56" s="42">
        <v>16.147602880000001</v>
      </c>
      <c r="CN56" s="42">
        <v>4.2862693600000004</v>
      </c>
      <c r="CO56" s="44">
        <f>CM56+CN56</f>
        <v>20.433872239999999</v>
      </c>
      <c r="CP56" s="44">
        <f t="shared" si="24"/>
        <v>124.1924899</v>
      </c>
      <c r="CQ56" s="44">
        <f t="shared" si="25"/>
        <v>39.985872749999999</v>
      </c>
      <c r="CR56" s="44">
        <f t="shared" si="26"/>
        <v>164.17836265</v>
      </c>
      <c r="CS56" s="42">
        <f t="shared" si="123"/>
        <v>124.192485</v>
      </c>
      <c r="CT56" s="42">
        <v>39.985796000000001</v>
      </c>
      <c r="CU56" s="42">
        <f>161.690416+2.487865</f>
        <v>164.178281</v>
      </c>
      <c r="CV56" s="42">
        <v>7.4059759299999994</v>
      </c>
      <c r="CW56" s="42">
        <v>1.1048397899999998</v>
      </c>
      <c r="CX56" s="44">
        <f>CV56+CW56</f>
        <v>8.5108157200000001</v>
      </c>
      <c r="CY56" s="42">
        <v>11.3511846</v>
      </c>
      <c r="CZ56" s="42">
        <v>3.4920059099999996</v>
      </c>
      <c r="DA56" s="44">
        <v>14.843190509999999</v>
      </c>
      <c r="DB56" s="42">
        <v>10.56736134</v>
      </c>
      <c r="DC56" s="42">
        <v>3.6516269700000006</v>
      </c>
      <c r="DD56" s="44">
        <v>14.21898831</v>
      </c>
      <c r="DE56" s="42">
        <v>11.310058809999999</v>
      </c>
      <c r="DF56" s="42">
        <v>3.2943277400000004</v>
      </c>
      <c r="DG56" s="44">
        <v>14.604386549999999</v>
      </c>
      <c r="DH56" s="42">
        <v>12.153694439999999</v>
      </c>
      <c r="DI56" s="42">
        <v>3.5875091899999996</v>
      </c>
      <c r="DJ56" s="44">
        <v>15.741203629999998</v>
      </c>
      <c r="DK56" s="42">
        <v>14.023907900000001</v>
      </c>
      <c r="DL56" s="42">
        <v>8.85108432</v>
      </c>
      <c r="DM56" s="44">
        <v>22.874992220000003</v>
      </c>
      <c r="DN56" s="42">
        <v>11.774381550000003</v>
      </c>
      <c r="DO56" s="42">
        <v>4.6330080100000002</v>
      </c>
      <c r="DP56" s="44">
        <v>16.407389560000002</v>
      </c>
      <c r="DQ56" s="42">
        <v>8.6234196000000001</v>
      </c>
      <c r="DR56" s="42">
        <v>2.0040255400000002</v>
      </c>
      <c r="DS56" s="44">
        <v>10.627445140000001</v>
      </c>
      <c r="DT56" s="42">
        <v>8.7413331400000001</v>
      </c>
      <c r="DU56" s="42">
        <v>2.2837079499999997</v>
      </c>
      <c r="DV56" s="44">
        <v>11.02504109</v>
      </c>
      <c r="DW56" s="42">
        <v>11.25414226</v>
      </c>
      <c r="DX56" s="42">
        <v>2.0679512200000003</v>
      </c>
      <c r="DY56" s="44">
        <v>13.322093479999999</v>
      </c>
      <c r="DZ56" s="42">
        <v>16.133969900000004</v>
      </c>
      <c r="EA56" s="42">
        <v>7.5513001400000004</v>
      </c>
      <c r="EB56" s="44">
        <v>23.685270040000006</v>
      </c>
      <c r="EC56" s="42">
        <v>12.027942909999998</v>
      </c>
      <c r="ED56" s="42">
        <v>4.59426383</v>
      </c>
      <c r="EE56" s="44">
        <v>16.622206739999999</v>
      </c>
      <c r="EF56" s="50">
        <f t="shared" si="27"/>
        <v>135.36737238000001</v>
      </c>
      <c r="EG56" s="50">
        <f t="shared" si="28"/>
        <v>47.115650610000003</v>
      </c>
      <c r="EH56" s="50">
        <f t="shared" si="29"/>
        <v>182.48302299000002</v>
      </c>
      <c r="EI56" s="50">
        <f t="shared" si="94"/>
        <v>135.37498039000002</v>
      </c>
      <c r="EJ56" s="50">
        <v>47.115650610000003</v>
      </c>
      <c r="EK56" s="50">
        <f>180.385937+2.104694</f>
        <v>182.49063100000001</v>
      </c>
      <c r="EL56" s="50">
        <v>7.5993925899999999</v>
      </c>
      <c r="EM56" s="50">
        <v>0.72847649000000003</v>
      </c>
      <c r="EN56" s="50">
        <v>8.3278690799999993</v>
      </c>
      <c r="EO56" s="50">
        <v>10.411936189999999</v>
      </c>
      <c r="EP56" s="50">
        <v>3.8671557000000001</v>
      </c>
      <c r="EQ56" s="50">
        <v>14.279091889999998</v>
      </c>
      <c r="ER56" s="50">
        <v>14.182609790000001</v>
      </c>
      <c r="ES56" s="50">
        <v>2.6472505399999999</v>
      </c>
      <c r="ET56" s="50">
        <v>16.829860330000002</v>
      </c>
      <c r="EU56" s="50">
        <v>13.51110119</v>
      </c>
      <c r="EV56" s="50">
        <v>6.0744374600000013</v>
      </c>
      <c r="EW56" s="50">
        <v>19.58553865</v>
      </c>
      <c r="EX56" s="50">
        <v>11.17620874</v>
      </c>
      <c r="EY56" s="50">
        <v>2.5526392200000001</v>
      </c>
      <c r="EZ56" s="50">
        <v>13.72884796</v>
      </c>
      <c r="FA56" s="50">
        <v>14.055575939999999</v>
      </c>
      <c r="FB56" s="50">
        <v>1.50611831</v>
      </c>
      <c r="FC56" s="50">
        <v>15.561694249999999</v>
      </c>
      <c r="FD56" s="50">
        <v>12.004316289999998</v>
      </c>
      <c r="FE56" s="50">
        <v>7.0553653499999998</v>
      </c>
      <c r="FF56" s="50">
        <v>19.059681639999997</v>
      </c>
      <c r="FG56" s="50">
        <v>9.1741450399999991</v>
      </c>
      <c r="FH56" s="50">
        <v>1.82358486</v>
      </c>
      <c r="FI56" s="50">
        <v>10.9977299</v>
      </c>
      <c r="FJ56" s="50">
        <v>10.212626010000001</v>
      </c>
      <c r="FK56" s="50">
        <v>1.60617874</v>
      </c>
      <c r="FL56" s="50">
        <v>11.818804750000002</v>
      </c>
      <c r="FM56" s="50">
        <v>13.103014629999999</v>
      </c>
      <c r="FN56" s="50">
        <v>2.75668983</v>
      </c>
      <c r="FO56" s="50">
        <v>15.85970446</v>
      </c>
      <c r="FP56" s="50">
        <v>12.242503019999999</v>
      </c>
      <c r="FQ56" s="50">
        <v>1.01735043</v>
      </c>
      <c r="FR56" s="50">
        <v>13.25985345</v>
      </c>
      <c r="FS56" s="50">
        <v>14.296902389999996</v>
      </c>
      <c r="FT56" s="50">
        <v>3.522049</v>
      </c>
      <c r="FU56" s="50">
        <v>17.818951389999995</v>
      </c>
      <c r="FV56" s="50">
        <f t="shared" si="30"/>
        <v>141.97033181999998</v>
      </c>
      <c r="FW56" s="50">
        <f t="shared" si="31"/>
        <v>35.157295930000004</v>
      </c>
      <c r="FX56" s="50">
        <f t="shared" si="32"/>
        <v>177.12762774999999</v>
      </c>
      <c r="FY56" s="50">
        <f t="shared" si="95"/>
        <v>141.97033400000001</v>
      </c>
      <c r="FZ56" s="50">
        <v>35.157296000000002</v>
      </c>
      <c r="GA56" s="50">
        <v>177.12763000000001</v>
      </c>
      <c r="GB56" s="50">
        <v>2.9155484699999996</v>
      </c>
      <c r="GC56" s="50">
        <v>1.70906161</v>
      </c>
      <c r="GD56" s="50">
        <v>4.6246100800000001</v>
      </c>
      <c r="GE56" s="50">
        <v>18.903094449999994</v>
      </c>
      <c r="GF56" s="50">
        <v>1.8413956899999999</v>
      </c>
      <c r="GG56" s="50">
        <v>20.744490139999993</v>
      </c>
      <c r="GH56" s="50">
        <v>15.62653998</v>
      </c>
      <c r="GI56" s="50">
        <v>3.8723602399999999</v>
      </c>
      <c r="GJ56" s="50">
        <v>19.498900219999999</v>
      </c>
      <c r="GK56" s="50">
        <v>13.16707265</v>
      </c>
      <c r="GL56" s="50">
        <v>4.0611619899999996</v>
      </c>
      <c r="GM56" s="50">
        <v>17.22823464</v>
      </c>
      <c r="GN56" s="50">
        <v>12.332417900000001</v>
      </c>
      <c r="GO56" s="50">
        <v>2.3657780600000002</v>
      </c>
      <c r="GP56" s="50">
        <v>14.698195960000001</v>
      </c>
      <c r="GQ56" s="50">
        <v>15.75625133</v>
      </c>
      <c r="GR56" s="50">
        <v>4.7579170099999999</v>
      </c>
      <c r="GS56" s="50">
        <v>20.514168339999998</v>
      </c>
      <c r="GT56" s="50">
        <v>13.37089263</v>
      </c>
      <c r="GU56" s="50">
        <v>7.2980709799999994</v>
      </c>
      <c r="GV56" s="50">
        <v>20.668963609999999</v>
      </c>
      <c r="GW56" s="50">
        <v>9.6637003799999981</v>
      </c>
      <c r="GX56" s="50">
        <v>5.1541311799999994</v>
      </c>
      <c r="GY56" s="50">
        <v>14.817831559999998</v>
      </c>
      <c r="GZ56" s="50">
        <v>10.194494249999998</v>
      </c>
      <c r="HA56" s="50">
        <v>2.3561696100000002</v>
      </c>
      <c r="HB56" s="50">
        <v>12.550663859999998</v>
      </c>
      <c r="HC56" s="50">
        <v>12.440567740000001</v>
      </c>
      <c r="HD56" s="50">
        <v>5.4356401500000002</v>
      </c>
      <c r="HE56" s="50">
        <v>17.87620789</v>
      </c>
      <c r="HF56" s="50">
        <v>13.492925829999999</v>
      </c>
      <c r="HG56" s="50">
        <v>5.2213201900000001</v>
      </c>
      <c r="HH56" s="50">
        <v>18.714246019999997</v>
      </c>
      <c r="HI56" s="50">
        <v>12.346373419999997</v>
      </c>
      <c r="HJ56" s="50">
        <v>7.1205748100000008</v>
      </c>
      <c r="HK56" s="50">
        <v>19.46694823</v>
      </c>
      <c r="HL56" s="50">
        <f t="shared" si="33"/>
        <v>150.20987902999997</v>
      </c>
      <c r="HM56" s="50">
        <f t="shared" si="34"/>
        <v>51.193581519999995</v>
      </c>
      <c r="HN56" s="50">
        <f t="shared" si="35"/>
        <v>201.40346054999998</v>
      </c>
      <c r="HO56" s="50">
        <f t="shared" si="96"/>
        <v>150.209878</v>
      </c>
      <c r="HP56" s="50">
        <v>51.193581999999999</v>
      </c>
      <c r="HQ56" s="50">
        <v>201.40346</v>
      </c>
      <c r="HR56" s="50">
        <v>6.4539566700000002</v>
      </c>
      <c r="HS56" s="50">
        <v>2.5890493700000001</v>
      </c>
      <c r="HT56" s="50">
        <v>9.0430060399999999</v>
      </c>
      <c r="HU56" s="50">
        <v>18.685662629999996</v>
      </c>
      <c r="HV56" s="50">
        <v>2.3690737000000004</v>
      </c>
      <c r="HW56" s="50">
        <v>21.054736329999997</v>
      </c>
      <c r="HX56" s="50">
        <v>14.735281179999999</v>
      </c>
      <c r="HY56" s="50">
        <v>4.325474100000001</v>
      </c>
      <c r="HZ56" s="50">
        <v>19.060755279999995</v>
      </c>
      <c r="IA56" s="50">
        <v>17.988650290000002</v>
      </c>
      <c r="IB56" s="50">
        <v>5.3826302399999992</v>
      </c>
      <c r="IC56" s="50">
        <v>23.371280530000003</v>
      </c>
      <c r="ID56" s="50">
        <v>10.135337579999998</v>
      </c>
      <c r="IE56" s="50">
        <v>4.67561435</v>
      </c>
      <c r="IF56" s="50">
        <v>14.810951930000002</v>
      </c>
      <c r="IG56" s="50">
        <v>12.709440940000002</v>
      </c>
      <c r="IH56" s="50">
        <v>4.4829334499999991</v>
      </c>
      <c r="II56" s="50">
        <v>17.192374390000008</v>
      </c>
      <c r="IJ56" s="50">
        <v>18.969879629999998</v>
      </c>
      <c r="IK56" s="50">
        <v>5.9557735100000011</v>
      </c>
      <c r="IL56" s="50">
        <v>24.925653140000001</v>
      </c>
      <c r="IM56" s="50">
        <v>8.2468266100000012</v>
      </c>
      <c r="IN56" s="50">
        <v>8.3203045000000007</v>
      </c>
      <c r="IO56" s="50">
        <v>16.567131109999998</v>
      </c>
      <c r="IP56" s="50">
        <v>11.806084129999999</v>
      </c>
      <c r="IQ56" s="50">
        <v>4.4257129199999996</v>
      </c>
      <c r="IR56" s="50">
        <v>16.231797049999997</v>
      </c>
      <c r="IS56" s="50">
        <v>17.855229000000001</v>
      </c>
      <c r="IT56" s="50">
        <v>5.9970932800000014</v>
      </c>
      <c r="IU56" s="50">
        <v>23.852322280000003</v>
      </c>
      <c r="IV56" s="50">
        <v>9.4568879600000013</v>
      </c>
      <c r="IW56" s="50">
        <v>4.9330516500000003</v>
      </c>
      <c r="IX56" s="50">
        <v>14.389939609999999</v>
      </c>
      <c r="IY56" s="50">
        <v>17.827836039999998</v>
      </c>
      <c r="IZ56" s="50">
        <v>6.1110317800000002</v>
      </c>
      <c r="JA56" s="50">
        <v>23.938867819999999</v>
      </c>
      <c r="JB56" s="50">
        <f t="shared" si="36"/>
        <v>164.87107265999998</v>
      </c>
      <c r="JC56" s="50">
        <f t="shared" si="37"/>
        <v>59.567742850000002</v>
      </c>
      <c r="JD56" s="50">
        <f t="shared" si="38"/>
        <v>224.43881550999998</v>
      </c>
      <c r="JE56" s="50">
        <f t="shared" si="97"/>
        <v>164.840261</v>
      </c>
      <c r="JF56" s="50">
        <v>59.567743</v>
      </c>
      <c r="JG56" s="50">
        <f>222.028943+2.379061</f>
        <v>224.40800400000001</v>
      </c>
      <c r="JH56" s="50">
        <v>7.5745360700000006</v>
      </c>
      <c r="JI56" s="50">
        <v>3.78757755</v>
      </c>
      <c r="JJ56" s="50">
        <v>11.362113620000002</v>
      </c>
      <c r="JK56" s="50">
        <v>19.16202681</v>
      </c>
      <c r="JL56" s="50">
        <v>5.4722308200000001</v>
      </c>
      <c r="JM56" s="50">
        <v>24.634257630000004</v>
      </c>
      <c r="JN56" s="50">
        <v>11.075944609999999</v>
      </c>
      <c r="JO56" s="50">
        <v>3.7128551199999995</v>
      </c>
      <c r="JP56" s="50">
        <v>14.788799729999999</v>
      </c>
      <c r="JQ56" s="50">
        <v>32.499269730000002</v>
      </c>
      <c r="JR56" s="50">
        <v>5.1744373899999996</v>
      </c>
      <c r="JS56" s="50">
        <v>37.673707120000024</v>
      </c>
      <c r="JT56" s="50">
        <v>5.5344195999999997</v>
      </c>
      <c r="JU56" s="50">
        <v>3.7018666200000001</v>
      </c>
      <c r="JV56" s="50">
        <v>9.2362862199999984</v>
      </c>
      <c r="JW56" s="50">
        <v>6.7004533999999998</v>
      </c>
      <c r="JX56" s="50">
        <v>3.5334219</v>
      </c>
      <c r="JY56" s="50">
        <v>10.233875300000001</v>
      </c>
      <c r="JZ56" s="50">
        <v>30.869651319999999</v>
      </c>
      <c r="KA56" s="50">
        <v>8.8492416400000007</v>
      </c>
      <c r="KB56" s="50">
        <v>39.718892959999984</v>
      </c>
      <c r="KC56" s="50">
        <v>3.8316329700000002</v>
      </c>
      <c r="KD56" s="50">
        <v>9.9969060899999995</v>
      </c>
      <c r="KE56" s="50">
        <v>13.828539060000002</v>
      </c>
      <c r="KF56" s="50">
        <v>9.6147619199999994</v>
      </c>
      <c r="KG56" s="50">
        <v>5.1187908099999992</v>
      </c>
      <c r="KH56" s="50">
        <v>14.733552730000003</v>
      </c>
      <c r="KI56" s="50">
        <v>33.262002670000001</v>
      </c>
      <c r="KJ56" s="50">
        <v>6.85162899</v>
      </c>
      <c r="KK56" s="50">
        <v>40.113631659999989</v>
      </c>
      <c r="KL56" s="50">
        <v>5.5994595800000004</v>
      </c>
      <c r="KM56" s="50">
        <v>3.7513766999999998</v>
      </c>
      <c r="KN56" s="50">
        <v>9.3508362800000011</v>
      </c>
      <c r="KO56" s="50">
        <v>8.1709811400000003</v>
      </c>
      <c r="KP56" s="50">
        <v>6.0403493499999996</v>
      </c>
      <c r="KQ56" s="50">
        <v>14.21133049</v>
      </c>
      <c r="KR56" s="50">
        <f t="shared" si="48"/>
        <v>173.89513982000005</v>
      </c>
      <c r="KS56" s="50">
        <f t="shared" si="39"/>
        <v>65.990682980000003</v>
      </c>
      <c r="KT56" s="50">
        <f t="shared" si="49"/>
        <v>239.8858228</v>
      </c>
      <c r="KU56" s="50">
        <f t="shared" si="98"/>
        <v>173.93588400000004</v>
      </c>
      <c r="KV56" s="50">
        <f>66.010381+0.02349</f>
        <v>66.033870999999991</v>
      </c>
      <c r="KW56" s="50">
        <f>66.051123+173.918632</f>
        <v>239.96975500000002</v>
      </c>
      <c r="KX56" s="50">
        <v>6.7888566300000006</v>
      </c>
      <c r="KY56" s="50">
        <v>3.897243780000001</v>
      </c>
      <c r="KZ56" s="50">
        <v>10.686100410000002</v>
      </c>
      <c r="LA56" s="50">
        <v>27.76859061</v>
      </c>
      <c r="LB56" s="50">
        <v>5.1740003800000007</v>
      </c>
      <c r="LC56" s="50">
        <v>32.942590989999999</v>
      </c>
      <c r="LD56" s="50">
        <v>8.25061921</v>
      </c>
      <c r="LE56" s="50">
        <v>6.7254936500000007</v>
      </c>
      <c r="LF56" s="87">
        <v>14.976112860000001</v>
      </c>
      <c r="LG56" s="50">
        <v>38.214056479999996</v>
      </c>
      <c r="LH56" s="50">
        <v>7.34533171</v>
      </c>
      <c r="LI56" s="175">
        <v>45.559388189999986</v>
      </c>
      <c r="LJ56" s="174">
        <v>3.5647448399999999</v>
      </c>
      <c r="LK56" s="50">
        <v>4.1186772500000002</v>
      </c>
      <c r="LL56" s="174">
        <v>7.6834220899999979</v>
      </c>
      <c r="LM56" s="50">
        <v>4.9457165599999993</v>
      </c>
      <c r="LN56" s="50">
        <v>4.806283989999999</v>
      </c>
      <c r="LO56" s="50">
        <v>9.7520005499999964</v>
      </c>
      <c r="LP56" s="44">
        <v>31.657933120000003</v>
      </c>
      <c r="LQ56" s="44">
        <v>7.7452275099999994</v>
      </c>
      <c r="LR56" s="44">
        <v>39.403160630000009</v>
      </c>
      <c r="LS56" s="52">
        <v>8.0383634599999993</v>
      </c>
      <c r="LT56" s="44">
        <v>9.9322270699999997</v>
      </c>
      <c r="LU56" s="52">
        <v>17.970590530000003</v>
      </c>
      <c r="LV56" s="44">
        <v>7.7644562399999986</v>
      </c>
      <c r="LW56" s="44">
        <v>7.2165242399999991</v>
      </c>
      <c r="LX56" s="44">
        <v>14.980980480000005</v>
      </c>
      <c r="LY56" s="44">
        <v>37.478229119999995</v>
      </c>
      <c r="LZ56" s="44">
        <v>6.5704221699999996</v>
      </c>
      <c r="MA56" s="44">
        <v>44.048651289999995</v>
      </c>
      <c r="MB56" s="44">
        <v>4.4756149800000005</v>
      </c>
      <c r="MC56" s="44">
        <v>4.8279165900000001</v>
      </c>
      <c r="MD56" s="44">
        <v>9.3035315700000005</v>
      </c>
      <c r="ME56" s="44">
        <v>8.9508275600000005</v>
      </c>
      <c r="MF56" s="44">
        <v>7.174629760000002</v>
      </c>
      <c r="MG56" s="44">
        <v>16.125457319999999</v>
      </c>
      <c r="MH56" s="50">
        <f t="shared" si="66"/>
        <v>187.89800880999996</v>
      </c>
      <c r="MI56" s="50">
        <f t="shared" si="50"/>
        <v>75.533978099999999</v>
      </c>
      <c r="MJ56" s="50">
        <f t="shared" si="51"/>
        <v>263.43198690999998</v>
      </c>
      <c r="MK56" s="50">
        <f t="shared" si="99"/>
        <v>187.52722099999997</v>
      </c>
      <c r="ML56" s="50">
        <f>75.49235+0.014052+0.370787</f>
        <v>75.877189000000016</v>
      </c>
      <c r="MM56" s="50">
        <f>186.681037+76.723373</f>
        <v>263.40440999999998</v>
      </c>
      <c r="MN56" s="44">
        <v>26.669935479999999</v>
      </c>
      <c r="MO56" s="44">
        <v>5.7082130800000002</v>
      </c>
      <c r="MP56" s="44">
        <v>32.37814856</v>
      </c>
      <c r="MQ56" s="44">
        <v>10.206574489999999</v>
      </c>
      <c r="MR56" s="44">
        <v>7.9915954000000005</v>
      </c>
      <c r="MS56" s="44">
        <v>18.198169889999999</v>
      </c>
      <c r="MT56" s="50">
        <v>25.572448700000002</v>
      </c>
      <c r="MU56" s="50">
        <v>5.3631580100000011</v>
      </c>
      <c r="MV56" s="50">
        <v>30.935606710000005</v>
      </c>
      <c r="MW56" s="44">
        <v>35.631706680000001</v>
      </c>
      <c r="MX56" s="44">
        <v>6.58659178</v>
      </c>
      <c r="MY56" s="44">
        <v>42.21829846</v>
      </c>
      <c r="MZ56" s="44">
        <v>5.9843590999999998</v>
      </c>
      <c r="NA56" s="44">
        <v>6.9267172400000003</v>
      </c>
      <c r="NB56" s="50">
        <v>12.911076339999997</v>
      </c>
      <c r="NC56" s="44">
        <v>8.5065099499999999</v>
      </c>
      <c r="ND56" s="44">
        <v>4.5828841899999997</v>
      </c>
      <c r="NE56" s="44">
        <v>13.089394139999996</v>
      </c>
      <c r="NF56" s="44">
        <v>38.678204810000004</v>
      </c>
      <c r="NG56" s="44">
        <v>5.8206331000000002</v>
      </c>
      <c r="NH56" s="44">
        <v>44.498837910000006</v>
      </c>
      <c r="NI56" s="44">
        <v>6.8264422299999996</v>
      </c>
      <c r="NJ56" s="44">
        <v>4.58244162</v>
      </c>
      <c r="NK56" s="44">
        <v>11.408883849999997</v>
      </c>
      <c r="NL56" s="44">
        <v>5.4449911899999996</v>
      </c>
      <c r="NM56" s="44">
        <v>4.9157903500000009</v>
      </c>
      <c r="NN56" s="44">
        <v>10.360781539999998</v>
      </c>
      <c r="NO56" s="44">
        <v>36.610301509999999</v>
      </c>
      <c r="NP56" s="44">
        <v>6.9181804699999994</v>
      </c>
      <c r="NQ56" s="44">
        <v>43.528481980000002</v>
      </c>
      <c r="NR56" s="44">
        <v>7.5011917600000002</v>
      </c>
      <c r="NS56" s="44">
        <v>8.6694165299999995</v>
      </c>
      <c r="NT56" s="44">
        <v>16.170608290000004</v>
      </c>
      <c r="NU56" s="44">
        <v>15.157531349999999</v>
      </c>
      <c r="NV56" s="44">
        <v>10.195945269999999</v>
      </c>
      <c r="NW56" s="44">
        <v>25.353476620000006</v>
      </c>
      <c r="NX56" s="50">
        <f t="shared" si="117"/>
        <v>222.79019725000001</v>
      </c>
      <c r="NY56" s="162">
        <f t="shared" si="40"/>
        <v>78.261567040000003</v>
      </c>
      <c r="NZ56" s="50">
        <f t="shared" si="41"/>
        <v>301.05176428999999</v>
      </c>
      <c r="OA56" s="50">
        <f t="shared" si="100"/>
        <v>222.869934</v>
      </c>
      <c r="OB56" s="50">
        <f>78.387115</f>
        <v>78.387114999999994</v>
      </c>
      <c r="OC56" s="50">
        <v>301.25704899999999</v>
      </c>
      <c r="OD56" s="44">
        <v>14.64089119</v>
      </c>
      <c r="OE56" s="44">
        <v>4.6687466799999999</v>
      </c>
      <c r="OF56" s="44">
        <v>19.309637869999996</v>
      </c>
      <c r="OG56" s="50">
        <v>33.035760229999987</v>
      </c>
      <c r="OH56" s="44">
        <v>9.2288865799999993</v>
      </c>
      <c r="OI56" s="44">
        <v>42.264646809999988</v>
      </c>
      <c r="OJ56" s="44">
        <f t="shared" si="107"/>
        <v>10.803119119999998</v>
      </c>
      <c r="OK56" s="44">
        <v>5.9855127399999999</v>
      </c>
      <c r="OL56" s="44">
        <v>16.788631859999999</v>
      </c>
      <c r="OM56" s="44">
        <v>43.05347257999999</v>
      </c>
      <c r="ON56" s="44">
        <v>9.2860811699999974</v>
      </c>
      <c r="OO56" s="44">
        <v>52.33955375</v>
      </c>
      <c r="OP56" s="44">
        <v>6.5297318700000009</v>
      </c>
      <c r="OQ56" s="44">
        <v>5.223252060000001</v>
      </c>
      <c r="OR56" s="44">
        <v>11.752983930000003</v>
      </c>
      <c r="OS56" s="44">
        <v>12.695183139999999</v>
      </c>
      <c r="OT56" s="44">
        <v>5.6778317400000002</v>
      </c>
      <c r="OU56" s="44">
        <v>18.373014879999996</v>
      </c>
      <c r="OV56" s="44">
        <v>38.33465696999999</v>
      </c>
      <c r="OW56" s="44">
        <v>8.5709715899999992</v>
      </c>
      <c r="OX56" s="44">
        <v>46.905628559999997</v>
      </c>
      <c r="OY56" s="95">
        <v>5.7643766000000012</v>
      </c>
      <c r="OZ56" s="95">
        <v>11.07305085</v>
      </c>
      <c r="PA56" s="95">
        <v>16.837427449999996</v>
      </c>
      <c r="PB56" s="44">
        <v>6.3494741300000017</v>
      </c>
      <c r="PC56" s="44">
        <v>5.5915323499999987</v>
      </c>
      <c r="PD56" s="44">
        <v>11.941006479999999</v>
      </c>
      <c r="PE56" s="44">
        <v>46.449811799999985</v>
      </c>
      <c r="PF56" s="44">
        <v>9.1601422800000005</v>
      </c>
      <c r="PG56" s="44">
        <v>55.609954079999994</v>
      </c>
      <c r="PH56" s="44">
        <v>6.3139966200000002</v>
      </c>
      <c r="PI56" s="44">
        <v>6.471385409999999</v>
      </c>
      <c r="PJ56" s="44">
        <v>12.785382029999999</v>
      </c>
      <c r="PK56" s="44">
        <v>14.976300350000001</v>
      </c>
      <c r="PL56" s="44">
        <v>10.20536867</v>
      </c>
      <c r="PM56" s="44">
        <v>25.181669019999998</v>
      </c>
      <c r="PN56" s="50">
        <f t="shared" si="122"/>
        <v>238.94677459999997</v>
      </c>
      <c r="PO56" s="50">
        <f t="shared" si="108"/>
        <v>91.14276212</v>
      </c>
      <c r="PP56" s="50">
        <f t="shared" si="116"/>
        <v>330.08953671999996</v>
      </c>
      <c r="PQ56" s="50">
        <f t="shared" si="118"/>
        <v>239.04713487999999</v>
      </c>
      <c r="PR56" s="50">
        <v>91.14276212</v>
      </c>
      <c r="PS56" s="50">
        <v>330.18989699999997</v>
      </c>
      <c r="PT56" s="44">
        <v>12.751139029999999</v>
      </c>
      <c r="PU56" s="44">
        <v>4.4671027800000003</v>
      </c>
      <c r="PV56" s="44">
        <v>17.218241809999999</v>
      </c>
      <c r="PW56" s="44">
        <v>25.21726365</v>
      </c>
      <c r="PX56" s="44">
        <v>10.440891440000001</v>
      </c>
      <c r="PY56" s="44">
        <v>35.658155090000001</v>
      </c>
      <c r="PZ56" s="44">
        <v>16.261570430000003</v>
      </c>
      <c r="QA56" s="44">
        <v>8.2188595299999996</v>
      </c>
      <c r="QB56" s="44">
        <v>24.480429960000002</v>
      </c>
      <c r="QC56" s="44">
        <v>45.00233493999999</v>
      </c>
      <c r="QD56" s="44">
        <v>10.321390059999999</v>
      </c>
      <c r="QE56" s="44">
        <v>55.323724999999982</v>
      </c>
      <c r="QF56" s="50">
        <v>14.442040389999995</v>
      </c>
      <c r="QG56" s="44">
        <v>5.3310572499999997</v>
      </c>
      <c r="QH56" s="44">
        <v>19.773097639999996</v>
      </c>
      <c r="QI56" s="50">
        <v>12.673595509999997</v>
      </c>
      <c r="QJ56" s="44">
        <v>6.597223829999999</v>
      </c>
      <c r="QK56" s="44">
        <v>19.270819339999996</v>
      </c>
      <c r="QL56" s="44">
        <v>47.320234159999984</v>
      </c>
      <c r="QM56" s="44">
        <v>15.244689769999999</v>
      </c>
      <c r="QN56" s="44">
        <v>62.564923929999999</v>
      </c>
      <c r="QO56" s="50">
        <v>6.1120553700000055</v>
      </c>
      <c r="QP56" s="44">
        <v>15.126819880000001</v>
      </c>
      <c r="QQ56" s="44">
        <v>21.238875250000007</v>
      </c>
      <c r="QR56" s="44">
        <v>7.8114226199999983</v>
      </c>
      <c r="QS56" s="44">
        <v>6.1009171999999987</v>
      </c>
      <c r="QT56" s="44">
        <v>13.912339819999996</v>
      </c>
      <c r="QU56" s="50">
        <v>50.379197059999981</v>
      </c>
      <c r="QV56" s="44">
        <v>9.3207863000000035</v>
      </c>
      <c r="QW56" s="44">
        <v>59.699983359999983</v>
      </c>
      <c r="QX56" s="50">
        <v>16.66210959</v>
      </c>
      <c r="QY56" s="44">
        <v>6.8348191300000005</v>
      </c>
      <c r="QZ56" s="44">
        <v>23.49692872</v>
      </c>
      <c r="RA56" s="50">
        <v>11.435701699999985</v>
      </c>
      <c r="RB56" s="44">
        <v>9.9037315300000017</v>
      </c>
      <c r="RC56" s="44">
        <v>21.339433229999987</v>
      </c>
      <c r="RD56" s="50">
        <f t="shared" si="52"/>
        <v>266.06866444999997</v>
      </c>
      <c r="RE56" s="50">
        <f t="shared" si="53"/>
        <v>107.90828870000001</v>
      </c>
      <c r="RF56" s="50">
        <f t="shared" si="54"/>
        <v>373.97695314999993</v>
      </c>
      <c r="RG56" s="50">
        <f t="shared" si="119"/>
        <v>266.336367</v>
      </c>
      <c r="RH56" s="50">
        <v>107.946504</v>
      </c>
      <c r="RI56" s="50">
        <v>374.282871</v>
      </c>
      <c r="RJ56" s="50">
        <v>20.534273459999994</v>
      </c>
      <c r="RK56" s="50">
        <v>4.7844843800000003</v>
      </c>
      <c r="RL56" s="50">
        <v>25.318757839999993</v>
      </c>
      <c r="RM56" s="50">
        <v>23.706579220000002</v>
      </c>
      <c r="RN56" s="50">
        <v>7.0796800099999988</v>
      </c>
      <c r="RO56" s="50">
        <v>30.786259230000002</v>
      </c>
      <c r="RP56" s="50">
        <v>18.664499729999999</v>
      </c>
      <c r="RQ56" s="50">
        <v>7.5763836900000019</v>
      </c>
      <c r="RR56" s="50">
        <v>26.240883419999992</v>
      </c>
      <c r="RS56" s="50">
        <v>62.35084312</v>
      </c>
      <c r="RT56" s="50">
        <v>4.7862555500000008</v>
      </c>
      <c r="RU56" s="50">
        <v>67.13709867</v>
      </c>
      <c r="RV56" s="50">
        <v>12.588692869999996</v>
      </c>
      <c r="RW56" s="50">
        <v>2.4756511499999996</v>
      </c>
      <c r="RX56" s="50">
        <v>15.064344019999995</v>
      </c>
      <c r="RY56" s="50">
        <v>13.797504219999999</v>
      </c>
      <c r="RZ56" s="50">
        <v>3.7191101799999999</v>
      </c>
      <c r="SA56" s="50">
        <v>17.516614399999998</v>
      </c>
      <c r="SB56" s="50">
        <v>45.182331580000017</v>
      </c>
      <c r="SC56" s="50">
        <v>16.193835319999998</v>
      </c>
      <c r="SD56" s="50">
        <v>61.376166900000015</v>
      </c>
      <c r="SE56" s="50">
        <v>6.8756078000000018</v>
      </c>
      <c r="SF56" s="50">
        <v>2.7792984899999995</v>
      </c>
      <c r="SG56" s="50">
        <v>9.6549062900000013</v>
      </c>
      <c r="SH56" s="50">
        <v>8.6673801000000008</v>
      </c>
      <c r="SI56" s="50">
        <v>7.5969032199999997</v>
      </c>
      <c r="SJ56" s="50">
        <v>16.264283320000001</v>
      </c>
      <c r="SK56" s="50">
        <v>38.935608659999993</v>
      </c>
      <c r="SL56" s="50">
        <v>4.6356838299999996</v>
      </c>
      <c r="SM56" s="50">
        <v>43.57129248999999</v>
      </c>
      <c r="SN56" s="50">
        <v>39.533198990000002</v>
      </c>
      <c r="SO56" s="50">
        <v>5.4722020500000008</v>
      </c>
      <c r="SP56" s="50">
        <v>45.005401040000002</v>
      </c>
      <c r="SQ56" s="50">
        <v>46.74093943000004</v>
      </c>
      <c r="SR56" s="50">
        <v>8.2082608000000015</v>
      </c>
      <c r="SS56" s="50">
        <v>54.949200230000045</v>
      </c>
      <c r="ST56" s="50">
        <f t="shared" si="55"/>
        <v>337.57745918000001</v>
      </c>
      <c r="SU56" s="50">
        <f t="shared" si="65"/>
        <v>75.307748670000009</v>
      </c>
      <c r="SV56" s="50">
        <f t="shared" si="56"/>
        <v>412.88520785000003</v>
      </c>
      <c r="SW56" s="50">
        <f t="shared" si="103"/>
        <v>337.630089</v>
      </c>
      <c r="SX56" s="50">
        <v>75.255937000000003</v>
      </c>
      <c r="SY56" s="50">
        <v>412.88602600000002</v>
      </c>
      <c r="SZ56" s="50">
        <v>7.9364229999999987</v>
      </c>
      <c r="TA56" s="50">
        <v>4.6208189399999995</v>
      </c>
      <c r="TB56" s="50">
        <v>12.557241940000003</v>
      </c>
      <c r="TC56" s="50">
        <v>25.824957410000007</v>
      </c>
      <c r="TD56" s="50">
        <v>12.074858770000002</v>
      </c>
      <c r="TE56" s="50">
        <v>37.899816180000009</v>
      </c>
      <c r="TF56" s="50">
        <v>12.720568949999999</v>
      </c>
      <c r="TG56" s="50">
        <v>9.6469142699999999</v>
      </c>
      <c r="TH56" s="50">
        <v>22.367483219999997</v>
      </c>
      <c r="TI56" s="50">
        <v>45.691301709999983</v>
      </c>
      <c r="TJ56" s="50">
        <v>5.4695883400000005</v>
      </c>
      <c r="TK56" s="50">
        <v>51.160890049999985</v>
      </c>
      <c r="TL56" s="50">
        <v>46.617746409999995</v>
      </c>
      <c r="TM56" s="50">
        <v>7.1479247699999995</v>
      </c>
      <c r="TN56" s="50">
        <v>53.765671179999991</v>
      </c>
      <c r="TO56" s="50">
        <v>66.829864660000013</v>
      </c>
      <c r="TP56" s="50">
        <v>15.470498439999998</v>
      </c>
      <c r="TQ56" s="50">
        <v>82.300363100000013</v>
      </c>
      <c r="TR56" s="50">
        <v>43.561772430000005</v>
      </c>
      <c r="TS56" s="50">
        <v>16.605051859999996</v>
      </c>
      <c r="TT56" s="50">
        <v>60.166824290000001</v>
      </c>
      <c r="TU56" s="50">
        <v>6.638955799999998</v>
      </c>
      <c r="TV56" s="50">
        <v>12.78080259</v>
      </c>
      <c r="TW56" s="50">
        <v>19.419758389999998</v>
      </c>
      <c r="TX56" s="50">
        <v>18.219222969999997</v>
      </c>
      <c r="TY56" s="50">
        <v>13.000833399999999</v>
      </c>
      <c r="TZ56" s="50">
        <v>31.220056369999998</v>
      </c>
      <c r="UA56" s="50">
        <v>51.692234090000014</v>
      </c>
      <c r="UB56" s="50">
        <v>7.7719543699999996</v>
      </c>
      <c r="UC56" s="50">
        <v>59.46418846000001</v>
      </c>
      <c r="UD56" s="50">
        <v>8.581319569999998</v>
      </c>
      <c r="UE56" s="50">
        <v>6.561112800000001</v>
      </c>
      <c r="UF56" s="50">
        <v>15.142432369999998</v>
      </c>
      <c r="UG56" s="50">
        <v>15.818189729999991</v>
      </c>
      <c r="UH56" s="50">
        <v>9.3239607200000005</v>
      </c>
      <c r="UI56" s="50">
        <v>25.142150449999992</v>
      </c>
      <c r="UJ56" s="50">
        <f t="shared" si="45"/>
        <v>350.13255672999998</v>
      </c>
      <c r="UK56" s="50">
        <f t="shared" si="15"/>
        <v>120.47431927000001</v>
      </c>
      <c r="UL56" s="50">
        <f t="shared" si="16"/>
        <v>470.60687600000006</v>
      </c>
      <c r="UM56" s="50">
        <v>30.787709290000002</v>
      </c>
      <c r="UN56" s="50">
        <v>11.126842590000003</v>
      </c>
      <c r="UO56" s="50">
        <v>41.914551880000005</v>
      </c>
      <c r="UP56" s="50">
        <v>16.493855890000003</v>
      </c>
      <c r="UQ56" s="50">
        <v>6.6568702799999997</v>
      </c>
      <c r="UR56" s="50">
        <v>23.150726170000002</v>
      </c>
      <c r="US56" s="50">
        <v>12.560191379999999</v>
      </c>
      <c r="UT56" s="50">
        <v>17.066964459999998</v>
      </c>
      <c r="UU56" s="50">
        <v>29.627155839999997</v>
      </c>
      <c r="UV56" s="50">
        <v>49.654923570000001</v>
      </c>
      <c r="UW56" s="50">
        <v>12.537672370000001</v>
      </c>
      <c r="UX56" s="50">
        <v>62.192595940000004</v>
      </c>
      <c r="UY56" s="50"/>
      <c r="UZ56" s="50"/>
      <c r="VA56" s="50"/>
      <c r="VB56" s="50"/>
      <c r="VC56" s="50"/>
      <c r="VD56" s="50"/>
      <c r="VE56" s="50"/>
      <c r="VF56" s="50"/>
      <c r="VG56" s="50"/>
      <c r="VH56" s="50"/>
      <c r="VI56" s="50"/>
      <c r="VJ56" s="50"/>
      <c r="VK56" s="50"/>
      <c r="VL56" s="50"/>
      <c r="VM56" s="50"/>
      <c r="VN56" s="50"/>
      <c r="VO56" s="50"/>
      <c r="VP56" s="50"/>
      <c r="VQ56" s="50"/>
      <c r="VR56" s="50"/>
      <c r="VS56" s="50"/>
      <c r="VT56" s="50"/>
      <c r="VU56" s="50"/>
      <c r="VV56" s="50"/>
      <c r="VW56" s="276">
        <f t="shared" si="57"/>
        <v>92.173250999999993</v>
      </c>
      <c r="VX56" s="292">
        <f t="shared" si="58"/>
        <v>31.812180000000001</v>
      </c>
      <c r="VY56" s="292">
        <f t="shared" si="59"/>
        <v>123.98543100000001</v>
      </c>
      <c r="VZ56" s="276">
        <f t="shared" si="60"/>
        <v>109.49668</v>
      </c>
      <c r="WA56" s="292">
        <f t="shared" si="61"/>
        <v>47.388350000000003</v>
      </c>
      <c r="WB56" s="292">
        <f t="shared" si="62"/>
        <v>156.88503</v>
      </c>
      <c r="WC56" s="277">
        <f t="shared" si="112"/>
        <v>32.899598999999995</v>
      </c>
      <c r="WD56" s="277">
        <f t="shared" si="104"/>
        <v>26.535052332076006</v>
      </c>
    </row>
    <row r="57" spans="1:602" s="12" customFormat="1" ht="20.5">
      <c r="A57" s="314" t="s">
        <v>150</v>
      </c>
      <c r="B57" s="13">
        <v>6000</v>
      </c>
      <c r="C57" s="46" t="s">
        <v>151</v>
      </c>
      <c r="D57" s="45">
        <v>218.20811349963861</v>
      </c>
      <c r="E57" s="42">
        <v>191.04318842806813</v>
      </c>
      <c r="F57" s="42">
        <v>202.48658801031297</v>
      </c>
      <c r="G57" s="42">
        <v>211.49494595932865</v>
      </c>
      <c r="H57" s="42">
        <v>14.989785317101212</v>
      </c>
      <c r="I57" s="42">
        <v>16.782163547731656</v>
      </c>
      <c r="J57" s="42">
        <v>16.73247955333208</v>
      </c>
      <c r="K57" s="42">
        <v>16.585213729574676</v>
      </c>
      <c r="L57" s="42">
        <v>16.721234540497779</v>
      </c>
      <c r="M57" s="42">
        <v>17.331534282673402</v>
      </c>
      <c r="N57" s="42">
        <v>15.830144677605706</v>
      </c>
      <c r="O57" s="42">
        <v>15.529203021041427</v>
      </c>
      <c r="P57" s="42">
        <v>15.356921702210006</v>
      </c>
      <c r="Q57" s="42">
        <v>16.538516044302536</v>
      </c>
      <c r="R57" s="42">
        <v>16.695025526320286</v>
      </c>
      <c r="S57" s="42">
        <v>18.178790217471729</v>
      </c>
      <c r="T57" s="42">
        <v>186.28070103471239</v>
      </c>
      <c r="U57" s="42">
        <v>10.9903111251501</v>
      </c>
      <c r="V57" s="42">
        <v>197.27101215986249</v>
      </c>
      <c r="W57" s="42">
        <v>197.27096032464243</v>
      </c>
      <c r="X57" s="42">
        <v>15.313831452296801</v>
      </c>
      <c r="Y57" s="42">
        <v>16.44259850541545</v>
      </c>
      <c r="Z57" s="42">
        <v>17.366830709557714</v>
      </c>
      <c r="AA57" s="42">
        <v>16.350166319485947</v>
      </c>
      <c r="AB57" s="42">
        <v>16.253734440896753</v>
      </c>
      <c r="AC57" s="42">
        <v>16.18371409382986</v>
      </c>
      <c r="AD57" s="42">
        <v>15.993870268239794</v>
      </c>
      <c r="AE57" s="42">
        <v>15.531483884553873</v>
      </c>
      <c r="AF57" s="42">
        <v>15.544969863575052</v>
      </c>
      <c r="AG57" s="42">
        <v>16.796901710861064</v>
      </c>
      <c r="AH57" s="42">
        <v>16.417814924217847</v>
      </c>
      <c r="AI57" s="42">
        <v>17.555038104507091</v>
      </c>
      <c r="AJ57" s="42">
        <v>187.17989679910801</v>
      </c>
      <c r="AK57" s="42">
        <v>8.5710580332496704</v>
      </c>
      <c r="AL57" s="42">
        <v>195.75095427743724</v>
      </c>
      <c r="AM57" s="42">
        <v>195.7513659569382</v>
      </c>
      <c r="AN57" s="42">
        <v>15.991600787701834</v>
      </c>
      <c r="AO57" s="42">
        <v>17.601940228000977</v>
      </c>
      <c r="AP57" s="42">
        <v>20.46257986579473</v>
      </c>
      <c r="AQ57" s="42">
        <v>19.750206672130496</v>
      </c>
      <c r="AR57" s="42">
        <v>17.572001582233451</v>
      </c>
      <c r="AS57" s="42">
        <v>18.561277824258259</v>
      </c>
      <c r="AT57" s="42">
        <v>18.293253880171427</v>
      </c>
      <c r="AU57" s="42">
        <v>17.468072791276089</v>
      </c>
      <c r="AV57" s="42">
        <v>17.913419673194802</v>
      </c>
      <c r="AW57" s="42">
        <v>19.253756381580072</v>
      </c>
      <c r="AX57" s="42">
        <v>19.014143345797692</v>
      </c>
      <c r="AY57" s="42">
        <v>20.477239742517117</v>
      </c>
      <c r="AZ57" s="42">
        <v>214.20473049385035</v>
      </c>
      <c r="BA57" s="42">
        <v>8.1547622808065761</v>
      </c>
      <c r="BB57" s="42">
        <v>222.35949277465693</v>
      </c>
      <c r="BC57" s="42">
        <f t="shared" si="21"/>
        <v>214.20473417908838</v>
      </c>
      <c r="BD57" s="42">
        <v>8.1547614982271011</v>
      </c>
      <c r="BE57" s="42">
        <v>222.35949567731546</v>
      </c>
      <c r="BF57" s="44">
        <v>17.554674670000001</v>
      </c>
      <c r="BG57" s="44">
        <v>0.51304954999999997</v>
      </c>
      <c r="BH57" s="44">
        <f t="shared" ref="BH57:CI57" si="126">BH58+BH59</f>
        <v>18.067723999999998</v>
      </c>
      <c r="BI57" s="42">
        <f t="shared" si="126"/>
        <v>19.754276579999996</v>
      </c>
      <c r="BJ57" s="42">
        <f t="shared" si="126"/>
        <v>0.85280132999999991</v>
      </c>
      <c r="BK57" s="44">
        <f t="shared" si="126"/>
        <v>20.607077909999994</v>
      </c>
      <c r="BL57" s="44">
        <f t="shared" si="126"/>
        <v>18.926346010000003</v>
      </c>
      <c r="BM57" s="44">
        <f t="shared" si="126"/>
        <v>0.79769445999999999</v>
      </c>
      <c r="BN57" s="44">
        <f t="shared" si="126"/>
        <v>19.724040470000002</v>
      </c>
      <c r="BO57" s="44">
        <f t="shared" si="126"/>
        <v>20.780463379999997</v>
      </c>
      <c r="BP57" s="44">
        <f t="shared" si="126"/>
        <v>0.82158525999999998</v>
      </c>
      <c r="BQ57" s="44">
        <f t="shared" si="126"/>
        <v>21.602048639999996</v>
      </c>
      <c r="BR57" s="44">
        <f t="shared" si="126"/>
        <v>17.474185149999997</v>
      </c>
      <c r="BS57" s="44">
        <f t="shared" si="126"/>
        <v>0.78420327000000001</v>
      </c>
      <c r="BT57" s="44">
        <f t="shared" si="126"/>
        <v>18.258388419999999</v>
      </c>
      <c r="BU57" s="44">
        <f t="shared" si="126"/>
        <v>21.183599399999999</v>
      </c>
      <c r="BV57" s="44">
        <f t="shared" si="126"/>
        <v>0.81778213</v>
      </c>
      <c r="BW57" s="44">
        <f t="shared" si="126"/>
        <v>22.001381529999996</v>
      </c>
      <c r="BX57" s="44">
        <f t="shared" si="126"/>
        <v>20.0861625</v>
      </c>
      <c r="BY57" s="44">
        <f t="shared" si="126"/>
        <v>0.81474004</v>
      </c>
      <c r="BZ57" s="44">
        <f t="shared" si="126"/>
        <v>20.900902540000001</v>
      </c>
      <c r="CA57" s="44">
        <f t="shared" si="126"/>
        <v>19.991112260000001</v>
      </c>
      <c r="CB57" s="44">
        <f t="shared" si="126"/>
        <v>0.24181298000000001</v>
      </c>
      <c r="CC57" s="44">
        <f t="shared" si="126"/>
        <v>20.23292524</v>
      </c>
      <c r="CD57" s="44">
        <f t="shared" si="126"/>
        <v>21.143816019999996</v>
      </c>
      <c r="CE57" s="44">
        <f t="shared" si="126"/>
        <v>0.23660336000000001</v>
      </c>
      <c r="CF57" s="44">
        <f t="shared" si="126"/>
        <v>21.380419379999999</v>
      </c>
      <c r="CG57" s="44">
        <f t="shared" si="126"/>
        <v>21.024812409999996</v>
      </c>
      <c r="CH57" s="44">
        <f t="shared" si="126"/>
        <v>0.79136751999999988</v>
      </c>
      <c r="CI57" s="44">
        <f t="shared" si="126"/>
        <v>21.816179929999997</v>
      </c>
      <c r="CJ57" s="42">
        <f t="shared" ref="CJ57:CO57" si="127">CJ58+CJ59</f>
        <v>21.218681880000002</v>
      </c>
      <c r="CK57" s="42">
        <f t="shared" si="127"/>
        <v>0.82845974</v>
      </c>
      <c r="CL57" s="44">
        <f t="shared" si="127"/>
        <v>22.047141620000001</v>
      </c>
      <c r="CM57" s="42">
        <f t="shared" si="127"/>
        <v>23.407975450000002</v>
      </c>
      <c r="CN57" s="42">
        <f t="shared" si="127"/>
        <v>1.30982687</v>
      </c>
      <c r="CO57" s="44">
        <f t="shared" si="127"/>
        <v>24.717802319999997</v>
      </c>
      <c r="CP57" s="50">
        <f t="shared" si="24"/>
        <v>242.54610571000001</v>
      </c>
      <c r="CQ57" s="50">
        <f t="shared" si="25"/>
        <v>8.8099265100000004</v>
      </c>
      <c r="CR57" s="50">
        <f t="shared" si="26"/>
        <v>251.356032</v>
      </c>
      <c r="CS57" s="42">
        <f t="shared" si="123"/>
        <v>242.54610400000001</v>
      </c>
      <c r="CT57" s="42">
        <f>CT58+CT59</f>
        <v>8.8099270000000001</v>
      </c>
      <c r="CU57" s="42">
        <f>CU58+CU59</f>
        <v>251.356031</v>
      </c>
      <c r="CV57" s="42">
        <f>CV58+CV59</f>
        <v>21.9419133</v>
      </c>
      <c r="CW57" s="42">
        <f>CW58+CW59</f>
        <v>0.18535279000000002</v>
      </c>
      <c r="CX57" s="44">
        <f>CX58+CX59</f>
        <v>22.127266089999999</v>
      </c>
      <c r="CY57" s="42">
        <v>25.183695819999997</v>
      </c>
      <c r="CZ57" s="42">
        <v>0.61959952000000007</v>
      </c>
      <c r="DA57" s="44">
        <v>25.803295339999998</v>
      </c>
      <c r="DB57" s="42">
        <v>27.311463960000001</v>
      </c>
      <c r="DC57" s="42">
        <v>0.62129390000000007</v>
      </c>
      <c r="DD57" s="44">
        <v>27.932757860000002</v>
      </c>
      <c r="DE57" s="42">
        <v>25.649952320000004</v>
      </c>
      <c r="DF57" s="42">
        <v>0.63126519999999997</v>
      </c>
      <c r="DG57" s="44">
        <v>26.281217520000006</v>
      </c>
      <c r="DH57" s="42">
        <v>23.694358839999996</v>
      </c>
      <c r="DI57" s="42">
        <v>0.60528251</v>
      </c>
      <c r="DJ57" s="44">
        <v>24.299641349999995</v>
      </c>
      <c r="DK57" s="42">
        <v>27.917259549999997</v>
      </c>
      <c r="DL57" s="42">
        <v>0.63033483000000001</v>
      </c>
      <c r="DM57" s="44">
        <v>28.547594379999996</v>
      </c>
      <c r="DN57" s="42">
        <v>25.847576690000004</v>
      </c>
      <c r="DO57" s="42">
        <v>0.91703126000000001</v>
      </c>
      <c r="DP57" s="44">
        <v>26.764607950000006</v>
      </c>
      <c r="DQ57" s="42">
        <v>24.898783640000005</v>
      </c>
      <c r="DR57" s="42">
        <v>0.20672708000000001</v>
      </c>
      <c r="DS57" s="44">
        <v>25.105510720000005</v>
      </c>
      <c r="DT57" s="42">
        <v>28.151029889999997</v>
      </c>
      <c r="DU57" s="42">
        <v>3.8611100000000002E-2</v>
      </c>
      <c r="DV57" s="44">
        <v>28.189640990000001</v>
      </c>
      <c r="DW57" s="42">
        <v>25.892498679999999</v>
      </c>
      <c r="DX57" s="42">
        <v>0.22464995999999998</v>
      </c>
      <c r="DY57" s="44">
        <v>26.11714864</v>
      </c>
      <c r="DZ57" s="42">
        <v>27.740031639999998</v>
      </c>
      <c r="EA57" s="42">
        <v>0.45554663000000001</v>
      </c>
      <c r="EB57" s="44">
        <v>28.195578269999999</v>
      </c>
      <c r="EC57" s="42">
        <v>29.881604119999995</v>
      </c>
      <c r="ED57" s="42">
        <v>0.17679241000000001</v>
      </c>
      <c r="EE57" s="44">
        <v>30.058396529999996</v>
      </c>
      <c r="EF57" s="50">
        <f t="shared" si="27"/>
        <v>314.11016845</v>
      </c>
      <c r="EG57" s="50">
        <f t="shared" si="28"/>
        <v>5.3124871899999997</v>
      </c>
      <c r="EH57" s="50">
        <f t="shared" si="29"/>
        <v>319.42265563999996</v>
      </c>
      <c r="EI57" s="50">
        <f t="shared" si="94"/>
        <v>314.11014381000001</v>
      </c>
      <c r="EJ57" s="50">
        <f>EJ58+EJ59</f>
        <v>5.3124871899999997</v>
      </c>
      <c r="EK57" s="50">
        <f>EK58+EK59</f>
        <v>319.42263100000002</v>
      </c>
      <c r="EL57" s="50">
        <v>25.94475366</v>
      </c>
      <c r="EM57" s="50">
        <v>0.15337489000000001</v>
      </c>
      <c r="EN57" s="50">
        <v>26.098128549999998</v>
      </c>
      <c r="EO57" s="50">
        <v>27.973793389999994</v>
      </c>
      <c r="EP57" s="50">
        <v>0.13985300000000001</v>
      </c>
      <c r="EQ57" s="50">
        <v>28.113646389999992</v>
      </c>
      <c r="ER57" s="50">
        <v>28.660020119999999</v>
      </c>
      <c r="ES57" s="50">
        <v>0.20134295999999999</v>
      </c>
      <c r="ET57" s="50">
        <v>28.86136308</v>
      </c>
      <c r="EU57" s="50">
        <v>28.045409420000006</v>
      </c>
      <c r="EV57" s="50">
        <v>0.20207408999999998</v>
      </c>
      <c r="EW57" s="50">
        <v>28.247483510000002</v>
      </c>
      <c r="EX57" s="50">
        <v>28.681595770000005</v>
      </c>
      <c r="EY57" s="50">
        <v>0.20234928000000002</v>
      </c>
      <c r="EZ57" s="50">
        <v>28.883945050000005</v>
      </c>
      <c r="FA57" s="50">
        <v>29.075300189999997</v>
      </c>
      <c r="FB57" s="50">
        <v>0.20144642000000001</v>
      </c>
      <c r="FC57" s="50">
        <v>29.276746609999996</v>
      </c>
      <c r="FD57" s="50">
        <v>25.729224650000003</v>
      </c>
      <c r="FE57" s="50">
        <v>0.37351480999999992</v>
      </c>
      <c r="FF57" s="50">
        <v>26.102739460000002</v>
      </c>
      <c r="FG57" s="50">
        <v>28.517805809999999</v>
      </c>
      <c r="FH57" s="50">
        <v>0.13044335000000001</v>
      </c>
      <c r="FI57" s="50">
        <v>28.648249159999999</v>
      </c>
      <c r="FJ57" s="50">
        <v>28.817020709999998</v>
      </c>
      <c r="FK57" s="50">
        <v>0.12331648999999999</v>
      </c>
      <c r="FL57" s="50">
        <v>28.940337199999998</v>
      </c>
      <c r="FM57" s="50">
        <v>27.517105400000005</v>
      </c>
      <c r="FN57" s="50">
        <v>0.30376742000000001</v>
      </c>
      <c r="FO57" s="50">
        <v>27.820872820000005</v>
      </c>
      <c r="FP57" s="50">
        <v>30.101714260000005</v>
      </c>
      <c r="FQ57" s="50">
        <v>0.49619473999999997</v>
      </c>
      <c r="FR57" s="50">
        <v>30.597909000000005</v>
      </c>
      <c r="FS57" s="50">
        <v>28.189084810000004</v>
      </c>
      <c r="FT57" s="50">
        <v>0.38982443</v>
      </c>
      <c r="FU57" s="50">
        <v>28.578909240000005</v>
      </c>
      <c r="FV57" s="50">
        <f t="shared" si="30"/>
        <v>337.25282819</v>
      </c>
      <c r="FW57" s="50">
        <f t="shared" si="31"/>
        <v>2.9175018799999997</v>
      </c>
      <c r="FX57" s="50">
        <f t="shared" si="32"/>
        <v>340.17033007000003</v>
      </c>
      <c r="FY57" s="50">
        <f t="shared" si="95"/>
        <v>337.25282699999997</v>
      </c>
      <c r="FZ57" s="50">
        <f>FZ58+FZ59</f>
        <v>2.9175019999999998</v>
      </c>
      <c r="GA57" s="50">
        <v>340.17032899999998</v>
      </c>
      <c r="GB57" s="50">
        <v>31.271924109999993</v>
      </c>
      <c r="GC57" s="50">
        <v>6.5982349999999995E-2</v>
      </c>
      <c r="GD57" s="50">
        <v>31.337906459999992</v>
      </c>
      <c r="GE57" s="50">
        <v>29.40469298</v>
      </c>
      <c r="GF57" s="50">
        <v>0.22175634999999996</v>
      </c>
      <c r="GG57" s="50">
        <v>29.62644933</v>
      </c>
      <c r="GH57" s="50">
        <v>30.126350439999992</v>
      </c>
      <c r="GI57" s="50">
        <v>0.24679093000000002</v>
      </c>
      <c r="GJ57" s="50">
        <v>30.373141369999992</v>
      </c>
      <c r="GK57" s="50">
        <v>30.574334349999994</v>
      </c>
      <c r="GL57" s="50">
        <v>0.22729168999999999</v>
      </c>
      <c r="GM57" s="50">
        <v>30.801626039999995</v>
      </c>
      <c r="GN57" s="50">
        <v>28.694733430000003</v>
      </c>
      <c r="GO57" s="50">
        <v>0.21861989000000001</v>
      </c>
      <c r="GP57" s="50">
        <v>28.913353320000002</v>
      </c>
      <c r="GQ57" s="50">
        <v>31.644778840000008</v>
      </c>
      <c r="GR57" s="50">
        <v>0.33841037000000002</v>
      </c>
      <c r="GS57" s="50">
        <v>31.983189210000006</v>
      </c>
      <c r="GT57" s="50">
        <v>29.217329250000002</v>
      </c>
      <c r="GU57" s="50">
        <v>0.34984021999999998</v>
      </c>
      <c r="GV57" s="50">
        <v>29.567169470000003</v>
      </c>
      <c r="GW57" s="50">
        <v>29.840832220000006</v>
      </c>
      <c r="GX57" s="50">
        <v>0.16588074</v>
      </c>
      <c r="GY57" s="50">
        <v>30.006712960000005</v>
      </c>
      <c r="GZ57" s="50">
        <v>29.025994979999997</v>
      </c>
      <c r="HA57" s="50">
        <v>0.16707470000000002</v>
      </c>
      <c r="HB57" s="50">
        <v>29.193069679999997</v>
      </c>
      <c r="HC57" s="50">
        <v>31.51155335</v>
      </c>
      <c r="HD57" s="50">
        <v>0.33143099999999998</v>
      </c>
      <c r="HE57" s="50">
        <v>31.842984349999998</v>
      </c>
      <c r="HF57" s="50">
        <v>30.491854629999999</v>
      </c>
      <c r="HG57" s="50">
        <v>0.47006465999999997</v>
      </c>
      <c r="HH57" s="50">
        <v>30.961919289999997</v>
      </c>
      <c r="HI57" s="50">
        <v>29.363301630000002</v>
      </c>
      <c r="HJ57" s="50">
        <v>0.32698726999999994</v>
      </c>
      <c r="HK57" s="50">
        <v>29.690288899999999</v>
      </c>
      <c r="HL57" s="50">
        <f t="shared" si="33"/>
        <v>361.16768021000001</v>
      </c>
      <c r="HM57" s="50">
        <f t="shared" si="34"/>
        <v>3.1301301699999997</v>
      </c>
      <c r="HN57" s="50">
        <f t="shared" si="35"/>
        <v>364.29781037999993</v>
      </c>
      <c r="HO57" s="50">
        <f t="shared" si="96"/>
        <v>361.17183</v>
      </c>
      <c r="HP57" s="50">
        <f>HP58+HP59</f>
        <v>3.1301299999999999</v>
      </c>
      <c r="HQ57" s="50">
        <v>364.30196000000001</v>
      </c>
      <c r="HR57" s="50">
        <v>31.680301799999999</v>
      </c>
      <c r="HS57" s="50">
        <v>5.6895089999999995E-2</v>
      </c>
      <c r="HT57" s="50">
        <v>31.73719689</v>
      </c>
      <c r="HU57" s="50">
        <v>30.682019589999992</v>
      </c>
      <c r="HV57" s="50">
        <v>0.17620264999999999</v>
      </c>
      <c r="HW57" s="50">
        <v>30.858222239999989</v>
      </c>
      <c r="HX57" s="50">
        <v>31.147258970000014</v>
      </c>
      <c r="HY57" s="50">
        <v>0.21184966999999999</v>
      </c>
      <c r="HZ57" s="50">
        <v>31.359108640000009</v>
      </c>
      <c r="IA57" s="50">
        <v>37.353217200000003</v>
      </c>
      <c r="IB57" s="50">
        <v>0.19506510000000002</v>
      </c>
      <c r="IC57" s="50">
        <v>37.548282299999997</v>
      </c>
      <c r="ID57" s="50">
        <v>33.080732449999992</v>
      </c>
      <c r="IE57" s="50">
        <v>0.17099064000000003</v>
      </c>
      <c r="IF57" s="50">
        <v>33.251723089999992</v>
      </c>
      <c r="IG57" s="50">
        <v>33.899766880000001</v>
      </c>
      <c r="IH57" s="50">
        <v>0.27223270999999999</v>
      </c>
      <c r="II57" s="50">
        <v>34.171999590000006</v>
      </c>
      <c r="IJ57" s="50">
        <v>34.176866279999999</v>
      </c>
      <c r="IK57" s="50">
        <v>0.25225425000000001</v>
      </c>
      <c r="IL57" s="50">
        <v>34.429120529999992</v>
      </c>
      <c r="IM57" s="50">
        <v>32.828275020000014</v>
      </c>
      <c r="IN57" s="50">
        <v>0.11888901999999998</v>
      </c>
      <c r="IO57" s="50">
        <v>32.947164040000004</v>
      </c>
      <c r="IP57" s="50">
        <v>32.349269880000001</v>
      </c>
      <c r="IQ57" s="50">
        <v>9.7964969999999998E-2</v>
      </c>
      <c r="IR57" s="50">
        <v>32.447234850000001</v>
      </c>
      <c r="IS57" s="50">
        <v>35.391714719999996</v>
      </c>
      <c r="IT57" s="50">
        <v>0.12441212</v>
      </c>
      <c r="IU57" s="50">
        <v>35.516126839999998</v>
      </c>
      <c r="IV57" s="50">
        <v>35.276825419999994</v>
      </c>
      <c r="IW57" s="50">
        <v>0.22851364999999998</v>
      </c>
      <c r="IX57" s="50">
        <v>35.505339069999998</v>
      </c>
      <c r="IY57" s="50">
        <v>34.620608160000003</v>
      </c>
      <c r="IZ57" s="50">
        <v>0.15704850000000001</v>
      </c>
      <c r="JA57" s="50">
        <v>34.777656659999998</v>
      </c>
      <c r="JB57" s="50">
        <f t="shared" si="36"/>
        <v>402.48685637</v>
      </c>
      <c r="JC57" s="50">
        <f t="shared" si="37"/>
        <v>2.0623183699999998</v>
      </c>
      <c r="JD57" s="50">
        <f t="shared" si="38"/>
        <v>404.54917473999996</v>
      </c>
      <c r="JE57" s="50">
        <f t="shared" si="97"/>
        <v>402.48716300000001</v>
      </c>
      <c r="JF57" s="50">
        <f>JF58+JF59</f>
        <v>2.0622980000000002</v>
      </c>
      <c r="JG57" s="50">
        <v>404.54946100000001</v>
      </c>
      <c r="JH57" s="50">
        <v>33.978180710000004</v>
      </c>
      <c r="JI57" s="50">
        <v>5.3534959999999999E-2</v>
      </c>
      <c r="JJ57" s="50">
        <v>34.031715669999997</v>
      </c>
      <c r="JK57" s="50">
        <v>34.348269030000004</v>
      </c>
      <c r="JL57" s="50">
        <v>7.7130379999999998E-2</v>
      </c>
      <c r="JM57" s="50">
        <v>34.425399409999997</v>
      </c>
      <c r="JN57" s="50">
        <v>32.980477799999996</v>
      </c>
      <c r="JO57" s="50">
        <v>0.15602650000000001</v>
      </c>
      <c r="JP57" s="50">
        <v>33.136504299999999</v>
      </c>
      <c r="JQ57" s="50">
        <v>36.122144829999996</v>
      </c>
      <c r="JR57" s="50">
        <v>0.12254445999999999</v>
      </c>
      <c r="JS57" s="50">
        <v>36.24468928999999</v>
      </c>
      <c r="JT57" s="50">
        <v>33.758046870000008</v>
      </c>
      <c r="JU57" s="50">
        <v>0.13187103</v>
      </c>
      <c r="JV57" s="50">
        <v>33.889917900000007</v>
      </c>
      <c r="JW57" s="50">
        <v>33.912468940000011</v>
      </c>
      <c r="JX57" s="50">
        <v>0.15758746000000001</v>
      </c>
      <c r="JY57" s="50">
        <v>34.070056399999999</v>
      </c>
      <c r="JZ57" s="50">
        <v>36.118668</v>
      </c>
      <c r="KA57" s="50">
        <v>0.17298549999999999</v>
      </c>
      <c r="KB57" s="50">
        <v>36.291653500000002</v>
      </c>
      <c r="KC57" s="50">
        <v>32.455578999999993</v>
      </c>
      <c r="KD57" s="50">
        <v>5.8511309999999997E-2</v>
      </c>
      <c r="KE57" s="50">
        <v>32.514090310000007</v>
      </c>
      <c r="KF57" s="50">
        <v>35.589839890000007</v>
      </c>
      <c r="KG57" s="50">
        <v>9.4876719999999998E-2</v>
      </c>
      <c r="KH57" s="50">
        <v>35.684716610000002</v>
      </c>
      <c r="KI57" s="50">
        <v>36.695740610000009</v>
      </c>
      <c r="KJ57" s="50">
        <v>0.10049128</v>
      </c>
      <c r="KK57" s="50">
        <v>36.796231890000001</v>
      </c>
      <c r="KL57" s="50">
        <v>34.297441520000007</v>
      </c>
      <c r="KM57" s="50">
        <v>0.10184140000000001</v>
      </c>
      <c r="KN57" s="50">
        <v>34.399282920000012</v>
      </c>
      <c r="KO57" s="50">
        <v>40.187501450000006</v>
      </c>
      <c r="KP57" s="50">
        <v>8.5731209999999988E-2</v>
      </c>
      <c r="KQ57" s="50">
        <v>40.273232660000012</v>
      </c>
      <c r="KR57" s="50">
        <f t="shared" si="48"/>
        <v>420.44435865000008</v>
      </c>
      <c r="KS57" s="50">
        <f t="shared" si="39"/>
        <v>1.31313221</v>
      </c>
      <c r="KT57" s="50">
        <f t="shared" si="49"/>
        <v>421.75749086000002</v>
      </c>
      <c r="KU57" s="50">
        <f t="shared" si="98"/>
        <v>419.81306999999998</v>
      </c>
      <c r="KV57" s="50">
        <v>1.313134</v>
      </c>
      <c r="KW57" s="50">
        <v>421.12620399999997</v>
      </c>
      <c r="KX57" s="50">
        <v>33.644801540000003</v>
      </c>
      <c r="KY57" s="50">
        <v>6.0954170000000009E-2</v>
      </c>
      <c r="KZ57" s="50">
        <v>33.705755709999998</v>
      </c>
      <c r="LA57" s="50">
        <v>34.876007580000007</v>
      </c>
      <c r="LB57" s="50">
        <v>7.2002010000000005E-2</v>
      </c>
      <c r="LC57" s="50">
        <v>34.948009589999998</v>
      </c>
      <c r="LD57" s="50">
        <v>37.712988930000009</v>
      </c>
      <c r="LE57" s="50">
        <v>8.9113390000000001E-2</v>
      </c>
      <c r="LF57" s="87">
        <v>37.802102320000003</v>
      </c>
      <c r="LG57" s="50">
        <v>44.814637119999993</v>
      </c>
      <c r="LH57" s="50">
        <v>2.5694580000000002E-2</v>
      </c>
      <c r="LI57" s="175">
        <v>44.840331699999986</v>
      </c>
      <c r="LJ57" s="174">
        <v>58.317091660000003</v>
      </c>
      <c r="LK57" s="50">
        <v>2.1943250000000001E-2</v>
      </c>
      <c r="LL57" s="174">
        <v>58.339034910000002</v>
      </c>
      <c r="LM57" s="50">
        <v>61.634969059999989</v>
      </c>
      <c r="LN57" s="50">
        <v>3.0093560000000002E-2</v>
      </c>
      <c r="LO57" s="50">
        <v>61.665062619999993</v>
      </c>
      <c r="LP57" s="44">
        <v>62.119163420000007</v>
      </c>
      <c r="LQ57" s="44">
        <v>6.8709350000000002E-2</v>
      </c>
      <c r="LR57" s="44">
        <v>62.187872770000013</v>
      </c>
      <c r="LS57" s="52">
        <v>35.005518809999998</v>
      </c>
      <c r="LT57" s="44">
        <v>7.0965169999999994E-2</v>
      </c>
      <c r="LU57" s="52">
        <v>35.076483980000006</v>
      </c>
      <c r="LV57" s="44">
        <v>39.167402870000004</v>
      </c>
      <c r="LW57" s="44">
        <v>6.7219559999999998E-2</v>
      </c>
      <c r="LX57" s="44">
        <v>39.234622430000002</v>
      </c>
      <c r="LY57" s="44">
        <v>39.517629470000003</v>
      </c>
      <c r="LZ57" s="44">
        <v>0.13917100999999998</v>
      </c>
      <c r="MA57" s="44">
        <v>39.656800480000001</v>
      </c>
      <c r="MB57" s="44">
        <v>37.726963349999991</v>
      </c>
      <c r="MC57" s="44">
        <v>0.10663010000000001</v>
      </c>
      <c r="MD57" s="44">
        <v>37.833593449999988</v>
      </c>
      <c r="ME57" s="44">
        <v>49.22874376999998</v>
      </c>
      <c r="MF57" s="44">
        <v>4.8689410000000002E-2</v>
      </c>
      <c r="MG57" s="44">
        <v>49.277433179999974</v>
      </c>
      <c r="MH57" s="50">
        <f t="shared" si="66"/>
        <v>533.76591757999995</v>
      </c>
      <c r="MI57" s="50">
        <f t="shared" si="50"/>
        <v>0.80118556000000007</v>
      </c>
      <c r="MJ57" s="50">
        <f t="shared" si="51"/>
        <v>534.56710313999997</v>
      </c>
      <c r="MK57" s="50">
        <f t="shared" si="99"/>
        <v>532.78953799999999</v>
      </c>
      <c r="ML57" s="50">
        <v>0.80118699999999998</v>
      </c>
      <c r="MM57" s="50">
        <v>533.59072500000002</v>
      </c>
      <c r="MN57" s="44">
        <v>71.547808400000008</v>
      </c>
      <c r="MO57" s="44">
        <v>1.8136199999999998E-2</v>
      </c>
      <c r="MP57" s="44">
        <v>71.565944599999995</v>
      </c>
      <c r="MQ57" s="44">
        <v>101.95084107000001</v>
      </c>
      <c r="MR57" s="44">
        <v>7.3494900000000002E-3</v>
      </c>
      <c r="MS57" s="44">
        <v>101.95819056000001</v>
      </c>
      <c r="MT57" s="50">
        <v>372.72983174000012</v>
      </c>
      <c r="MU57" s="50">
        <v>8.7419999999999998E-3</v>
      </c>
      <c r="MV57" s="50">
        <v>372.73857374000005</v>
      </c>
      <c r="MW57" s="44">
        <v>266.33930913</v>
      </c>
      <c r="MX57" s="44">
        <v>1.3825260000000001E-2</v>
      </c>
      <c r="MY57" s="44">
        <v>266.35313439000004</v>
      </c>
      <c r="MZ57" s="44">
        <v>127.44286868</v>
      </c>
      <c r="NA57" s="44">
        <v>2.0660300000000003E-2</v>
      </c>
      <c r="NB57" s="44">
        <v>127.46352898000001</v>
      </c>
      <c r="NC57" s="44">
        <v>172.26855810000006</v>
      </c>
      <c r="ND57" s="44">
        <v>6.5242179999999997E-2</v>
      </c>
      <c r="NE57" s="44">
        <v>172.33380028000002</v>
      </c>
      <c r="NF57" s="44">
        <v>112.58833440999999</v>
      </c>
      <c r="NG57" s="44">
        <v>3.281361E-2</v>
      </c>
      <c r="NH57" s="44">
        <v>112.62114801999998</v>
      </c>
      <c r="NI57" s="44">
        <v>54.085416769999995</v>
      </c>
      <c r="NJ57" s="44">
        <v>4.4021989999999997E-2</v>
      </c>
      <c r="NK57" s="44">
        <v>54.129438760000006</v>
      </c>
      <c r="NL57" s="44">
        <v>38.067170539999999</v>
      </c>
      <c r="NM57" s="44">
        <v>0.10671047</v>
      </c>
      <c r="NN57" s="44">
        <v>38.173881010000002</v>
      </c>
      <c r="NO57" s="44">
        <v>37.549610550000004</v>
      </c>
      <c r="NP57" s="44">
        <v>0.25942418</v>
      </c>
      <c r="NQ57" s="44">
        <v>37.809034729999993</v>
      </c>
      <c r="NR57" s="44">
        <v>45.316702710000001</v>
      </c>
      <c r="NS57" s="44">
        <v>0.24580202000000001</v>
      </c>
      <c r="NT57" s="44">
        <v>45.562504730000008</v>
      </c>
      <c r="NU57" s="44">
        <v>-438.96234157000004</v>
      </c>
      <c r="NV57" s="44">
        <v>0.24719757000000001</v>
      </c>
      <c r="NW57" s="44">
        <v>-438.71514400000001</v>
      </c>
      <c r="NX57" s="50">
        <f t="shared" si="117"/>
        <v>960.92411053000001</v>
      </c>
      <c r="NY57" s="50">
        <f t="shared" si="40"/>
        <v>1.0699252699999999</v>
      </c>
      <c r="NZ57" s="50">
        <f t="shared" si="41"/>
        <v>961.99403580000012</v>
      </c>
      <c r="OA57" s="50">
        <f t="shared" si="100"/>
        <v>959.21222899999998</v>
      </c>
      <c r="OB57" s="50">
        <v>1.069925</v>
      </c>
      <c r="OC57" s="50">
        <v>960.28215399999999</v>
      </c>
      <c r="OD57" s="44">
        <v>105.88568272000001</v>
      </c>
      <c r="OE57" s="44">
        <v>0.14310369000000001</v>
      </c>
      <c r="OF57" s="44">
        <v>106.02878641</v>
      </c>
      <c r="OG57" s="50">
        <v>96.941066809999995</v>
      </c>
      <c r="OH57" s="44">
        <v>8.7369790000000003E-2</v>
      </c>
      <c r="OI57" s="44">
        <v>97.028436599999992</v>
      </c>
      <c r="OJ57" s="44">
        <f t="shared" si="107"/>
        <v>98.761221910000017</v>
      </c>
      <c r="OK57" s="44">
        <v>9.2615589999999998E-2</v>
      </c>
      <c r="OL57" s="44">
        <v>98.853837500000012</v>
      </c>
      <c r="OM57" s="44">
        <v>82.159672839999999</v>
      </c>
      <c r="ON57" s="44">
        <v>4.8797640000000003E-2</v>
      </c>
      <c r="OO57" s="44">
        <v>82.208470480000017</v>
      </c>
      <c r="OP57" s="44">
        <v>56.792666240000038</v>
      </c>
      <c r="OQ57" s="44">
        <v>0.20220819000000001</v>
      </c>
      <c r="OR57" s="44">
        <v>56.994874430000039</v>
      </c>
      <c r="OS57" s="44">
        <v>-4.2881208199999987</v>
      </c>
      <c r="OT57" s="44">
        <v>0.34953941999999999</v>
      </c>
      <c r="OU57" s="44">
        <v>-3.9385813999999986</v>
      </c>
      <c r="OV57" s="44">
        <v>45.63697993000001</v>
      </c>
      <c r="OW57" s="44">
        <v>0.26646227</v>
      </c>
      <c r="OX57" s="44">
        <v>45.903442200000008</v>
      </c>
      <c r="OY57" s="95">
        <v>48.05062006</v>
      </c>
      <c r="OZ57" s="95">
        <v>0.19187198999999996</v>
      </c>
      <c r="PA57" s="95">
        <v>48.242492049999996</v>
      </c>
      <c r="PB57" s="44">
        <v>49.095363429999992</v>
      </c>
      <c r="PC57" s="44">
        <v>5.7575950000000001E-2</v>
      </c>
      <c r="PD57" s="44">
        <v>49.152939379999999</v>
      </c>
      <c r="PE57" s="44">
        <v>46.859327330000006</v>
      </c>
      <c r="PF57" s="44">
        <v>5.0912480000000003E-2</v>
      </c>
      <c r="PG57" s="44">
        <v>46.910239810000007</v>
      </c>
      <c r="PH57" s="44">
        <v>62.405681939999987</v>
      </c>
      <c r="PI57" s="44">
        <v>9.2272199999999943E-3</v>
      </c>
      <c r="PJ57" s="44">
        <v>62.414909159999979</v>
      </c>
      <c r="PK57" s="44">
        <v>57.203555359999982</v>
      </c>
      <c r="PL57" s="44">
        <v>0.44615157000000005</v>
      </c>
      <c r="PM57" s="44">
        <v>57.649706929999979</v>
      </c>
      <c r="PN57" s="50">
        <f t="shared" si="122"/>
        <v>745.50371775000008</v>
      </c>
      <c r="PO57" s="50">
        <f t="shared" si="108"/>
        <v>1.9458358</v>
      </c>
      <c r="PP57" s="50">
        <f t="shared" si="116"/>
        <v>747.44955355000002</v>
      </c>
      <c r="PQ57" s="50">
        <f t="shared" si="118"/>
        <v>744.30220599999996</v>
      </c>
      <c r="PR57" s="50">
        <v>1.945835</v>
      </c>
      <c r="PS57" s="50">
        <v>746.24804099999994</v>
      </c>
      <c r="PT57" s="44">
        <v>49.159863210000005</v>
      </c>
      <c r="PU57" s="44">
        <v>0.28016639999999998</v>
      </c>
      <c r="PV57" s="44">
        <v>49.440029610000003</v>
      </c>
      <c r="PW57" s="44">
        <v>48.958434570000001</v>
      </c>
      <c r="PX57" s="44">
        <v>0.15990608000000001</v>
      </c>
      <c r="PY57" s="44">
        <v>49.11834065</v>
      </c>
      <c r="PZ57" s="44">
        <v>49.415654770000003</v>
      </c>
      <c r="QA57" s="44">
        <v>0.22804394</v>
      </c>
      <c r="QB57" s="44">
        <v>49.643698709999995</v>
      </c>
      <c r="QC57" s="44">
        <v>49.137778160000003</v>
      </c>
      <c r="QD57" s="44">
        <v>0.2305885</v>
      </c>
      <c r="QE57" s="44">
        <v>49.368366660000007</v>
      </c>
      <c r="QF57" s="50">
        <v>48.115346010000003</v>
      </c>
      <c r="QG57" s="44">
        <v>0.19973156</v>
      </c>
      <c r="QH57" s="44">
        <v>48.31507757</v>
      </c>
      <c r="QI57" s="50">
        <v>49.795628369999996</v>
      </c>
      <c r="QJ57" s="44">
        <v>0.20277443000000003</v>
      </c>
      <c r="QK57" s="44">
        <v>49.998402799999994</v>
      </c>
      <c r="QL57" s="44">
        <v>45.505025910000001</v>
      </c>
      <c r="QM57" s="44">
        <v>0.11263948</v>
      </c>
      <c r="QN57" s="44">
        <v>45.617665389999999</v>
      </c>
      <c r="QO57" s="50">
        <v>50.048816319999993</v>
      </c>
      <c r="QP57" s="44">
        <v>0.15227332000000002</v>
      </c>
      <c r="QQ57" s="44">
        <v>50.201089639999992</v>
      </c>
      <c r="QR57" s="44">
        <v>46.463366260000015</v>
      </c>
      <c r="QS57" s="44">
        <v>0.1357476</v>
      </c>
      <c r="QT57" s="44">
        <v>46.599113860000017</v>
      </c>
      <c r="QU57" s="50">
        <v>97.846740140000009</v>
      </c>
      <c r="QV57" s="44">
        <v>0.12891550999999998</v>
      </c>
      <c r="QW57" s="44">
        <v>97.975655650000007</v>
      </c>
      <c r="QX57" s="50">
        <v>49.317559680000009</v>
      </c>
      <c r="QY57" s="44">
        <v>0.11914812999999999</v>
      </c>
      <c r="QZ57" s="44">
        <v>49.436707810000009</v>
      </c>
      <c r="RA57" s="50">
        <v>48.891540239999991</v>
      </c>
      <c r="RB57" s="44">
        <v>0.10860499000000001</v>
      </c>
      <c r="RC57" s="44">
        <v>49.000145229999994</v>
      </c>
      <c r="RD57" s="50">
        <f t="shared" si="52"/>
        <v>632.65575364000017</v>
      </c>
      <c r="RE57" s="50">
        <f t="shared" si="53"/>
        <v>2.0585399399999997</v>
      </c>
      <c r="RF57" s="50">
        <f t="shared" si="54"/>
        <v>634.71429358000012</v>
      </c>
      <c r="RG57" s="50">
        <f t="shared" si="119"/>
        <v>631.43713500000001</v>
      </c>
      <c r="RH57" s="50">
        <v>2.0585399999999998</v>
      </c>
      <c r="RI57" s="50">
        <v>633.49567500000001</v>
      </c>
      <c r="RJ57" s="50">
        <v>50.996893379999996</v>
      </c>
      <c r="RK57" s="50">
        <v>4.3350760000000002E-2</v>
      </c>
      <c r="RL57" s="50">
        <v>51.040244139999999</v>
      </c>
      <c r="RM57" s="50">
        <v>50.225719789999985</v>
      </c>
      <c r="RN57" s="50">
        <v>2.1272970000000002E-2</v>
      </c>
      <c r="RO57" s="50">
        <v>50.246992759999983</v>
      </c>
      <c r="RP57" s="50">
        <v>49.67168593000001</v>
      </c>
      <c r="RQ57" s="50">
        <v>3.0062220000000001E-2</v>
      </c>
      <c r="RR57" s="50">
        <v>49.701748150000007</v>
      </c>
      <c r="RS57" s="50">
        <v>71.990065979999969</v>
      </c>
      <c r="RT57" s="50">
        <v>0.16956001999999998</v>
      </c>
      <c r="RU57" s="50">
        <v>72.159625999999975</v>
      </c>
      <c r="RV57" s="50">
        <v>50.938918130000033</v>
      </c>
      <c r="RW57" s="50">
        <v>0.18348242000000001</v>
      </c>
      <c r="RX57" s="50">
        <v>51.12240055000003</v>
      </c>
      <c r="RY57" s="50">
        <v>51.881679670000018</v>
      </c>
      <c r="RZ57" s="50">
        <v>0.14228048000000001</v>
      </c>
      <c r="SA57" s="50">
        <v>52.023960150000015</v>
      </c>
      <c r="SB57" s="50">
        <v>71.800118649999987</v>
      </c>
      <c r="SC57" s="50">
        <v>0.13565722</v>
      </c>
      <c r="SD57" s="50">
        <v>71.935775869999986</v>
      </c>
      <c r="SE57" s="50">
        <v>49.653230759999992</v>
      </c>
      <c r="SF57" s="50">
        <v>0.10969514</v>
      </c>
      <c r="SG57" s="50">
        <v>49.762925899999992</v>
      </c>
      <c r="SH57" s="50">
        <v>51.391645769999975</v>
      </c>
      <c r="SI57" s="50">
        <v>0.11436101000000001</v>
      </c>
      <c r="SJ57" s="50">
        <v>51.506006779999979</v>
      </c>
      <c r="SK57" s="50">
        <v>71.578458990000001</v>
      </c>
      <c r="SL57" s="50">
        <v>0.10457293000000001</v>
      </c>
      <c r="SM57" s="50">
        <v>71.683031919999991</v>
      </c>
      <c r="SN57" s="50">
        <v>51.148797930000001</v>
      </c>
      <c r="SO57" s="50">
        <v>0.12659677</v>
      </c>
      <c r="SP57" s="50">
        <v>51.2753947</v>
      </c>
      <c r="SQ57" s="50">
        <v>52.86168365999999</v>
      </c>
      <c r="SR57" s="50">
        <v>0.1404347</v>
      </c>
      <c r="SS57" s="50">
        <v>53.00211835999999</v>
      </c>
      <c r="ST57" s="50">
        <f t="shared" si="55"/>
        <v>674.13889864000009</v>
      </c>
      <c r="SU57" s="50">
        <f t="shared" si="65"/>
        <v>1.3213266399999999</v>
      </c>
      <c r="SV57" s="50">
        <f t="shared" si="56"/>
        <v>675.4602252799998</v>
      </c>
      <c r="SW57" s="50">
        <f t="shared" si="103"/>
        <v>672.90137100000004</v>
      </c>
      <c r="SX57" s="50">
        <v>1.321326</v>
      </c>
      <c r="SY57" s="50">
        <v>674.22269700000004</v>
      </c>
      <c r="SZ57" s="50">
        <v>69.496564600000013</v>
      </c>
      <c r="TA57" s="50">
        <v>0.12110662999999999</v>
      </c>
      <c r="TB57" s="50">
        <v>69.617671230000013</v>
      </c>
      <c r="TC57" s="50">
        <v>54.721038790000016</v>
      </c>
      <c r="TD57" s="50">
        <v>7.9632399999999992E-2</v>
      </c>
      <c r="TE57" s="50">
        <v>54.800671190000017</v>
      </c>
      <c r="TF57" s="50">
        <v>53.708927820000007</v>
      </c>
      <c r="TG57" s="50">
        <v>0.22459625999999996</v>
      </c>
      <c r="TH57" s="50">
        <v>53.933524080000005</v>
      </c>
      <c r="TI57" s="50">
        <v>58.506137679999988</v>
      </c>
      <c r="TJ57" s="50">
        <v>0.22080604000000001</v>
      </c>
      <c r="TK57" s="50">
        <v>58.726943719999987</v>
      </c>
      <c r="TL57" s="50">
        <v>48.791484100000005</v>
      </c>
      <c r="TM57" s="50">
        <v>0.15152351000000003</v>
      </c>
      <c r="TN57" s="50">
        <v>48.943007610000002</v>
      </c>
      <c r="TO57" s="50">
        <v>54.046931689999994</v>
      </c>
      <c r="TP57" s="50">
        <v>0.15412543000000001</v>
      </c>
      <c r="TQ57" s="50">
        <v>54.201057119999994</v>
      </c>
      <c r="TR57" s="50">
        <v>53.947866019999992</v>
      </c>
      <c r="TS57" s="50">
        <v>9.1605729999999996E-2</v>
      </c>
      <c r="TT57" s="50">
        <v>54.03947174999999</v>
      </c>
      <c r="TU57" s="50">
        <v>52.126199270000001</v>
      </c>
      <c r="TV57" s="50">
        <v>9.3772540000000001E-2</v>
      </c>
      <c r="TW57" s="50">
        <v>52.219971810000004</v>
      </c>
      <c r="TX57" s="50">
        <v>58.040994310000009</v>
      </c>
      <c r="TY57" s="50">
        <v>0.12323124000000001</v>
      </c>
      <c r="TZ57" s="50">
        <v>58.164225550000012</v>
      </c>
      <c r="UA57" s="50">
        <v>54.70634111999999</v>
      </c>
      <c r="UB57" s="50">
        <v>0.18837967999999999</v>
      </c>
      <c r="UC57" s="50">
        <v>54.894720799999988</v>
      </c>
      <c r="UD57" s="50">
        <v>54.136751130000029</v>
      </c>
      <c r="UE57" s="50">
        <v>0.12494587</v>
      </c>
      <c r="UF57" s="50">
        <v>54.261697000000026</v>
      </c>
      <c r="UG57" s="50">
        <v>58.886909800000026</v>
      </c>
      <c r="UH57" s="50">
        <v>0.13160382000000001</v>
      </c>
      <c r="UI57" s="50">
        <v>59.018513620000029</v>
      </c>
      <c r="UJ57" s="50">
        <f t="shared" si="45"/>
        <v>671.11614633000011</v>
      </c>
      <c r="UK57" s="50">
        <f t="shared" si="15"/>
        <v>1.7053291499999998</v>
      </c>
      <c r="UL57" s="50">
        <f t="shared" si="16"/>
        <v>672.82147548</v>
      </c>
      <c r="UM57" s="50">
        <v>51.806346619999985</v>
      </c>
      <c r="UN57" s="50">
        <v>0.11083821999999999</v>
      </c>
      <c r="UO57" s="50">
        <v>51.917184839999983</v>
      </c>
      <c r="UP57" s="50">
        <v>60.503077319999981</v>
      </c>
      <c r="UQ57" s="50">
        <v>9.7080750000000007E-2</v>
      </c>
      <c r="UR57" s="50">
        <v>60.600158069999985</v>
      </c>
      <c r="US57" s="50">
        <v>60.617915880000005</v>
      </c>
      <c r="UT57" s="50">
        <v>0.15258145999999997</v>
      </c>
      <c r="UU57" s="50">
        <v>60.770497340000006</v>
      </c>
      <c r="UV57" s="50">
        <v>63.724115879999999</v>
      </c>
      <c r="UW57" s="50">
        <v>0.12389592999999999</v>
      </c>
      <c r="UX57" s="50">
        <v>63.848011810000003</v>
      </c>
      <c r="UY57" s="50"/>
      <c r="UZ57" s="50"/>
      <c r="VA57" s="50"/>
      <c r="VB57" s="50"/>
      <c r="VC57" s="50"/>
      <c r="VD57" s="50"/>
      <c r="VE57" s="50"/>
      <c r="VF57" s="50"/>
      <c r="VG57" s="50"/>
      <c r="VH57" s="50"/>
      <c r="VI57" s="50"/>
      <c r="VJ57" s="50"/>
      <c r="VK57" s="50"/>
      <c r="VL57" s="50"/>
      <c r="VM57" s="50"/>
      <c r="VN57" s="50"/>
      <c r="VO57" s="50"/>
      <c r="VP57" s="50"/>
      <c r="VQ57" s="50"/>
      <c r="VR57" s="50"/>
      <c r="VS57" s="50"/>
      <c r="VT57" s="50"/>
      <c r="VU57" s="50"/>
      <c r="VV57" s="50"/>
      <c r="VW57" s="276">
        <f t="shared" si="57"/>
        <v>236.432669</v>
      </c>
      <c r="VX57" s="292">
        <f t="shared" si="58"/>
        <v>0.64614099999999997</v>
      </c>
      <c r="VY57" s="292">
        <f t="shared" si="59"/>
        <v>237.07881</v>
      </c>
      <c r="VZ57" s="276">
        <f t="shared" si="60"/>
        <v>236.651456</v>
      </c>
      <c r="WA57" s="292">
        <f t="shared" si="61"/>
        <v>0.48439599999999999</v>
      </c>
      <c r="WB57" s="292">
        <f t="shared" si="62"/>
        <v>237.135852</v>
      </c>
      <c r="WC57" s="277">
        <f t="shared" si="112"/>
        <v>5.7041999999995596E-2</v>
      </c>
      <c r="WD57" s="277">
        <f t="shared" si="104"/>
        <v>2.4060353601413453E-2</v>
      </c>
    </row>
    <row r="58" spans="1:602" s="12" customFormat="1" ht="20.5">
      <c r="A58" s="314" t="s">
        <v>152</v>
      </c>
      <c r="B58" s="13">
        <v>6210</v>
      </c>
      <c r="C58" s="47" t="s">
        <v>153</v>
      </c>
      <c r="D58" s="45">
        <v>11.214550571709893</v>
      </c>
      <c r="E58" s="42">
        <v>14.236723183134984</v>
      </c>
      <c r="F58" s="42">
        <v>17.798450208023858</v>
      </c>
      <c r="G58" s="42">
        <v>35.530436650901244</v>
      </c>
      <c r="H58" s="42">
        <v>1.7450203612956103</v>
      </c>
      <c r="I58" s="42">
        <v>2.4765961064535778</v>
      </c>
      <c r="J58" s="42">
        <v>2.5025093198103594</v>
      </c>
      <c r="K58" s="42">
        <v>2.4928662614327757</v>
      </c>
      <c r="L58" s="42">
        <v>2.5257509205980608</v>
      </c>
      <c r="M58" s="42">
        <v>2.5744984946016247</v>
      </c>
      <c r="N58" s="42">
        <v>2.5811517578158356</v>
      </c>
      <c r="O58" s="42">
        <v>2.6136447715152431</v>
      </c>
      <c r="P58" s="42">
        <v>2.6337694862294461</v>
      </c>
      <c r="Q58" s="42">
        <v>2.6281692762135678</v>
      </c>
      <c r="R58" s="42">
        <v>2.6567065924496749</v>
      </c>
      <c r="S58" s="42">
        <v>3.3756661885817407</v>
      </c>
      <c r="T58" s="42" t="s">
        <v>46</v>
      </c>
      <c r="U58" s="42" t="s">
        <v>46</v>
      </c>
      <c r="V58" s="42">
        <v>30.806349536997516</v>
      </c>
      <c r="W58" s="42">
        <v>30.806349992316491</v>
      </c>
      <c r="X58" s="42">
        <v>2.0142718880370634</v>
      </c>
      <c r="Y58" s="42">
        <v>2.7886859494254446</v>
      </c>
      <c r="Z58" s="42">
        <v>3.0137138661703693</v>
      </c>
      <c r="AA58" s="42">
        <v>2.8212606075093483</v>
      </c>
      <c r="AB58" s="42">
        <v>2.6331345581413879</v>
      </c>
      <c r="AC58" s="42">
        <v>2.8459590156003522</v>
      </c>
      <c r="AD58" s="42">
        <v>2.8696218860450422</v>
      </c>
      <c r="AE58" s="42">
        <v>2.8976715414254897</v>
      </c>
      <c r="AF58" s="42">
        <v>2.9194856033830203</v>
      </c>
      <c r="AG58" s="42">
        <v>2.940203556041229</v>
      </c>
      <c r="AH58" s="42">
        <v>2.9710601817861026</v>
      </c>
      <c r="AI58" s="42">
        <v>2.9672239913261738</v>
      </c>
      <c r="AJ58" s="42" t="s">
        <v>46</v>
      </c>
      <c r="AK58" s="42" t="s">
        <v>46</v>
      </c>
      <c r="AL58" s="42">
        <v>33.682292644891021</v>
      </c>
      <c r="AM58" s="42">
        <v>33.682292644891035</v>
      </c>
      <c r="AN58" s="42">
        <v>2.9895006289093407</v>
      </c>
      <c r="AO58" s="42">
        <v>3.0235765590406434</v>
      </c>
      <c r="AP58" s="42">
        <v>3.0388272690536766</v>
      </c>
      <c r="AQ58" s="42">
        <v>3.2539519410817244</v>
      </c>
      <c r="AR58" s="42">
        <v>2.8475258393520808</v>
      </c>
      <c r="AS58" s="42">
        <v>3.0543660394647723</v>
      </c>
      <c r="AT58" s="42">
        <v>3.0723807491135511</v>
      </c>
      <c r="AU58" s="42">
        <v>3.1110278399999998</v>
      </c>
      <c r="AV58" s="42">
        <v>3.1181245999999998</v>
      </c>
      <c r="AW58" s="42">
        <v>3.1327651599999999</v>
      </c>
      <c r="AX58" s="42">
        <v>3.1310896352325832</v>
      </c>
      <c r="AY58" s="42">
        <v>3.4152527447197207</v>
      </c>
      <c r="AZ58" s="42">
        <f>BB58</f>
        <v>37.188390134376014</v>
      </c>
      <c r="BA58" s="42"/>
      <c r="BB58" s="42">
        <v>37.188390134376014</v>
      </c>
      <c r="BC58" s="42">
        <f t="shared" si="21"/>
        <v>37.188389650599596</v>
      </c>
      <c r="BD58" s="42">
        <v>0</v>
      </c>
      <c r="BE58" s="42">
        <v>37.188389650599596</v>
      </c>
      <c r="BF58" s="44">
        <v>2.913503</v>
      </c>
      <c r="BG58" s="44"/>
      <c r="BH58" s="44">
        <f>BF58+BG58</f>
        <v>2.913503</v>
      </c>
      <c r="BI58" s="42">
        <v>3.1978460000000002</v>
      </c>
      <c r="BJ58" s="42"/>
      <c r="BK58" s="44">
        <f>BI58+BJ58</f>
        <v>3.1978460000000002</v>
      </c>
      <c r="BL58" s="44">
        <v>3.18282</v>
      </c>
      <c r="BM58" s="44">
        <v>0</v>
      </c>
      <c r="BN58" s="44">
        <f>BL58+BM58</f>
        <v>3.18282</v>
      </c>
      <c r="BO58" s="44">
        <v>3.4393030000000002</v>
      </c>
      <c r="BP58" s="44">
        <v>0</v>
      </c>
      <c r="BQ58" s="44">
        <f>BO58+BP58</f>
        <v>3.4393030000000002</v>
      </c>
      <c r="BR58" s="44">
        <v>2.9773079999999998</v>
      </c>
      <c r="BS58" s="44"/>
      <c r="BT58" s="44">
        <f>BR58+BS58</f>
        <v>2.9773079999999998</v>
      </c>
      <c r="BU58" s="44">
        <v>3.2247859999999999</v>
      </c>
      <c r="BV58" s="44"/>
      <c r="BW58" s="44">
        <f>BU58+BV58</f>
        <v>3.2247859999999999</v>
      </c>
      <c r="BX58" s="44">
        <v>3.2176889599999998</v>
      </c>
      <c r="BY58" s="44"/>
      <c r="BZ58" s="44">
        <f>BX58+BY58</f>
        <v>3.2176889599999998</v>
      </c>
      <c r="CA58" s="44">
        <v>3.2362060000000001</v>
      </c>
      <c r="CB58" s="44"/>
      <c r="CC58" s="44">
        <f>CA58+CB58</f>
        <v>3.2362060000000001</v>
      </c>
      <c r="CD58" s="44">
        <v>3.23121087</v>
      </c>
      <c r="CE58" s="44"/>
      <c r="CF58" s="44">
        <f>CD58+CE58</f>
        <v>3.23121087</v>
      </c>
      <c r="CG58" s="44">
        <v>3.2775521599999999</v>
      </c>
      <c r="CH58" s="44"/>
      <c r="CI58" s="44">
        <f>CG58+CH58</f>
        <v>3.2775521599999999</v>
      </c>
      <c r="CJ58" s="42">
        <v>3.3277773500000003</v>
      </c>
      <c r="CK58" s="42"/>
      <c r="CL58" s="44">
        <f>CJ58+CK58</f>
        <v>3.3277773500000003</v>
      </c>
      <c r="CM58" s="42">
        <v>3.5532415799999999</v>
      </c>
      <c r="CN58" s="42"/>
      <c r="CO58" s="44">
        <f>CM58+CN58</f>
        <v>3.5532415799999999</v>
      </c>
      <c r="CP58" s="50">
        <f t="shared" si="24"/>
        <v>38.779242919999994</v>
      </c>
      <c r="CQ58" s="50">
        <f t="shared" si="25"/>
        <v>0</v>
      </c>
      <c r="CR58" s="50">
        <f t="shared" si="26"/>
        <v>38.779242919999994</v>
      </c>
      <c r="CS58" s="42">
        <f t="shared" si="123"/>
        <v>38.779243000000001</v>
      </c>
      <c r="CT58" s="42"/>
      <c r="CU58" s="42">
        <v>38.779243000000001</v>
      </c>
      <c r="CV58" s="42">
        <v>3.0887173999999997</v>
      </c>
      <c r="CW58" s="42"/>
      <c r="CX58" s="44">
        <f>CV58+CW58</f>
        <v>3.0887173999999997</v>
      </c>
      <c r="CY58" s="42">
        <v>3.35400001</v>
      </c>
      <c r="CZ58" s="42">
        <v>0</v>
      </c>
      <c r="DA58" s="44">
        <v>3.35400001</v>
      </c>
      <c r="DB58" s="42">
        <v>3.5901708999999999</v>
      </c>
      <c r="DC58" s="42">
        <v>0</v>
      </c>
      <c r="DD58" s="44">
        <v>3.5901708999999999</v>
      </c>
      <c r="DE58" s="42">
        <v>3.3627145000000001</v>
      </c>
      <c r="DF58" s="42">
        <v>0</v>
      </c>
      <c r="DG58" s="44">
        <v>3.3627145000000001</v>
      </c>
      <c r="DH58" s="42">
        <v>3.1382360400000002</v>
      </c>
      <c r="DI58" s="42">
        <v>0</v>
      </c>
      <c r="DJ58" s="44">
        <v>3.1382360400000002</v>
      </c>
      <c r="DK58" s="42">
        <v>3.5967971699999999</v>
      </c>
      <c r="DL58" s="42">
        <v>0</v>
      </c>
      <c r="DM58" s="44">
        <v>3.5967971699999999</v>
      </c>
      <c r="DN58" s="42">
        <v>3.3851008599999997</v>
      </c>
      <c r="DO58" s="42">
        <v>0</v>
      </c>
      <c r="DP58" s="44">
        <v>3.3851008599999997</v>
      </c>
      <c r="DQ58" s="42">
        <v>3.1893093700000001</v>
      </c>
      <c r="DR58" s="42">
        <v>0</v>
      </c>
      <c r="DS58" s="44">
        <v>3.1893093700000001</v>
      </c>
      <c r="DT58" s="42">
        <v>3.6233489700000003</v>
      </c>
      <c r="DU58" s="42">
        <v>0</v>
      </c>
      <c r="DV58" s="44">
        <v>3.6233489700000003</v>
      </c>
      <c r="DW58" s="42">
        <v>3.2401745700000002</v>
      </c>
      <c r="DX58" s="42">
        <v>0</v>
      </c>
      <c r="DY58" s="44">
        <v>3.2401745700000002</v>
      </c>
      <c r="DZ58" s="42">
        <v>3.4879285000000002</v>
      </c>
      <c r="EA58" s="42">
        <v>0</v>
      </c>
      <c r="EB58" s="44">
        <v>3.4879285000000002</v>
      </c>
      <c r="EC58" s="42">
        <v>3.7046451199999999</v>
      </c>
      <c r="ED58" s="42">
        <v>0</v>
      </c>
      <c r="EE58" s="44">
        <v>3.7046451199999999</v>
      </c>
      <c r="EF58" s="50">
        <f t="shared" si="27"/>
        <v>40.761143410000003</v>
      </c>
      <c r="EG58" s="50">
        <f t="shared" si="28"/>
        <v>0</v>
      </c>
      <c r="EH58" s="50">
        <f t="shared" si="29"/>
        <v>40.761143410000003</v>
      </c>
      <c r="EI58" s="50">
        <f t="shared" si="94"/>
        <v>40.761143410000003</v>
      </c>
      <c r="EJ58" s="50"/>
      <c r="EK58" s="50">
        <v>40.761143410000003</v>
      </c>
      <c r="EL58" s="50">
        <v>3.2825408399999998</v>
      </c>
      <c r="EM58" s="50">
        <v>0</v>
      </c>
      <c r="EN58" s="50">
        <v>3.2825408399999998</v>
      </c>
      <c r="EO58" s="50">
        <v>3.57357492</v>
      </c>
      <c r="EP58" s="50">
        <v>0</v>
      </c>
      <c r="EQ58" s="50">
        <v>3.57357492</v>
      </c>
      <c r="ER58" s="50">
        <v>3.7925715800000002</v>
      </c>
      <c r="ES58" s="50">
        <v>0</v>
      </c>
      <c r="ET58" s="50">
        <v>3.7925715800000002</v>
      </c>
      <c r="EU58" s="50">
        <v>3.6836327999999998</v>
      </c>
      <c r="EV58" s="50">
        <v>0</v>
      </c>
      <c r="EW58" s="50">
        <v>3.6836327999999998</v>
      </c>
      <c r="EX58" s="50">
        <v>3.6615011900000005</v>
      </c>
      <c r="EY58" s="50">
        <v>0</v>
      </c>
      <c r="EZ58" s="50">
        <v>3.6615011900000005</v>
      </c>
      <c r="FA58" s="50">
        <v>3.6761605999999998</v>
      </c>
      <c r="FB58" s="50">
        <v>0</v>
      </c>
      <c r="FC58" s="50">
        <v>3.6761605999999998</v>
      </c>
      <c r="FD58" s="50">
        <v>3.4849287900000001</v>
      </c>
      <c r="FE58" s="50">
        <v>0</v>
      </c>
      <c r="FF58" s="50">
        <v>3.4849287900000001</v>
      </c>
      <c r="FG58" s="50">
        <v>4.0252360400000002</v>
      </c>
      <c r="FH58" s="50">
        <v>0</v>
      </c>
      <c r="FI58" s="50">
        <v>4.0252360400000002</v>
      </c>
      <c r="FJ58" s="50">
        <v>3.7736145299999997</v>
      </c>
      <c r="FK58" s="50">
        <v>0</v>
      </c>
      <c r="FL58" s="50">
        <v>3.7736145299999997</v>
      </c>
      <c r="FM58" s="50">
        <v>3.6048279399999998</v>
      </c>
      <c r="FN58" s="50">
        <v>0</v>
      </c>
      <c r="FO58" s="50">
        <v>3.6048279399999998</v>
      </c>
      <c r="FP58" s="50">
        <v>4.0857148299999997</v>
      </c>
      <c r="FQ58" s="50">
        <v>0</v>
      </c>
      <c r="FR58" s="50">
        <v>4.0857148299999997</v>
      </c>
      <c r="FS58" s="50">
        <v>3.6588649800000002</v>
      </c>
      <c r="FT58" s="50">
        <v>0</v>
      </c>
      <c r="FU58" s="50">
        <v>3.6588649800000002</v>
      </c>
      <c r="FV58" s="50">
        <f t="shared" si="30"/>
        <v>44.30316904</v>
      </c>
      <c r="FW58" s="50">
        <f t="shared" si="31"/>
        <v>0</v>
      </c>
      <c r="FX58" s="50">
        <f t="shared" si="32"/>
        <v>44.30316904</v>
      </c>
      <c r="FY58" s="50">
        <f t="shared" si="95"/>
        <v>44.303168999999997</v>
      </c>
      <c r="FZ58" s="50"/>
      <c r="GA58" s="50">
        <v>44.303168999999997</v>
      </c>
      <c r="GB58" s="50">
        <v>4.1316333699999994</v>
      </c>
      <c r="GC58" s="50">
        <v>0</v>
      </c>
      <c r="GD58" s="50">
        <v>4.1316333699999994</v>
      </c>
      <c r="GE58" s="50">
        <v>3.9593773999999997</v>
      </c>
      <c r="GF58" s="50">
        <v>0</v>
      </c>
      <c r="GG58" s="50">
        <v>3.9593773999999997</v>
      </c>
      <c r="GH58" s="50">
        <v>3.9732122200000002</v>
      </c>
      <c r="GI58" s="50">
        <v>0</v>
      </c>
      <c r="GJ58" s="50">
        <v>3.9732122200000002</v>
      </c>
      <c r="GK58" s="50">
        <v>4.0547333999999999</v>
      </c>
      <c r="GL58" s="50">
        <v>0</v>
      </c>
      <c r="GM58" s="50">
        <v>4.0547333999999999</v>
      </c>
      <c r="GN58" s="50">
        <v>3.96327462</v>
      </c>
      <c r="GO58" s="50">
        <v>0</v>
      </c>
      <c r="GP58" s="50">
        <v>3.96327462</v>
      </c>
      <c r="GQ58" s="50">
        <v>4.0715743900000003</v>
      </c>
      <c r="GR58" s="50">
        <v>0</v>
      </c>
      <c r="GS58" s="50">
        <v>4.0715743900000003</v>
      </c>
      <c r="GT58" s="50">
        <v>3.8477778100000002</v>
      </c>
      <c r="GU58" s="50">
        <v>0</v>
      </c>
      <c r="GV58" s="50">
        <v>3.8477778100000002</v>
      </c>
      <c r="GW58" s="50">
        <v>4.31505049</v>
      </c>
      <c r="GX58" s="50">
        <v>0</v>
      </c>
      <c r="GY58" s="50">
        <v>4.31505049</v>
      </c>
      <c r="GZ58" s="50">
        <v>3.87041294</v>
      </c>
      <c r="HA58" s="50">
        <v>0</v>
      </c>
      <c r="HB58" s="50">
        <v>3.87041294</v>
      </c>
      <c r="HC58" s="50">
        <v>4.4615574900000006</v>
      </c>
      <c r="HD58" s="50">
        <v>0</v>
      </c>
      <c r="HE58" s="50">
        <v>4.4615574900000006</v>
      </c>
      <c r="HF58" s="50">
        <v>4.2706271499999993</v>
      </c>
      <c r="HG58" s="50">
        <v>0</v>
      </c>
      <c r="HH58" s="50">
        <v>4.2706271499999993</v>
      </c>
      <c r="HI58" s="50">
        <v>4.0659434799999996</v>
      </c>
      <c r="HJ58" s="50">
        <v>0</v>
      </c>
      <c r="HK58" s="50">
        <v>4.0659434799999996</v>
      </c>
      <c r="HL58" s="50">
        <f t="shared" si="33"/>
        <v>48.985174760000007</v>
      </c>
      <c r="HM58" s="50">
        <f t="shared" si="34"/>
        <v>0</v>
      </c>
      <c r="HN58" s="50">
        <f t="shared" si="35"/>
        <v>48.985174760000007</v>
      </c>
      <c r="HO58" s="50">
        <f t="shared" si="96"/>
        <v>48.985174000000001</v>
      </c>
      <c r="HP58" s="50"/>
      <c r="HQ58" s="50">
        <v>48.985174000000001</v>
      </c>
      <c r="HR58" s="50">
        <v>4.5498197600000001</v>
      </c>
      <c r="HS58" s="50">
        <v>0</v>
      </c>
      <c r="HT58" s="50">
        <v>4.5498197600000001</v>
      </c>
      <c r="HU58" s="50">
        <v>4.3304927900000001</v>
      </c>
      <c r="HV58" s="50">
        <v>0</v>
      </c>
      <c r="HW58" s="50">
        <v>4.3304927900000001</v>
      </c>
      <c r="HX58" s="50">
        <v>4.3637731200000003</v>
      </c>
      <c r="HY58" s="50">
        <v>0</v>
      </c>
      <c r="HZ58" s="50">
        <v>4.3637731200000003</v>
      </c>
      <c r="IA58" s="50">
        <v>4.3865100000000004</v>
      </c>
      <c r="IB58" s="50">
        <v>0</v>
      </c>
      <c r="IC58" s="50">
        <v>4.3865100000000004</v>
      </c>
      <c r="ID58" s="50">
        <v>4.4164195599999996</v>
      </c>
      <c r="IE58" s="50">
        <v>0</v>
      </c>
      <c r="IF58" s="50">
        <v>4.4164195599999996</v>
      </c>
      <c r="IG58" s="50">
        <v>4.2109449999999997</v>
      </c>
      <c r="IH58" s="50">
        <v>0</v>
      </c>
      <c r="II58" s="50">
        <v>4.2109449999999997</v>
      </c>
      <c r="IJ58" s="50">
        <v>4.7404112700000001</v>
      </c>
      <c r="IK58" s="50">
        <v>0</v>
      </c>
      <c r="IL58" s="50">
        <v>4.7404112700000001</v>
      </c>
      <c r="IM58" s="50">
        <v>4.5263186200000005</v>
      </c>
      <c r="IN58" s="50">
        <v>0</v>
      </c>
      <c r="IO58" s="50">
        <v>4.5263186200000005</v>
      </c>
      <c r="IP58" s="50">
        <v>4.2926342999999996</v>
      </c>
      <c r="IQ58" s="50">
        <v>0</v>
      </c>
      <c r="IR58" s="50">
        <v>4.2926342999999996</v>
      </c>
      <c r="IS58" s="50">
        <v>4.9390674000000008</v>
      </c>
      <c r="IT58" s="50">
        <v>0</v>
      </c>
      <c r="IU58" s="50">
        <v>4.9390674000000008</v>
      </c>
      <c r="IV58" s="50">
        <v>4.7532262999999997</v>
      </c>
      <c r="IW58" s="50">
        <v>0</v>
      </c>
      <c r="IX58" s="50">
        <v>4.7532262999999997</v>
      </c>
      <c r="IY58" s="50">
        <v>4.7591639199999998</v>
      </c>
      <c r="IZ58" s="50">
        <v>0</v>
      </c>
      <c r="JA58" s="50">
        <v>4.7591639199999998</v>
      </c>
      <c r="JB58" s="50">
        <f t="shared" si="36"/>
        <v>54.268782039999991</v>
      </c>
      <c r="JC58" s="50">
        <f t="shared" si="37"/>
        <v>0</v>
      </c>
      <c r="JD58" s="50">
        <f t="shared" si="38"/>
        <v>54.268782039999991</v>
      </c>
      <c r="JE58" s="50">
        <f t="shared" si="97"/>
        <v>54.268782000000002</v>
      </c>
      <c r="JF58" s="50"/>
      <c r="JG58" s="50">
        <v>54.268782000000002</v>
      </c>
      <c r="JH58" s="50">
        <v>4.77726074</v>
      </c>
      <c r="JI58" s="50">
        <v>0</v>
      </c>
      <c r="JJ58" s="50">
        <v>4.77726074</v>
      </c>
      <c r="JK58" s="50">
        <v>4.8204689700000003</v>
      </c>
      <c r="JL58" s="50">
        <v>0</v>
      </c>
      <c r="JM58" s="50">
        <v>4.8204689700000003</v>
      </c>
      <c r="JN58" s="50">
        <v>4.6054289500000003</v>
      </c>
      <c r="JO58" s="50">
        <v>0</v>
      </c>
      <c r="JP58" s="50">
        <v>4.6054289500000003</v>
      </c>
      <c r="JQ58" s="50">
        <v>5.1524978899999994</v>
      </c>
      <c r="JR58" s="50">
        <v>0</v>
      </c>
      <c r="JS58" s="50">
        <v>5.1524978899999994</v>
      </c>
      <c r="JT58" s="50">
        <v>4.9471476699999997</v>
      </c>
      <c r="JU58" s="50">
        <v>0</v>
      </c>
      <c r="JV58" s="50">
        <v>4.9471476699999997</v>
      </c>
      <c r="JW58" s="50">
        <v>4.7511654700000001</v>
      </c>
      <c r="JX58" s="50">
        <v>0</v>
      </c>
      <c r="JY58" s="50">
        <v>4.7511654700000001</v>
      </c>
      <c r="JZ58" s="50">
        <v>5.3068319299999995</v>
      </c>
      <c r="KA58" s="50">
        <v>0</v>
      </c>
      <c r="KB58" s="50">
        <v>5.3068319299999995</v>
      </c>
      <c r="KC58" s="50">
        <v>4.7933072999999995</v>
      </c>
      <c r="KD58" s="50">
        <v>0</v>
      </c>
      <c r="KE58" s="50">
        <v>4.7933072999999995</v>
      </c>
      <c r="KF58" s="50">
        <v>5.0830535600000006</v>
      </c>
      <c r="KG58" s="50">
        <v>0</v>
      </c>
      <c r="KH58" s="50">
        <v>5.0830535600000006</v>
      </c>
      <c r="KI58" s="50">
        <v>5.5757836800000007</v>
      </c>
      <c r="KJ58" s="50">
        <v>0</v>
      </c>
      <c r="KK58" s="50">
        <v>5.5757836800000007</v>
      </c>
      <c r="KL58" s="50">
        <v>5.1465374000000006</v>
      </c>
      <c r="KM58" s="50">
        <v>0</v>
      </c>
      <c r="KN58" s="50">
        <v>5.1465374000000006</v>
      </c>
      <c r="KO58" s="50">
        <v>5.6797636900000006</v>
      </c>
      <c r="KP58" s="50">
        <v>0</v>
      </c>
      <c r="KQ58" s="50">
        <v>5.6797636900000006</v>
      </c>
      <c r="KR58" s="50">
        <f t="shared" si="48"/>
        <v>60.639247250000004</v>
      </c>
      <c r="KS58" s="50">
        <f t="shared" si="39"/>
        <v>0</v>
      </c>
      <c r="KT58" s="50">
        <f t="shared" si="49"/>
        <v>60.639247250000004</v>
      </c>
      <c r="KU58" s="50">
        <f t="shared" si="98"/>
        <v>60.639248000000002</v>
      </c>
      <c r="KV58" s="50"/>
      <c r="KW58" s="50">
        <v>60.639248000000002</v>
      </c>
      <c r="KX58" s="50">
        <v>5.4436305300000001</v>
      </c>
      <c r="KY58" s="50">
        <v>0</v>
      </c>
      <c r="KZ58" s="50">
        <v>5.4436305300000001</v>
      </c>
      <c r="LA58" s="50">
        <v>5.2255536399999993</v>
      </c>
      <c r="LB58" s="50">
        <v>0</v>
      </c>
      <c r="LC58" s="50">
        <v>5.2255536399999993</v>
      </c>
      <c r="LD58" s="50">
        <v>5.8401911799999997</v>
      </c>
      <c r="LE58" s="50"/>
      <c r="LF58" s="87">
        <v>5.8401911799999997</v>
      </c>
      <c r="LG58" s="50">
        <v>5.5895784800000001</v>
      </c>
      <c r="LH58" s="50"/>
      <c r="LI58" s="175">
        <v>5.5895784800000001</v>
      </c>
      <c r="LJ58" s="174">
        <v>5.3673745400000001</v>
      </c>
      <c r="LK58" s="50">
        <v>0</v>
      </c>
      <c r="LL58" s="174">
        <v>5.3673745400000001</v>
      </c>
      <c r="LM58" s="50">
        <v>5.981440140000001</v>
      </c>
      <c r="LN58" s="50">
        <v>0</v>
      </c>
      <c r="LO58" s="50">
        <v>5.981440140000001</v>
      </c>
      <c r="LP58" s="44">
        <v>5.7562116699999999</v>
      </c>
      <c r="LQ58" s="44"/>
      <c r="LR58" s="44">
        <v>5.7562116699999999</v>
      </c>
      <c r="LS58" s="52">
        <v>5.51196558</v>
      </c>
      <c r="LT58" s="44"/>
      <c r="LU58" s="52">
        <v>5.51196558</v>
      </c>
      <c r="LV58" s="44">
        <v>6.0621534600000002</v>
      </c>
      <c r="LW58" s="44">
        <v>0</v>
      </c>
      <c r="LX58" s="44">
        <v>6.0621534600000002</v>
      </c>
      <c r="LY58" s="44">
        <v>5.6887943300000003</v>
      </c>
      <c r="LZ58" s="44">
        <v>0</v>
      </c>
      <c r="MA58" s="44">
        <v>5.6887943300000003</v>
      </c>
      <c r="MB58" s="44">
        <v>6.0258780199999995</v>
      </c>
      <c r="MC58" s="44">
        <v>0</v>
      </c>
      <c r="MD58" s="44">
        <v>6.0258780199999995</v>
      </c>
      <c r="ME58" s="44">
        <v>6.2831157099999997</v>
      </c>
      <c r="MF58" s="44">
        <v>0</v>
      </c>
      <c r="MG58" s="44">
        <v>6.2831157099999997</v>
      </c>
      <c r="MH58" s="50">
        <f t="shared" si="66"/>
        <v>68.775887280000006</v>
      </c>
      <c r="MI58" s="50">
        <f t="shared" si="50"/>
        <v>0</v>
      </c>
      <c r="MJ58" s="50">
        <f t="shared" si="51"/>
        <v>68.775887280000006</v>
      </c>
      <c r="MK58" s="50">
        <f t="shared" si="99"/>
        <v>68.775886999999997</v>
      </c>
      <c r="ML58" s="50"/>
      <c r="MM58" s="50">
        <v>68.775886999999997</v>
      </c>
      <c r="MN58" s="44">
        <v>5.7899520299999994</v>
      </c>
      <c r="MO58" s="44">
        <v>0</v>
      </c>
      <c r="MP58" s="44">
        <v>5.7899520299999994</v>
      </c>
      <c r="MQ58" s="44">
        <v>6.0975374000000002</v>
      </c>
      <c r="MR58" s="44">
        <v>0</v>
      </c>
      <c r="MS58" s="44">
        <v>6.0975374000000002</v>
      </c>
      <c r="MT58" s="50">
        <v>6.4281539099999998</v>
      </c>
      <c r="MU58" s="50">
        <v>0</v>
      </c>
      <c r="MV58" s="50">
        <v>6.4281539099999998</v>
      </c>
      <c r="MW58" s="44">
        <v>6.17698269</v>
      </c>
      <c r="MX58" s="44">
        <v>0</v>
      </c>
      <c r="MY58" s="44">
        <v>6.17698269</v>
      </c>
      <c r="MZ58" s="44">
        <v>5.9074010999999995</v>
      </c>
      <c r="NA58" s="44">
        <v>0</v>
      </c>
      <c r="NB58" s="44">
        <v>5.9074010999999995</v>
      </c>
      <c r="NC58" s="44">
        <v>6.4871446600000002</v>
      </c>
      <c r="ND58" s="44">
        <v>0</v>
      </c>
      <c r="NE58" s="44">
        <v>6.4871446600000002</v>
      </c>
      <c r="NF58" s="44">
        <v>6.0123530199999999</v>
      </c>
      <c r="NG58" s="44">
        <v>0</v>
      </c>
      <c r="NH58" s="44">
        <v>6.0123530199999999</v>
      </c>
      <c r="NI58" s="44">
        <v>6.5870349600000013</v>
      </c>
      <c r="NJ58" s="44">
        <v>0</v>
      </c>
      <c r="NK58" s="44">
        <v>6.5870349600000013</v>
      </c>
      <c r="NL58" s="44">
        <v>6.37933051</v>
      </c>
      <c r="NM58" s="44">
        <v>0</v>
      </c>
      <c r="NN58" s="44">
        <v>6.37933051</v>
      </c>
      <c r="NO58" s="44">
        <v>6.2686333099999993</v>
      </c>
      <c r="NP58" s="44">
        <v>0</v>
      </c>
      <c r="NQ58" s="44">
        <v>6.2686333099999993</v>
      </c>
      <c r="NR58" s="44">
        <v>6.8908867499999999</v>
      </c>
      <c r="NS58" s="44">
        <v>0</v>
      </c>
      <c r="NT58" s="44">
        <v>6.8908867499999999</v>
      </c>
      <c r="NU58" s="44">
        <v>7.8159776899999995</v>
      </c>
      <c r="NV58" s="44">
        <v>0</v>
      </c>
      <c r="NW58" s="44">
        <v>7.8159776899999995</v>
      </c>
      <c r="NX58" s="50">
        <f t="shared" si="117"/>
        <v>76.841388030000005</v>
      </c>
      <c r="NY58" s="50">
        <f t="shared" si="40"/>
        <v>0</v>
      </c>
      <c r="NZ58" s="50">
        <f t="shared" si="41"/>
        <v>76.841388030000005</v>
      </c>
      <c r="OA58" s="50">
        <f t="shared" si="100"/>
        <v>76.841387999999995</v>
      </c>
      <c r="OB58" s="50">
        <v>0</v>
      </c>
      <c r="OC58" s="50">
        <v>76.841387999999995</v>
      </c>
      <c r="OD58" s="44">
        <v>5.2067651100000001</v>
      </c>
      <c r="OE58" s="44">
        <v>0</v>
      </c>
      <c r="OF58" s="44">
        <v>5.2067651100000001</v>
      </c>
      <c r="OG58" s="50">
        <v>6.7596145299999995</v>
      </c>
      <c r="OH58" s="44">
        <v>0</v>
      </c>
      <c r="OI58" s="44">
        <v>6.7596145299999995</v>
      </c>
      <c r="OJ58" s="44">
        <f t="shared" si="107"/>
        <v>7.1395360100000005</v>
      </c>
      <c r="OK58" s="44"/>
      <c r="OL58" s="44">
        <v>7.1395360100000005</v>
      </c>
      <c r="OM58" s="44">
        <v>6.8821061599999993</v>
      </c>
      <c r="ON58" s="44"/>
      <c r="OO58" s="44">
        <v>6.8821061599999993</v>
      </c>
      <c r="OP58" s="44">
        <v>6.9578110400000002</v>
      </c>
      <c r="OQ58" s="44"/>
      <c r="OR58" s="44">
        <v>6.9578110400000002</v>
      </c>
      <c r="OS58" s="44">
        <v>6.9675273300000002</v>
      </c>
      <c r="OT58" s="44"/>
      <c r="OU58" s="44">
        <v>6.9675273300000002</v>
      </c>
      <c r="OV58" s="44">
        <v>6.6564803299999991</v>
      </c>
      <c r="OW58" s="44"/>
      <c r="OX58" s="44">
        <v>6.6564803299999991</v>
      </c>
      <c r="OY58" s="95">
        <v>7.6398027600000002</v>
      </c>
      <c r="OZ58" s="95"/>
      <c r="PA58" s="95">
        <v>7.6398027600000002</v>
      </c>
      <c r="PB58" s="44">
        <v>9.2284132400000001</v>
      </c>
      <c r="PC58" s="44"/>
      <c r="PD58" s="44">
        <v>9.2284132400000001</v>
      </c>
      <c r="PE58" s="44">
        <v>7.7861017000000006</v>
      </c>
      <c r="PF58" s="44"/>
      <c r="PG58" s="44">
        <v>7.7861017000000006</v>
      </c>
      <c r="PH58" s="44">
        <v>8.9529578399999998</v>
      </c>
      <c r="PI58" s="44"/>
      <c r="PJ58" s="44">
        <v>8.9529578399999998</v>
      </c>
      <c r="PK58" s="44">
        <v>9.22008078</v>
      </c>
      <c r="PL58" s="44"/>
      <c r="PM58" s="44">
        <v>9.22008078</v>
      </c>
      <c r="PN58" s="50">
        <f t="shared" si="122"/>
        <v>89.397196830000013</v>
      </c>
      <c r="PO58" s="50">
        <f t="shared" si="108"/>
        <v>0</v>
      </c>
      <c r="PP58" s="50">
        <f t="shared" si="116"/>
        <v>89.397196830000013</v>
      </c>
      <c r="PQ58" s="50">
        <f t="shared" si="118"/>
        <v>89.397197000000006</v>
      </c>
      <c r="PR58" s="50">
        <v>0</v>
      </c>
      <c r="PS58" s="50">
        <v>89.397197000000006</v>
      </c>
      <c r="PT58" s="44">
        <v>7.6634246999999993</v>
      </c>
      <c r="PU58" s="44"/>
      <c r="PV58" s="44">
        <v>7.6634246999999993</v>
      </c>
      <c r="PW58" s="44">
        <v>8.4990133599999993</v>
      </c>
      <c r="PX58" s="44"/>
      <c r="PY58" s="44">
        <v>8.4990133599999993</v>
      </c>
      <c r="PZ58" s="44">
        <v>8.5780954299999994</v>
      </c>
      <c r="QA58" s="44"/>
      <c r="QB58" s="44">
        <v>8.5780954299999994</v>
      </c>
      <c r="QC58" s="44">
        <v>8.657192310000001</v>
      </c>
      <c r="QD58" s="44"/>
      <c r="QE58" s="44">
        <v>8.657192310000001</v>
      </c>
      <c r="QF58" s="50">
        <v>8.6680378999999999</v>
      </c>
      <c r="QG58" s="44"/>
      <c r="QH58" s="44">
        <v>8.6680378999999999</v>
      </c>
      <c r="QI58" s="50">
        <v>8.7463917299999991</v>
      </c>
      <c r="QJ58" s="44"/>
      <c r="QK58" s="44">
        <v>8.7463917299999991</v>
      </c>
      <c r="QL58" s="44">
        <v>7.8871025000000001</v>
      </c>
      <c r="QM58" s="44"/>
      <c r="QN58" s="44">
        <v>7.8871025000000001</v>
      </c>
      <c r="QO58" s="50">
        <v>9.6453850499999998</v>
      </c>
      <c r="QP58" s="44"/>
      <c r="QQ58" s="44">
        <v>9.6453850499999998</v>
      </c>
      <c r="QR58" s="44">
        <v>7.8871646899999996</v>
      </c>
      <c r="QS58" s="44"/>
      <c r="QT58" s="44">
        <v>7.8871646899999996</v>
      </c>
      <c r="QU58" s="50">
        <v>10.061333009999998</v>
      </c>
      <c r="QV58" s="44"/>
      <c r="QW58" s="44">
        <v>10.061333009999998</v>
      </c>
      <c r="QX58" s="50">
        <v>9.1855386600000006</v>
      </c>
      <c r="QY58" s="44"/>
      <c r="QZ58" s="44">
        <v>9.1855386600000006</v>
      </c>
      <c r="RA58" s="50">
        <v>9.5788795399999991</v>
      </c>
      <c r="RB58" s="44"/>
      <c r="RC58" s="44">
        <v>9.5788795399999991</v>
      </c>
      <c r="RD58" s="50">
        <f t="shared" si="52"/>
        <v>105.05755888</v>
      </c>
      <c r="RE58" s="50">
        <f t="shared" si="53"/>
        <v>0</v>
      </c>
      <c r="RF58" s="50">
        <f t="shared" si="54"/>
        <v>105.05755888</v>
      </c>
      <c r="RG58" s="50">
        <f t="shared" si="119"/>
        <v>105.057558</v>
      </c>
      <c r="RH58" s="50"/>
      <c r="RI58" s="50">
        <v>105.057558</v>
      </c>
      <c r="RJ58" s="50">
        <v>9.0279293599999999</v>
      </c>
      <c r="RK58" s="50"/>
      <c r="RL58" s="50">
        <v>9.0279293599999999</v>
      </c>
      <c r="RM58" s="50">
        <v>9.2995692399999985</v>
      </c>
      <c r="RN58" s="50"/>
      <c r="RO58" s="50">
        <v>9.2995692399999985</v>
      </c>
      <c r="RP58" s="50">
        <v>8.2785711299999996</v>
      </c>
      <c r="RQ58" s="50"/>
      <c r="RR58" s="50">
        <v>8.2785711299999996</v>
      </c>
      <c r="RS58" s="50">
        <v>9.4125354199999993</v>
      </c>
      <c r="RT58" s="50"/>
      <c r="RU58" s="50">
        <v>9.4125354199999993</v>
      </c>
      <c r="RV58" s="50">
        <v>9.4596844299999994</v>
      </c>
      <c r="RW58" s="50"/>
      <c r="RX58" s="50">
        <v>9.4596844299999994</v>
      </c>
      <c r="RY58" s="50">
        <v>9.5413828800000005</v>
      </c>
      <c r="RZ58" s="50"/>
      <c r="SA58" s="50">
        <v>9.5413828800000005</v>
      </c>
      <c r="SB58" s="50">
        <v>9.630544089999999</v>
      </c>
      <c r="SC58" s="50"/>
      <c r="SD58" s="50">
        <v>9.630544089999999</v>
      </c>
      <c r="SE58" s="50">
        <v>9.7081463799999987</v>
      </c>
      <c r="SF58" s="50"/>
      <c r="SG58" s="50">
        <v>9.7081463799999987</v>
      </c>
      <c r="SH58" s="50">
        <v>9.8075296999999999</v>
      </c>
      <c r="SI58" s="50"/>
      <c r="SJ58" s="50">
        <v>9.8075296999999999</v>
      </c>
      <c r="SK58" s="50">
        <v>10.213499590000001</v>
      </c>
      <c r="SL58" s="50"/>
      <c r="SM58" s="50">
        <v>10.213499590000001</v>
      </c>
      <c r="SN58" s="50">
        <v>10.29607287</v>
      </c>
      <c r="SO58" s="50"/>
      <c r="SP58" s="50">
        <v>10.29607287</v>
      </c>
      <c r="SQ58" s="50">
        <v>10.878765829999999</v>
      </c>
      <c r="SR58" s="50"/>
      <c r="SS58" s="50">
        <v>10.878765829999999</v>
      </c>
      <c r="ST58" s="50">
        <f t="shared" si="55"/>
        <v>115.55423092000001</v>
      </c>
      <c r="SU58" s="50">
        <f t="shared" si="65"/>
        <v>0</v>
      </c>
      <c r="SV58" s="50">
        <f t="shared" si="56"/>
        <v>115.55423092000001</v>
      </c>
      <c r="SW58" s="50">
        <f t="shared" si="103"/>
        <v>115.554231</v>
      </c>
      <c r="SX58" s="50"/>
      <c r="SY58" s="50">
        <v>115.554231</v>
      </c>
      <c r="SZ58" s="50">
        <v>9.7804262299999998</v>
      </c>
      <c r="TA58" s="50"/>
      <c r="TB58" s="50">
        <v>9.7804262299999998</v>
      </c>
      <c r="TC58" s="50">
        <v>10.422379729999999</v>
      </c>
      <c r="TD58" s="50"/>
      <c r="TE58" s="50">
        <v>10.422379729999999</v>
      </c>
      <c r="TF58" s="50">
        <v>10.45067491</v>
      </c>
      <c r="TG58" s="50"/>
      <c r="TH58" s="50">
        <v>10.45067491</v>
      </c>
      <c r="TI58" s="50">
        <v>12.170458490000001</v>
      </c>
      <c r="TJ58" s="50"/>
      <c r="TK58" s="50">
        <v>12.170458490000001</v>
      </c>
      <c r="TL58" s="50">
        <v>8.8313637400000005</v>
      </c>
      <c r="TM58" s="50"/>
      <c r="TN58" s="50">
        <v>8.8313637400000005</v>
      </c>
      <c r="TO58" s="50">
        <v>10.486856189999999</v>
      </c>
      <c r="TP58" s="50"/>
      <c r="TQ58" s="50">
        <v>10.486856189999999</v>
      </c>
      <c r="TR58" s="50">
        <v>10.58493028</v>
      </c>
      <c r="TS58" s="50"/>
      <c r="TT58" s="50">
        <v>10.58493028</v>
      </c>
      <c r="TU58" s="50">
        <v>10.632096989999999</v>
      </c>
      <c r="TV58" s="50"/>
      <c r="TW58" s="50">
        <v>10.632096989999999</v>
      </c>
      <c r="TX58" s="50">
        <v>10.71887173</v>
      </c>
      <c r="TY58" s="50"/>
      <c r="TZ58" s="50">
        <v>10.71887173</v>
      </c>
      <c r="UA58" s="50">
        <v>11.29571548</v>
      </c>
      <c r="UB58" s="50"/>
      <c r="UC58" s="50">
        <v>11.29571548</v>
      </c>
      <c r="UD58" s="50">
        <v>11.41692419</v>
      </c>
      <c r="UE58" s="50"/>
      <c r="UF58" s="50">
        <v>11.41692419</v>
      </c>
      <c r="UG58" s="50">
        <v>13.1684568</v>
      </c>
      <c r="UH58" s="50"/>
      <c r="UI58" s="50">
        <v>13.1684568</v>
      </c>
      <c r="UJ58" s="50">
        <f t="shared" si="45"/>
        <v>129.95915475999999</v>
      </c>
      <c r="UK58" s="50">
        <f t="shared" si="15"/>
        <v>0</v>
      </c>
      <c r="UL58" s="50">
        <f t="shared" si="16"/>
        <v>129.95915475999999</v>
      </c>
      <c r="UM58" s="50">
        <v>9.7411299000000007</v>
      </c>
      <c r="UN58" s="50"/>
      <c r="UO58" s="50">
        <v>9.7411299000000007</v>
      </c>
      <c r="UP58" s="50">
        <v>11.556830099999999</v>
      </c>
      <c r="UQ58" s="50"/>
      <c r="UR58" s="50">
        <v>11.556830099999999</v>
      </c>
      <c r="US58" s="50">
        <v>11.558316679999999</v>
      </c>
      <c r="UT58" s="50"/>
      <c r="UU58" s="50">
        <v>11.558316679999999</v>
      </c>
      <c r="UV58" s="50">
        <v>12.965863260000001</v>
      </c>
      <c r="UW58" s="50"/>
      <c r="UX58" s="50">
        <v>12.965863260000001</v>
      </c>
      <c r="UY58" s="50"/>
      <c r="UZ58" s="50"/>
      <c r="VA58" s="50"/>
      <c r="VB58" s="50"/>
      <c r="VC58" s="50"/>
      <c r="VD58" s="50"/>
      <c r="VE58" s="50"/>
      <c r="VF58" s="50"/>
      <c r="VG58" s="50"/>
      <c r="VH58" s="50"/>
      <c r="VI58" s="50"/>
      <c r="VJ58" s="50"/>
      <c r="VK58" s="50"/>
      <c r="VL58" s="50"/>
      <c r="VM58" s="50"/>
      <c r="VN58" s="50"/>
      <c r="VO58" s="50"/>
      <c r="VP58" s="50"/>
      <c r="VQ58" s="50"/>
      <c r="VR58" s="50"/>
      <c r="VS58" s="50"/>
      <c r="VT58" s="50"/>
      <c r="VU58" s="50"/>
      <c r="VV58" s="50"/>
      <c r="VW58" s="276">
        <f t="shared" si="57"/>
        <v>42.823939000000003</v>
      </c>
      <c r="VX58" s="292">
        <f t="shared" si="58"/>
        <v>0</v>
      </c>
      <c r="VY58" s="292">
        <f t="shared" si="59"/>
        <v>42.823939000000003</v>
      </c>
      <c r="VZ58" s="276">
        <f t="shared" si="60"/>
        <v>45.822139999999997</v>
      </c>
      <c r="WA58" s="292">
        <f t="shared" si="61"/>
        <v>0</v>
      </c>
      <c r="WB58" s="292">
        <f t="shared" si="62"/>
        <v>45.822139999999997</v>
      </c>
      <c r="WC58" s="277">
        <f t="shared" si="112"/>
        <v>2.9982009999999946</v>
      </c>
      <c r="WD58" s="277">
        <f t="shared" si="104"/>
        <v>7.0012265803012497</v>
      </c>
    </row>
    <row r="59" spans="1:602" s="12" customFormat="1" ht="20.5">
      <c r="A59" s="314" t="s">
        <v>154</v>
      </c>
      <c r="B59" s="13"/>
      <c r="C59" s="47" t="s">
        <v>155</v>
      </c>
      <c r="D59" s="45">
        <v>206.99356292792874</v>
      </c>
      <c r="E59" s="42">
        <v>176.80646524493315</v>
      </c>
      <c r="F59" s="42">
        <v>184.68813780228911</v>
      </c>
      <c r="G59" s="42">
        <v>175.96450930842741</v>
      </c>
      <c r="H59" s="42">
        <v>13.244764955805604</v>
      </c>
      <c r="I59" s="42">
        <v>14.305567441278081</v>
      </c>
      <c r="J59" s="42">
        <v>14.229970233521723</v>
      </c>
      <c r="K59" s="42">
        <v>14.092347468141899</v>
      </c>
      <c r="L59" s="42">
        <v>14.195483619899717</v>
      </c>
      <c r="M59" s="42">
        <v>14.757035788071777</v>
      </c>
      <c r="N59" s="42">
        <v>13.24899291978987</v>
      </c>
      <c r="O59" s="42">
        <v>12.915558249526185</v>
      </c>
      <c r="P59" s="42">
        <v>12.723152215980559</v>
      </c>
      <c r="Q59" s="42">
        <v>13.910346768088971</v>
      </c>
      <c r="R59" s="42">
        <v>14.03831893387061</v>
      </c>
      <c r="S59" s="42">
        <v>14.803124028889988</v>
      </c>
      <c r="T59" s="44" t="s">
        <v>46</v>
      </c>
      <c r="U59" s="44" t="s">
        <v>46</v>
      </c>
      <c r="V59" s="42">
        <v>166.46466262286498</v>
      </c>
      <c r="W59" s="42">
        <v>166.46461033232595</v>
      </c>
      <c r="X59" s="42">
        <v>13.299559564259736</v>
      </c>
      <c r="Y59" s="42">
        <v>13.653912555990006</v>
      </c>
      <c r="Z59" s="42">
        <v>14.353116843387346</v>
      </c>
      <c r="AA59" s="42">
        <v>13.528905711976599</v>
      </c>
      <c r="AB59" s="42">
        <v>13.620599882755364</v>
      </c>
      <c r="AC59" s="42">
        <v>13.337755078229508</v>
      </c>
      <c r="AD59" s="42">
        <v>13.12424838219475</v>
      </c>
      <c r="AE59" s="42">
        <v>12.633812343128383</v>
      </c>
      <c r="AF59" s="42">
        <v>12.625484260192033</v>
      </c>
      <c r="AG59" s="42">
        <v>13.856698154819837</v>
      </c>
      <c r="AH59" s="42">
        <v>13.446754742431745</v>
      </c>
      <c r="AI59" s="42">
        <v>14.587814113180919</v>
      </c>
      <c r="AJ59" s="44" t="s">
        <v>46</v>
      </c>
      <c r="AK59" s="44" t="s">
        <v>46</v>
      </c>
      <c r="AL59" s="42">
        <v>162.06866163254622</v>
      </c>
      <c r="AM59" s="42">
        <v>162.06907331204715</v>
      </c>
      <c r="AN59" s="42">
        <v>13.002100158792492</v>
      </c>
      <c r="AO59" s="42">
        <v>14.578363668960337</v>
      </c>
      <c r="AP59" s="42">
        <v>17.423752596741053</v>
      </c>
      <c r="AQ59" s="42">
        <v>16.496254731048772</v>
      </c>
      <c r="AR59" s="42">
        <v>14.724475742881371</v>
      </c>
      <c r="AS59" s="42">
        <v>15.506911784793484</v>
      </c>
      <c r="AT59" s="42">
        <v>15.220873131057877</v>
      </c>
      <c r="AU59" s="42">
        <v>14.357044951276089</v>
      </c>
      <c r="AV59" s="42">
        <v>14.795295073194803</v>
      </c>
      <c r="AW59" s="42">
        <v>16.12099122158007</v>
      </c>
      <c r="AX59" s="42">
        <v>15.883053710565108</v>
      </c>
      <c r="AY59" s="42">
        <v>17.061986997797398</v>
      </c>
      <c r="AZ59" s="44">
        <f>BB59-BA59</f>
        <v>177.01634035947433</v>
      </c>
      <c r="BA59" s="42">
        <v>8.1547622808065761</v>
      </c>
      <c r="BB59" s="42">
        <v>185.17110264028091</v>
      </c>
      <c r="BC59" s="42">
        <f t="shared" si="21"/>
        <v>185.17110602671585</v>
      </c>
      <c r="BD59" s="42">
        <v>0</v>
      </c>
      <c r="BE59" s="42">
        <v>185.17110602671585</v>
      </c>
      <c r="BF59" s="44">
        <v>14.641171399999999</v>
      </c>
      <c r="BG59" s="44">
        <v>0.51304959999999999</v>
      </c>
      <c r="BH59" s="44">
        <f>BF59+BG59</f>
        <v>15.154221</v>
      </c>
      <c r="BI59" s="42">
        <v>16.556430579999997</v>
      </c>
      <c r="BJ59" s="42">
        <v>0.85280132999999991</v>
      </c>
      <c r="BK59" s="44">
        <f>BI59+BJ59</f>
        <v>17.409231909999995</v>
      </c>
      <c r="BL59" s="44">
        <v>15.743526010000002</v>
      </c>
      <c r="BM59" s="44">
        <v>0.79769445999999999</v>
      </c>
      <c r="BN59" s="44">
        <f>BL59+BM59</f>
        <v>16.541220470000003</v>
      </c>
      <c r="BO59" s="44">
        <v>17.341160379999998</v>
      </c>
      <c r="BP59" s="44">
        <v>0.82158525999999998</v>
      </c>
      <c r="BQ59" s="44">
        <f>BO59+BP59</f>
        <v>18.162745639999997</v>
      </c>
      <c r="BR59" s="44">
        <v>14.496877149999998</v>
      </c>
      <c r="BS59" s="44">
        <v>0.78420327000000001</v>
      </c>
      <c r="BT59" s="44">
        <f>BR59+BS59</f>
        <v>15.281080419999999</v>
      </c>
      <c r="BU59" s="44">
        <v>17.958813399999997</v>
      </c>
      <c r="BV59" s="44">
        <v>0.81778213</v>
      </c>
      <c r="BW59" s="44">
        <f>BU59+BV59</f>
        <v>18.776595529999998</v>
      </c>
      <c r="BX59" s="44">
        <v>16.86847354</v>
      </c>
      <c r="BY59" s="44">
        <v>0.81474004</v>
      </c>
      <c r="BZ59" s="44">
        <f>BX59+BY59</f>
        <v>17.68321358</v>
      </c>
      <c r="CA59" s="44">
        <v>16.754906260000002</v>
      </c>
      <c r="CB59" s="44">
        <v>0.24181298000000001</v>
      </c>
      <c r="CC59" s="44">
        <f>CA59+CB59</f>
        <v>16.996719240000001</v>
      </c>
      <c r="CD59" s="44">
        <v>17.912605149999997</v>
      </c>
      <c r="CE59" s="44">
        <v>0.23660336000000001</v>
      </c>
      <c r="CF59" s="44">
        <f>CD59+CE59</f>
        <v>18.149208509999998</v>
      </c>
      <c r="CG59" s="44">
        <v>17.747260249999997</v>
      </c>
      <c r="CH59" s="44">
        <v>0.79136751999999988</v>
      </c>
      <c r="CI59" s="44">
        <f>CG59+CH59</f>
        <v>18.538627769999998</v>
      </c>
      <c r="CJ59" s="42">
        <v>17.89090453</v>
      </c>
      <c r="CK59" s="42">
        <v>0.82845974</v>
      </c>
      <c r="CL59" s="44">
        <f>CJ59+CK59</f>
        <v>18.71936427</v>
      </c>
      <c r="CM59" s="42">
        <v>19.85473387</v>
      </c>
      <c r="CN59" s="42">
        <v>1.30982687</v>
      </c>
      <c r="CO59" s="44">
        <f>CM59+CN59</f>
        <v>21.164560739999999</v>
      </c>
      <c r="CP59" s="50">
        <f t="shared" si="24"/>
        <v>203.76686251999999</v>
      </c>
      <c r="CQ59" s="50">
        <f t="shared" si="25"/>
        <v>8.8099265599999992</v>
      </c>
      <c r="CR59" s="50">
        <f t="shared" si="26"/>
        <v>212.57678907999997</v>
      </c>
      <c r="CS59" s="42">
        <f t="shared" si="123"/>
        <v>203.76686100000001</v>
      </c>
      <c r="CT59" s="42">
        <v>8.8099270000000001</v>
      </c>
      <c r="CU59" s="42">
        <v>212.57678799999999</v>
      </c>
      <c r="CV59" s="42">
        <v>18.853195899999999</v>
      </c>
      <c r="CW59" s="42">
        <v>0.18535279000000002</v>
      </c>
      <c r="CX59" s="44">
        <f>CV59+CW59</f>
        <v>19.038548689999999</v>
      </c>
      <c r="CY59" s="42">
        <v>21.829695809999997</v>
      </c>
      <c r="CZ59" s="42">
        <v>0.61959952000000007</v>
      </c>
      <c r="DA59" s="44">
        <v>22.449295329999998</v>
      </c>
      <c r="DB59" s="42">
        <v>23.721293060000001</v>
      </c>
      <c r="DC59" s="42">
        <v>0.62129390000000007</v>
      </c>
      <c r="DD59" s="44">
        <v>24.342586960000002</v>
      </c>
      <c r="DE59" s="42">
        <v>22.287237820000005</v>
      </c>
      <c r="DF59" s="42">
        <v>0.63126519999999997</v>
      </c>
      <c r="DG59" s="44">
        <v>22.918503020000006</v>
      </c>
      <c r="DH59" s="42">
        <v>20.556122799999997</v>
      </c>
      <c r="DI59" s="42">
        <v>0.60528251</v>
      </c>
      <c r="DJ59" s="44">
        <v>21.161405309999996</v>
      </c>
      <c r="DK59" s="42">
        <v>24.320462379999999</v>
      </c>
      <c r="DL59" s="42">
        <v>0.63033483000000001</v>
      </c>
      <c r="DM59" s="44">
        <v>24.950797209999998</v>
      </c>
      <c r="DN59" s="42">
        <v>22.462475830000002</v>
      </c>
      <c r="DO59" s="42">
        <v>0.91703126000000001</v>
      </c>
      <c r="DP59" s="44">
        <v>23.379507090000004</v>
      </c>
      <c r="DQ59" s="42">
        <v>21.709474270000005</v>
      </c>
      <c r="DR59" s="42">
        <v>0.20672708000000001</v>
      </c>
      <c r="DS59" s="44">
        <v>21.916201350000005</v>
      </c>
      <c r="DT59" s="42">
        <v>24.527680919999998</v>
      </c>
      <c r="DU59" s="42">
        <v>3.8611100000000002E-2</v>
      </c>
      <c r="DV59" s="44">
        <v>24.566292019999999</v>
      </c>
      <c r="DW59" s="42">
        <v>22.652324109999999</v>
      </c>
      <c r="DX59" s="42">
        <v>0.22464995999999998</v>
      </c>
      <c r="DY59" s="44">
        <v>22.876974069999999</v>
      </c>
      <c r="DZ59" s="42">
        <v>24.252103139999999</v>
      </c>
      <c r="EA59" s="42">
        <v>0.45554663000000001</v>
      </c>
      <c r="EB59" s="44">
        <v>24.70764977</v>
      </c>
      <c r="EC59" s="42">
        <v>26.176958999999997</v>
      </c>
      <c r="ED59" s="42">
        <v>0.17679241000000001</v>
      </c>
      <c r="EE59" s="44">
        <v>26.353751409999997</v>
      </c>
      <c r="EF59" s="50">
        <f t="shared" si="27"/>
        <v>273.34902504000001</v>
      </c>
      <c r="EG59" s="50">
        <f t="shared" si="28"/>
        <v>5.3124871899999997</v>
      </c>
      <c r="EH59" s="50">
        <f t="shared" si="29"/>
        <v>278.66151222999997</v>
      </c>
      <c r="EI59" s="50">
        <f t="shared" si="94"/>
        <v>273.34900040000002</v>
      </c>
      <c r="EJ59" s="50">
        <v>5.3124871899999997</v>
      </c>
      <c r="EK59" s="50">
        <v>278.66148759000004</v>
      </c>
      <c r="EL59" s="50">
        <v>22.662212820000001</v>
      </c>
      <c r="EM59" s="50">
        <v>0.15337489000000001</v>
      </c>
      <c r="EN59" s="50">
        <v>22.815587709999999</v>
      </c>
      <c r="EO59" s="50">
        <v>24.400218469999995</v>
      </c>
      <c r="EP59" s="50">
        <v>0.13985300000000001</v>
      </c>
      <c r="EQ59" s="50">
        <v>24.540071469999994</v>
      </c>
      <c r="ER59" s="50">
        <v>24.867448539999998</v>
      </c>
      <c r="ES59" s="50">
        <v>0.20134295999999999</v>
      </c>
      <c r="ET59" s="50">
        <v>25.0687915</v>
      </c>
      <c r="EU59" s="50">
        <v>24.361776620000004</v>
      </c>
      <c r="EV59" s="50">
        <v>0.20207408999999998</v>
      </c>
      <c r="EW59" s="50">
        <v>24.563850710000004</v>
      </c>
      <c r="EX59" s="50">
        <v>25.020094580000006</v>
      </c>
      <c r="EY59" s="50">
        <v>0.20234928000000002</v>
      </c>
      <c r="EZ59" s="50">
        <v>25.222443860000006</v>
      </c>
      <c r="FA59" s="50">
        <v>25.399139589999997</v>
      </c>
      <c r="FB59" s="50">
        <v>0.20144642000000001</v>
      </c>
      <c r="FC59" s="50">
        <v>25.600586009999997</v>
      </c>
      <c r="FD59" s="50">
        <v>22.244295860000001</v>
      </c>
      <c r="FE59" s="50">
        <v>0.37351480999999992</v>
      </c>
      <c r="FF59" s="50">
        <v>22.617810670000001</v>
      </c>
      <c r="FG59" s="50">
        <v>24.492569769999999</v>
      </c>
      <c r="FH59" s="50">
        <v>0.13044335000000001</v>
      </c>
      <c r="FI59" s="50">
        <v>24.62301312</v>
      </c>
      <c r="FJ59" s="50">
        <v>25.043406179999998</v>
      </c>
      <c r="FK59" s="50">
        <v>0.12331648999999999</v>
      </c>
      <c r="FL59" s="50">
        <v>25.166722669999999</v>
      </c>
      <c r="FM59" s="50">
        <v>23.912277460000006</v>
      </c>
      <c r="FN59" s="50">
        <v>0.30376742000000001</v>
      </c>
      <c r="FO59" s="50">
        <v>24.216044880000005</v>
      </c>
      <c r="FP59" s="50">
        <v>26.015999430000004</v>
      </c>
      <c r="FQ59" s="50">
        <v>0.49619473999999997</v>
      </c>
      <c r="FR59" s="50">
        <v>26.512194170000004</v>
      </c>
      <c r="FS59" s="50">
        <v>24.530219830000004</v>
      </c>
      <c r="FT59" s="50">
        <v>0.38982443</v>
      </c>
      <c r="FU59" s="50">
        <v>24.920044260000004</v>
      </c>
      <c r="FV59" s="50">
        <f t="shared" si="30"/>
        <v>292.94965915</v>
      </c>
      <c r="FW59" s="50">
        <f t="shared" si="31"/>
        <v>2.9175018799999997</v>
      </c>
      <c r="FX59" s="50">
        <f t="shared" si="32"/>
        <v>295.86716103000003</v>
      </c>
      <c r="FY59" s="50">
        <f t="shared" si="95"/>
        <v>292.949658</v>
      </c>
      <c r="FZ59" s="50">
        <v>2.9175019999999998</v>
      </c>
      <c r="GA59" s="50">
        <f>GA57-GA58</f>
        <v>295.86716000000001</v>
      </c>
      <c r="GB59" s="50">
        <v>27.140290739999994</v>
      </c>
      <c r="GC59" s="50">
        <v>6.5982349999999995E-2</v>
      </c>
      <c r="GD59" s="50">
        <v>27.206273089999993</v>
      </c>
      <c r="GE59" s="50">
        <v>25.445315579999999</v>
      </c>
      <c r="GF59" s="50">
        <v>0.22175634999999996</v>
      </c>
      <c r="GG59" s="50">
        <v>25.667071929999999</v>
      </c>
      <c r="GH59" s="50">
        <v>26.153138219999992</v>
      </c>
      <c r="GI59" s="50">
        <v>0.24679093000000002</v>
      </c>
      <c r="GJ59" s="50">
        <v>26.399929149999991</v>
      </c>
      <c r="GK59" s="50">
        <v>26.519600949999994</v>
      </c>
      <c r="GL59" s="50">
        <v>0.22729168999999999</v>
      </c>
      <c r="GM59" s="50">
        <v>26.746892639999995</v>
      </c>
      <c r="GN59" s="50">
        <v>24.731458810000003</v>
      </c>
      <c r="GO59" s="50">
        <v>0.21861989000000001</v>
      </c>
      <c r="GP59" s="50">
        <v>24.950078700000002</v>
      </c>
      <c r="GQ59" s="50">
        <v>27.573204450000006</v>
      </c>
      <c r="GR59" s="50">
        <v>0.33841037000000002</v>
      </c>
      <c r="GS59" s="50">
        <v>27.911614820000004</v>
      </c>
      <c r="GT59" s="50">
        <v>25.369551440000002</v>
      </c>
      <c r="GU59" s="50">
        <v>0.34984021999999998</v>
      </c>
      <c r="GV59" s="50">
        <v>25.719391660000003</v>
      </c>
      <c r="GW59" s="50">
        <v>25.525781730000006</v>
      </c>
      <c r="GX59" s="50">
        <v>0.16588074</v>
      </c>
      <c r="GY59" s="50">
        <v>25.691662470000004</v>
      </c>
      <c r="GZ59" s="50">
        <v>25.155582039999995</v>
      </c>
      <c r="HA59" s="50">
        <v>0.16707470000000002</v>
      </c>
      <c r="HB59" s="50">
        <v>25.322656739999996</v>
      </c>
      <c r="HC59" s="50">
        <v>27.049995859999999</v>
      </c>
      <c r="HD59" s="50">
        <v>0.33143099999999998</v>
      </c>
      <c r="HE59" s="50">
        <v>27.381426859999998</v>
      </c>
      <c r="HF59" s="50">
        <v>26.22122748</v>
      </c>
      <c r="HG59" s="50">
        <v>0.47006465999999997</v>
      </c>
      <c r="HH59" s="50">
        <v>26.691292139999998</v>
      </c>
      <c r="HI59" s="50">
        <v>25.297358150000001</v>
      </c>
      <c r="HJ59" s="50">
        <v>0.32698726999999994</v>
      </c>
      <c r="HK59" s="50">
        <v>25.624345420000001</v>
      </c>
      <c r="HL59" s="50">
        <f t="shared" si="33"/>
        <v>312.18250544999995</v>
      </c>
      <c r="HM59" s="50">
        <f t="shared" si="34"/>
        <v>3.1301301699999997</v>
      </c>
      <c r="HN59" s="50">
        <f t="shared" si="35"/>
        <v>315.31263561999998</v>
      </c>
      <c r="HO59" s="50">
        <f t="shared" si="96"/>
        <v>312.18665599999997</v>
      </c>
      <c r="HP59" s="50">
        <v>3.1301299999999999</v>
      </c>
      <c r="HQ59" s="50">
        <f>HQ57-HQ58</f>
        <v>315.31678599999998</v>
      </c>
      <c r="HR59" s="50">
        <v>27.13048204</v>
      </c>
      <c r="HS59" s="50">
        <v>5.6895089999999995E-2</v>
      </c>
      <c r="HT59" s="50">
        <v>27.187377129999998</v>
      </c>
      <c r="HU59" s="50">
        <v>26.351526799999988</v>
      </c>
      <c r="HV59" s="50">
        <v>0.17620264999999999</v>
      </c>
      <c r="HW59" s="50">
        <v>26.527729449999992</v>
      </c>
      <c r="HX59" s="50">
        <v>26.783485850000009</v>
      </c>
      <c r="HY59" s="50">
        <v>0.21184966999999999</v>
      </c>
      <c r="HZ59" s="50">
        <v>26.995335520000008</v>
      </c>
      <c r="IA59" s="50">
        <v>32.966707200000002</v>
      </c>
      <c r="IB59" s="50">
        <v>0.19506510000000002</v>
      </c>
      <c r="IC59" s="50">
        <v>33.161772300000003</v>
      </c>
      <c r="ID59" s="50">
        <v>28.664312889999994</v>
      </c>
      <c r="IE59" s="50">
        <v>0.17099064000000003</v>
      </c>
      <c r="IF59" s="50">
        <v>28.835303529999994</v>
      </c>
      <c r="IG59" s="50">
        <v>29.688821880000003</v>
      </c>
      <c r="IH59" s="50">
        <v>0.27223270999999999</v>
      </c>
      <c r="II59" s="50">
        <v>29.96105459</v>
      </c>
      <c r="IJ59" s="50">
        <v>29.436455009999992</v>
      </c>
      <c r="IK59" s="50">
        <v>0.25225425000000001</v>
      </c>
      <c r="IL59" s="50">
        <v>29.688709259999992</v>
      </c>
      <c r="IM59" s="50">
        <v>28.301956400000005</v>
      </c>
      <c r="IN59" s="50">
        <v>0.11888901999999998</v>
      </c>
      <c r="IO59" s="50">
        <v>28.420845420000006</v>
      </c>
      <c r="IP59" s="50">
        <v>28.056635580000002</v>
      </c>
      <c r="IQ59" s="50">
        <v>9.7964969999999998E-2</v>
      </c>
      <c r="IR59" s="50">
        <v>28.154600550000001</v>
      </c>
      <c r="IS59" s="50">
        <v>30.452647319999993</v>
      </c>
      <c r="IT59" s="50">
        <v>0.12441212</v>
      </c>
      <c r="IU59" s="50">
        <v>30.577059439999992</v>
      </c>
      <c r="IV59" s="50">
        <v>30.52359912</v>
      </c>
      <c r="IW59" s="50">
        <v>0.22851364999999998</v>
      </c>
      <c r="IX59" s="50">
        <v>30.75211277</v>
      </c>
      <c r="IY59" s="50">
        <v>29.861444239999994</v>
      </c>
      <c r="IZ59" s="50">
        <v>0.15704850000000001</v>
      </c>
      <c r="JA59" s="50">
        <v>30.018492739999996</v>
      </c>
      <c r="JB59" s="50">
        <f t="shared" si="36"/>
        <v>348.21807432999992</v>
      </c>
      <c r="JC59" s="50">
        <f t="shared" si="37"/>
        <v>2.0623183699999998</v>
      </c>
      <c r="JD59" s="50">
        <f t="shared" si="38"/>
        <v>350.28039269999999</v>
      </c>
      <c r="JE59" s="50">
        <f t="shared" si="97"/>
        <v>348.21838100000002</v>
      </c>
      <c r="JF59" s="50">
        <v>2.0622980000000002</v>
      </c>
      <c r="JG59" s="50">
        <f>JG57-JG58</f>
        <v>350.28067900000002</v>
      </c>
      <c r="JH59" s="50">
        <v>29.200919969999994</v>
      </c>
      <c r="JI59" s="50">
        <v>5.3534959999999999E-2</v>
      </c>
      <c r="JJ59" s="50">
        <v>29.254454929999994</v>
      </c>
      <c r="JK59" s="50">
        <v>29.52780005999999</v>
      </c>
      <c r="JL59" s="50">
        <v>7.7130379999999998E-2</v>
      </c>
      <c r="JM59" s="50">
        <v>29.604930439999993</v>
      </c>
      <c r="JN59" s="50">
        <v>28.375048849999999</v>
      </c>
      <c r="JO59" s="50">
        <v>0.15602650000000001</v>
      </c>
      <c r="JP59" s="50">
        <v>28.531075349999998</v>
      </c>
      <c r="JQ59" s="50">
        <v>30.969646939999997</v>
      </c>
      <c r="JR59" s="50">
        <v>0.12254445999999999</v>
      </c>
      <c r="JS59" s="50">
        <v>31.092191399999994</v>
      </c>
      <c r="JT59" s="50">
        <v>28.810899200000001</v>
      </c>
      <c r="JU59" s="50">
        <v>0.13187103</v>
      </c>
      <c r="JV59" s="50">
        <v>28.942770230000004</v>
      </c>
      <c r="JW59" s="50">
        <v>29.16130347</v>
      </c>
      <c r="JX59" s="50">
        <v>0.15758746000000001</v>
      </c>
      <c r="JY59" s="50">
        <v>29.318890929999998</v>
      </c>
      <c r="JZ59" s="50">
        <v>30.811836069999998</v>
      </c>
      <c r="KA59" s="50">
        <v>0.17298549999999999</v>
      </c>
      <c r="KB59" s="50">
        <v>30.984821569999998</v>
      </c>
      <c r="KC59" s="50">
        <v>27.662271700000002</v>
      </c>
      <c r="KD59" s="50">
        <v>5.8511309999999997E-2</v>
      </c>
      <c r="KE59" s="50">
        <v>27.720783010000005</v>
      </c>
      <c r="KF59" s="50">
        <v>30.506786329999997</v>
      </c>
      <c r="KG59" s="50">
        <v>9.4876719999999998E-2</v>
      </c>
      <c r="KH59" s="50">
        <v>30.601663049999996</v>
      </c>
      <c r="KI59" s="50">
        <v>31.119956930000001</v>
      </c>
      <c r="KJ59" s="50">
        <v>0.10049128</v>
      </c>
      <c r="KK59" s="50">
        <v>31.220448210000001</v>
      </c>
      <c r="KL59" s="50">
        <v>29.150904120000003</v>
      </c>
      <c r="KM59" s="50">
        <v>0.10184140000000001</v>
      </c>
      <c r="KN59" s="50">
        <v>29.252745520000008</v>
      </c>
      <c r="KO59" s="50">
        <v>34.507737760000012</v>
      </c>
      <c r="KP59" s="50">
        <v>8.5731209999999988E-2</v>
      </c>
      <c r="KQ59" s="50">
        <v>34.593468970000011</v>
      </c>
      <c r="KR59" s="50">
        <f t="shared" si="48"/>
        <v>359.80511139999999</v>
      </c>
      <c r="KS59" s="50">
        <f t="shared" si="39"/>
        <v>1.31313221</v>
      </c>
      <c r="KT59" s="50">
        <f t="shared" si="49"/>
        <v>361.11824360999998</v>
      </c>
      <c r="KU59" s="50">
        <f t="shared" si="98"/>
        <v>359.17382199999997</v>
      </c>
      <c r="KV59" s="50">
        <f>KV57</f>
        <v>1.313134</v>
      </c>
      <c r="KW59" s="50">
        <f>KW57-KW58</f>
        <v>360.48695599999996</v>
      </c>
      <c r="KX59" s="50">
        <v>28.201171010000003</v>
      </c>
      <c r="KY59" s="50">
        <v>6.0954170000000009E-2</v>
      </c>
      <c r="KZ59" s="50">
        <v>28.262125180000002</v>
      </c>
      <c r="LA59" s="50">
        <v>29.650453939999998</v>
      </c>
      <c r="LB59" s="50">
        <v>7.2002010000000005E-2</v>
      </c>
      <c r="LC59" s="50">
        <v>29.722455949999997</v>
      </c>
      <c r="LD59" s="50">
        <v>31.87279775</v>
      </c>
      <c r="LE59" s="50">
        <v>8.9113390000000001E-2</v>
      </c>
      <c r="LF59" s="87">
        <v>31.961911140000002</v>
      </c>
      <c r="LG59" s="50">
        <v>39.225058639999986</v>
      </c>
      <c r="LH59" s="50">
        <v>2.5694580000000002E-2</v>
      </c>
      <c r="LI59" s="175">
        <v>39.250753219999986</v>
      </c>
      <c r="LJ59" s="174">
        <v>52.949717120000003</v>
      </c>
      <c r="LK59" s="50">
        <v>2.1943250000000001E-2</v>
      </c>
      <c r="LL59" s="174">
        <v>52.971660370000002</v>
      </c>
      <c r="LM59" s="50">
        <v>55.653528919999985</v>
      </c>
      <c r="LN59" s="50">
        <v>3.0093560000000002E-2</v>
      </c>
      <c r="LO59" s="50">
        <v>55.68362247999999</v>
      </c>
      <c r="LP59" s="44">
        <v>56.362951750000008</v>
      </c>
      <c r="LQ59" s="44">
        <v>6.8709350000000002E-2</v>
      </c>
      <c r="LR59" s="44">
        <v>56.431661100000007</v>
      </c>
      <c r="LS59" s="52">
        <v>29.49355323</v>
      </c>
      <c r="LT59" s="44">
        <v>7.0965169999999994E-2</v>
      </c>
      <c r="LU59" s="49">
        <v>29.564518400000001</v>
      </c>
      <c r="LV59" s="44">
        <v>33.105249409999999</v>
      </c>
      <c r="LW59" s="44">
        <v>6.7219559999999998E-2</v>
      </c>
      <c r="LX59" s="44">
        <v>33.172468969999997</v>
      </c>
      <c r="LY59" s="44">
        <v>33.82883514000001</v>
      </c>
      <c r="LZ59" s="44">
        <v>0.13917100999999998</v>
      </c>
      <c r="MA59" s="44">
        <v>33.968006150000008</v>
      </c>
      <c r="MB59" s="44">
        <v>31.701085329999991</v>
      </c>
      <c r="MC59" s="44">
        <v>0.10663010000000001</v>
      </c>
      <c r="MD59" s="44">
        <v>31.807715429999988</v>
      </c>
      <c r="ME59" s="44">
        <v>42.945628059999983</v>
      </c>
      <c r="MF59" s="44">
        <v>4.8689410000000002E-2</v>
      </c>
      <c r="MG59" s="44">
        <v>42.994317469999977</v>
      </c>
      <c r="MH59" s="50">
        <f t="shared" si="66"/>
        <v>464.99003029999994</v>
      </c>
      <c r="MI59" s="50">
        <f t="shared" si="50"/>
        <v>0.80118556000000007</v>
      </c>
      <c r="MJ59" s="50">
        <f t="shared" si="51"/>
        <v>465.79121585999997</v>
      </c>
      <c r="MK59" s="50">
        <f t="shared" si="99"/>
        <v>464.01365099999998</v>
      </c>
      <c r="ML59" s="50">
        <f>ML57</f>
        <v>0.80118699999999998</v>
      </c>
      <c r="MM59" s="73">
        <f>MM57-MM58</f>
        <v>464.81483800000001</v>
      </c>
      <c r="MN59" s="44">
        <v>65.757856369999985</v>
      </c>
      <c r="MO59" s="44">
        <v>1.8136199999999998E-2</v>
      </c>
      <c r="MP59" s="44">
        <v>65.77599257</v>
      </c>
      <c r="MQ59" s="44">
        <v>95.853303670000003</v>
      </c>
      <c r="MR59" s="44">
        <v>7.3494900000000002E-3</v>
      </c>
      <c r="MS59" s="44">
        <v>95.860653159999998</v>
      </c>
      <c r="MT59" s="50">
        <v>366.30167783000013</v>
      </c>
      <c r="MU59" s="50">
        <v>8.7419999999999998E-3</v>
      </c>
      <c r="MV59" s="50">
        <v>366.31041983000006</v>
      </c>
      <c r="MW59" s="44">
        <v>260.16232644000002</v>
      </c>
      <c r="MX59" s="44">
        <v>1.3825260000000001E-2</v>
      </c>
      <c r="MY59" s="44">
        <v>260.17615169999999</v>
      </c>
      <c r="MZ59" s="44">
        <v>121.53546758000002</v>
      </c>
      <c r="NA59" s="44">
        <v>2.0660300000000003E-2</v>
      </c>
      <c r="NB59" s="44">
        <v>121.55612788000001</v>
      </c>
      <c r="NC59" s="44">
        <v>165.78141344000005</v>
      </c>
      <c r="ND59" s="44">
        <v>6.5242179999999997E-2</v>
      </c>
      <c r="NE59" s="44">
        <v>165.84665562000004</v>
      </c>
      <c r="NF59" s="44">
        <v>106.57598138999998</v>
      </c>
      <c r="NG59" s="44">
        <v>3.281361E-2</v>
      </c>
      <c r="NH59" s="44">
        <v>106.60879499999999</v>
      </c>
      <c r="NI59" s="44">
        <v>47.498381810000005</v>
      </c>
      <c r="NJ59" s="44">
        <v>4.4021989999999997E-2</v>
      </c>
      <c r="NK59" s="44">
        <v>47.542403800000002</v>
      </c>
      <c r="NL59" s="44">
        <v>31.687840030000004</v>
      </c>
      <c r="NM59" s="44">
        <v>0.10671047</v>
      </c>
      <c r="NN59" s="44">
        <v>31.794550500000003</v>
      </c>
      <c r="NO59" s="44">
        <v>31.280977240000002</v>
      </c>
      <c r="NP59" s="44">
        <v>0.25942418</v>
      </c>
      <c r="NQ59" s="44">
        <v>31.540401419999998</v>
      </c>
      <c r="NR59" s="44">
        <v>38.425815960000001</v>
      </c>
      <c r="NS59" s="44">
        <v>0.24580202000000001</v>
      </c>
      <c r="NT59" s="44">
        <v>38.671617980000008</v>
      </c>
      <c r="NU59" s="44">
        <v>-446.77831905999676</v>
      </c>
      <c r="NV59" s="44">
        <v>0.24719757000000001</v>
      </c>
      <c r="NW59" s="44">
        <v>-446.53112148999674</v>
      </c>
      <c r="NX59" s="50">
        <f t="shared" si="117"/>
        <v>884.08272270000327</v>
      </c>
      <c r="NY59" s="50">
        <f t="shared" si="40"/>
        <v>1.0699252699999999</v>
      </c>
      <c r="NZ59" s="50">
        <f t="shared" si="41"/>
        <v>885.15264797000361</v>
      </c>
      <c r="OA59" s="50">
        <f t="shared" si="100"/>
        <v>882.37084099999993</v>
      </c>
      <c r="OB59" s="50">
        <f>OB57</f>
        <v>1.069925</v>
      </c>
      <c r="OC59" s="50">
        <f>OC57-OC58</f>
        <v>883.44076599999994</v>
      </c>
      <c r="OD59" s="44">
        <v>100.67891761</v>
      </c>
      <c r="OE59" s="44">
        <v>0.14310369000000001</v>
      </c>
      <c r="OF59" s="44">
        <v>100.8220213</v>
      </c>
      <c r="OG59" s="50">
        <v>90.181452280000002</v>
      </c>
      <c r="OH59" s="44">
        <v>8.7369790000000003E-2</v>
      </c>
      <c r="OI59" s="44">
        <v>90.268822069999999</v>
      </c>
      <c r="OJ59" s="44">
        <f t="shared" si="107"/>
        <v>91.621685900000045</v>
      </c>
      <c r="OK59" s="44">
        <v>9.2615589999999998E-2</v>
      </c>
      <c r="OL59" s="44">
        <v>91.71430149000004</v>
      </c>
      <c r="OM59" s="44">
        <v>75.277566679999993</v>
      </c>
      <c r="ON59" s="44">
        <v>4.8797640000000003E-2</v>
      </c>
      <c r="OO59" s="44">
        <v>75.32636432000001</v>
      </c>
      <c r="OP59" s="44">
        <v>49.834855200000028</v>
      </c>
      <c r="OQ59" s="44">
        <v>0.20220819000000001</v>
      </c>
      <c r="OR59" s="44">
        <v>50.037063390000029</v>
      </c>
      <c r="OS59" s="44">
        <v>-11.255648149999992</v>
      </c>
      <c r="OT59" s="44">
        <v>0.34953941999999999</v>
      </c>
      <c r="OU59" s="44">
        <v>-10.906108729999993</v>
      </c>
      <c r="OV59" s="44">
        <v>38.980499600000009</v>
      </c>
      <c r="OW59" s="44">
        <v>0.26646227</v>
      </c>
      <c r="OX59" s="44">
        <v>39.246961870000007</v>
      </c>
      <c r="OY59" s="95">
        <v>40.410817299999991</v>
      </c>
      <c r="OZ59" s="95">
        <v>0.19187198999999996</v>
      </c>
      <c r="PA59" s="95">
        <v>40.602689289999986</v>
      </c>
      <c r="PB59" s="44">
        <v>39.866950189999997</v>
      </c>
      <c r="PC59" s="44">
        <v>5.7575950000000001E-2</v>
      </c>
      <c r="PD59" s="44">
        <v>39.924526140000005</v>
      </c>
      <c r="PE59" s="44">
        <v>39.073225630000003</v>
      </c>
      <c r="PF59" s="44">
        <v>5.0912480000000003E-2</v>
      </c>
      <c r="PG59" s="44">
        <v>39.124138110000004</v>
      </c>
      <c r="PH59" s="44">
        <v>53.452724099999983</v>
      </c>
      <c r="PI59" s="44">
        <v>9.2272199999999943E-3</v>
      </c>
      <c r="PJ59" s="44">
        <v>53.461951319999976</v>
      </c>
      <c r="PK59" s="44">
        <v>47.983474579999978</v>
      </c>
      <c r="PL59" s="44">
        <v>0.44615157000000005</v>
      </c>
      <c r="PM59" s="44">
        <v>48.429626149999976</v>
      </c>
      <c r="PN59" s="50">
        <f t="shared" si="122"/>
        <v>656.10652092000009</v>
      </c>
      <c r="PO59" s="50">
        <f t="shared" si="108"/>
        <v>1.9458358</v>
      </c>
      <c r="PP59" s="50">
        <f t="shared" si="116"/>
        <v>658.05235672000015</v>
      </c>
      <c r="PQ59" s="50">
        <f t="shared" si="118"/>
        <v>654.90500899999995</v>
      </c>
      <c r="PR59" s="50">
        <f>PR57</f>
        <v>1.945835</v>
      </c>
      <c r="PS59" s="50">
        <f>PS57-PS58</f>
        <v>656.85084399999994</v>
      </c>
      <c r="PT59" s="44">
        <v>41.496438510000004</v>
      </c>
      <c r="PU59" s="44">
        <v>0.28016639999999998</v>
      </c>
      <c r="PV59" s="44">
        <v>41.776604910000003</v>
      </c>
      <c r="PW59" s="44">
        <v>40.459421209999995</v>
      </c>
      <c r="PX59" s="44">
        <v>0.15990608000000001</v>
      </c>
      <c r="PY59" s="44">
        <v>40.619327289999994</v>
      </c>
      <c r="PZ59" s="44">
        <v>40.837559339999999</v>
      </c>
      <c r="QA59" s="44">
        <v>0.22804394</v>
      </c>
      <c r="QB59" s="44">
        <v>41.065603279999991</v>
      </c>
      <c r="QC59" s="44">
        <v>40.480585850000004</v>
      </c>
      <c r="QD59" s="44">
        <v>0.2305885</v>
      </c>
      <c r="QE59" s="44">
        <v>40.711174350000007</v>
      </c>
      <c r="QF59" s="50">
        <v>39.447308110000009</v>
      </c>
      <c r="QG59" s="44">
        <v>0.19973156</v>
      </c>
      <c r="QH59" s="44">
        <v>39.647039670000005</v>
      </c>
      <c r="QI59" s="50">
        <v>41.049236639999997</v>
      </c>
      <c r="QJ59" s="44">
        <v>0.20277443000000003</v>
      </c>
      <c r="QK59" s="44">
        <v>41.252011069999995</v>
      </c>
      <c r="QL59" s="44">
        <v>37.617923410000003</v>
      </c>
      <c r="QM59" s="44">
        <v>0.11263948</v>
      </c>
      <c r="QN59" s="44">
        <v>37.730562890000002</v>
      </c>
      <c r="QO59" s="50">
        <v>40.403431269999992</v>
      </c>
      <c r="QP59" s="44">
        <v>0.15227332000000002</v>
      </c>
      <c r="QQ59" s="44">
        <v>40.555704589999991</v>
      </c>
      <c r="QR59" s="44">
        <v>38.576201570000016</v>
      </c>
      <c r="QS59" s="44">
        <v>0.1357476</v>
      </c>
      <c r="QT59" s="44">
        <v>38.711949170000018</v>
      </c>
      <c r="QU59" s="50">
        <v>87.785407130000024</v>
      </c>
      <c r="QV59" s="44">
        <v>0.12891550999999998</v>
      </c>
      <c r="QW59" s="44">
        <v>87.914322640000023</v>
      </c>
      <c r="QX59" s="50">
        <v>40.132021020000018</v>
      </c>
      <c r="QY59" s="44">
        <v>0.11914812999999999</v>
      </c>
      <c r="QZ59" s="44">
        <v>40.251169150000017</v>
      </c>
      <c r="RA59" s="50">
        <v>39.312660699999988</v>
      </c>
      <c r="RB59" s="44">
        <v>0.10860499000000001</v>
      </c>
      <c r="RC59" s="44">
        <v>39.421265689999991</v>
      </c>
      <c r="RD59" s="50">
        <f t="shared" si="52"/>
        <v>527.59819476000007</v>
      </c>
      <c r="RE59" s="50">
        <f t="shared" si="53"/>
        <v>2.0585399399999997</v>
      </c>
      <c r="RF59" s="50">
        <f t="shared" si="54"/>
        <v>529.65673470000002</v>
      </c>
      <c r="RG59" s="50">
        <f t="shared" si="119"/>
        <v>526.37957700000004</v>
      </c>
      <c r="RH59" s="50">
        <f>RH57</f>
        <v>2.0585399999999998</v>
      </c>
      <c r="RI59" s="50">
        <f>RI57-RI58</f>
        <v>528.43811700000003</v>
      </c>
      <c r="RJ59" s="50">
        <v>41.968964019999994</v>
      </c>
      <c r="RK59" s="50">
        <v>4.3350760000000002E-2</v>
      </c>
      <c r="RL59" s="50">
        <v>42.012314779999997</v>
      </c>
      <c r="RM59" s="50">
        <v>40.926150549999988</v>
      </c>
      <c r="RN59" s="50">
        <v>2.1272970000000002E-2</v>
      </c>
      <c r="RO59" s="50">
        <v>40.947423519999987</v>
      </c>
      <c r="RP59" s="50">
        <v>41.393114799999999</v>
      </c>
      <c r="RQ59" s="50">
        <v>3.0062220000000001E-2</v>
      </c>
      <c r="RR59" s="50">
        <v>41.423177019999997</v>
      </c>
      <c r="RS59" s="50">
        <v>62.577530559999992</v>
      </c>
      <c r="RT59" s="50">
        <v>0.16956001999999998</v>
      </c>
      <c r="RU59" s="50">
        <v>62.747090579999991</v>
      </c>
      <c r="RV59" s="50">
        <v>41.479233700000037</v>
      </c>
      <c r="RW59" s="50">
        <v>0.18348242000000001</v>
      </c>
      <c r="RX59" s="50">
        <v>41.662716120000034</v>
      </c>
      <c r="RY59" s="50">
        <v>42.340296790000018</v>
      </c>
      <c r="RZ59" s="50">
        <v>0.14228048000000001</v>
      </c>
      <c r="SA59" s="50">
        <v>42.482577270000014</v>
      </c>
      <c r="SB59" s="50">
        <v>62.169574560000029</v>
      </c>
      <c r="SC59" s="50">
        <v>0.13565722</v>
      </c>
      <c r="SD59" s="50">
        <v>62.305231780000028</v>
      </c>
      <c r="SE59" s="50">
        <v>39.94508437999999</v>
      </c>
      <c r="SF59" s="50">
        <v>0.10969514</v>
      </c>
      <c r="SG59" s="50">
        <v>40.05477951999999</v>
      </c>
      <c r="SH59" s="50">
        <v>41.584116069999986</v>
      </c>
      <c r="SI59" s="50">
        <v>0.11436101000000001</v>
      </c>
      <c r="SJ59" s="50">
        <v>41.698477079999989</v>
      </c>
      <c r="SK59" s="50">
        <v>61.364959399999975</v>
      </c>
      <c r="SL59" s="50">
        <v>0.10457293000000001</v>
      </c>
      <c r="SM59" s="50">
        <v>61.469532329999964</v>
      </c>
      <c r="SN59" s="50">
        <v>40.85272505999999</v>
      </c>
      <c r="SO59" s="50">
        <v>0.12659677</v>
      </c>
      <c r="SP59" s="50">
        <v>40.979321829999989</v>
      </c>
      <c r="SQ59" s="50">
        <v>41.982917829999991</v>
      </c>
      <c r="SR59" s="50">
        <v>0.1404347</v>
      </c>
      <c r="SS59" s="50">
        <v>42.123352529999991</v>
      </c>
      <c r="ST59" s="50">
        <f t="shared" si="55"/>
        <v>558.58466771999997</v>
      </c>
      <c r="SU59" s="50">
        <f t="shared" si="65"/>
        <v>1.3213266399999999</v>
      </c>
      <c r="SV59" s="50">
        <f t="shared" si="56"/>
        <v>559.90599436000002</v>
      </c>
      <c r="SW59" s="50">
        <f t="shared" si="103"/>
        <v>557.34714000000008</v>
      </c>
      <c r="SX59" s="50">
        <f>SX57</f>
        <v>1.321326</v>
      </c>
      <c r="SY59" s="50">
        <f>SY57-SY58</f>
        <v>558.66846600000008</v>
      </c>
      <c r="SZ59" s="50">
        <v>59.716138370000024</v>
      </c>
      <c r="TA59" s="50">
        <v>0.12110662999999999</v>
      </c>
      <c r="TB59" s="50">
        <v>59.83724500000001</v>
      </c>
      <c r="TC59" s="50">
        <v>44.298659060000013</v>
      </c>
      <c r="TD59" s="50">
        <v>7.9632399999999992E-2</v>
      </c>
      <c r="TE59" s="50">
        <v>44.378291460000014</v>
      </c>
      <c r="TF59" s="50">
        <v>43.258252910000003</v>
      </c>
      <c r="TG59" s="50">
        <v>0.22459625999999996</v>
      </c>
      <c r="TH59" s="50">
        <v>43.482849170000001</v>
      </c>
      <c r="TI59" s="50">
        <v>46.33567919</v>
      </c>
      <c r="TJ59" s="50">
        <v>0.22080604000000001</v>
      </c>
      <c r="TK59" s="50">
        <v>46.55648523</v>
      </c>
      <c r="TL59" s="50">
        <v>39.960120360000012</v>
      </c>
      <c r="TM59" s="50">
        <v>0.15152351000000003</v>
      </c>
      <c r="TN59" s="50">
        <v>40.111643870000009</v>
      </c>
      <c r="TO59" s="50">
        <v>43.560075499999996</v>
      </c>
      <c r="TP59" s="50">
        <v>0.15412543000000001</v>
      </c>
      <c r="TQ59" s="50">
        <v>43.714200929999997</v>
      </c>
      <c r="TR59" s="50">
        <v>43.362935739999983</v>
      </c>
      <c r="TS59" s="50">
        <v>9.1605729999999996E-2</v>
      </c>
      <c r="TT59" s="50">
        <v>43.454541469999981</v>
      </c>
      <c r="TU59" s="50">
        <v>41.49410228</v>
      </c>
      <c r="TV59" s="50">
        <v>9.3772540000000001E-2</v>
      </c>
      <c r="TW59" s="50">
        <v>41.587874820000003</v>
      </c>
      <c r="TX59" s="50">
        <v>47.322122580000013</v>
      </c>
      <c r="TY59" s="50">
        <v>0.12323124000000001</v>
      </c>
      <c r="TZ59" s="50">
        <v>47.445353820000015</v>
      </c>
      <c r="UA59" s="50">
        <v>43.410625639999992</v>
      </c>
      <c r="UB59" s="50">
        <v>0.18837967999999999</v>
      </c>
      <c r="UC59" s="50">
        <v>43.599005319999989</v>
      </c>
      <c r="UD59" s="50">
        <v>42.719826940000026</v>
      </c>
      <c r="UE59" s="50">
        <v>0.12494587</v>
      </c>
      <c r="UF59" s="50">
        <v>42.844772810000023</v>
      </c>
      <c r="UG59" s="50">
        <v>45.718453000000025</v>
      </c>
      <c r="UH59" s="50">
        <v>0.13160382000000001</v>
      </c>
      <c r="UI59" s="50">
        <v>45.850056820000027</v>
      </c>
      <c r="UJ59" s="50">
        <f t="shared" si="45"/>
        <v>541.15699157000017</v>
      </c>
      <c r="UK59" s="50">
        <f t="shared" si="15"/>
        <v>1.7053291499999998</v>
      </c>
      <c r="UL59" s="50">
        <f t="shared" si="16"/>
        <v>542.86232072000018</v>
      </c>
      <c r="UM59" s="50">
        <v>42.065216719999981</v>
      </c>
      <c r="UN59" s="50">
        <v>0.11083821999999999</v>
      </c>
      <c r="UO59" s="50">
        <v>42.176054939999979</v>
      </c>
      <c r="UP59" s="50">
        <v>48.946247219999982</v>
      </c>
      <c r="UQ59" s="50">
        <v>9.7080750000000007E-2</v>
      </c>
      <c r="UR59" s="50">
        <v>49.043327969999986</v>
      </c>
      <c r="US59" s="50">
        <v>49.059599200000008</v>
      </c>
      <c r="UT59" s="50">
        <v>0.15258145999999997</v>
      </c>
      <c r="UU59" s="50">
        <v>49.212180660000008</v>
      </c>
      <c r="UV59" s="50">
        <v>50.75825262</v>
      </c>
      <c r="UW59" s="50">
        <v>0.12389592999999999</v>
      </c>
      <c r="UX59" s="50">
        <v>50.882148550000004</v>
      </c>
      <c r="UY59" s="50"/>
      <c r="UZ59" s="50"/>
      <c r="VA59" s="50"/>
      <c r="VB59" s="50"/>
      <c r="VC59" s="50"/>
      <c r="VD59" s="50"/>
      <c r="VE59" s="50"/>
      <c r="VF59" s="50"/>
      <c r="VG59" s="50"/>
      <c r="VH59" s="50"/>
      <c r="VI59" s="50"/>
      <c r="VJ59" s="50"/>
      <c r="VK59" s="50"/>
      <c r="VL59" s="50"/>
      <c r="VM59" s="50"/>
      <c r="VN59" s="50"/>
      <c r="VO59" s="50"/>
      <c r="VP59" s="50"/>
      <c r="VQ59" s="50"/>
      <c r="VR59" s="50"/>
      <c r="VS59" s="50"/>
      <c r="VT59" s="50"/>
      <c r="VU59" s="50"/>
      <c r="VV59" s="50"/>
      <c r="VW59" s="276">
        <f t="shared" si="57"/>
        <v>193.60873000000001</v>
      </c>
      <c r="VX59" s="292">
        <f t="shared" si="58"/>
        <v>0.64614099999999997</v>
      </c>
      <c r="VY59" s="292">
        <f t="shared" si="59"/>
        <v>194.25487100000001</v>
      </c>
      <c r="VZ59" s="276">
        <f t="shared" si="60"/>
        <v>190.82931600000001</v>
      </c>
      <c r="WA59" s="292">
        <f t="shared" si="61"/>
        <v>0.48439599999999999</v>
      </c>
      <c r="WB59" s="292">
        <f t="shared" si="62"/>
        <v>191.31371200000001</v>
      </c>
      <c r="WC59" s="277">
        <f t="shared" si="112"/>
        <v>-2.941158999999999</v>
      </c>
      <c r="WD59" s="277">
        <f t="shared" si="104"/>
        <v>-1.5140722005370009</v>
      </c>
    </row>
    <row r="60" spans="1:602" s="12" customFormat="1" ht="20.5">
      <c r="A60" s="314" t="s">
        <v>156</v>
      </c>
      <c r="B60" s="13">
        <v>7700</v>
      </c>
      <c r="C60" s="46" t="s">
        <v>157</v>
      </c>
      <c r="D60" s="45">
        <v>16.247396144586542</v>
      </c>
      <c r="E60" s="42">
        <v>16.986545324158655</v>
      </c>
      <c r="F60" s="42">
        <v>18.613657577361543</v>
      </c>
      <c r="G60" s="42">
        <v>18.889966477140142</v>
      </c>
      <c r="H60" s="42">
        <v>2.8534998804787679</v>
      </c>
      <c r="I60" s="42">
        <v>2.401119102907781</v>
      </c>
      <c r="J60" s="42">
        <v>2.2324545250169323</v>
      </c>
      <c r="K60" s="42">
        <v>1.4970341659979169</v>
      </c>
      <c r="L60" s="42">
        <v>0.98836088013158729</v>
      </c>
      <c r="M60" s="42">
        <v>0.11642965890917019</v>
      </c>
      <c r="N60" s="42">
        <v>2.8601484482160027</v>
      </c>
      <c r="O60" s="42">
        <v>0.97828697616974303</v>
      </c>
      <c r="P60" s="42">
        <v>2.8118607748390732</v>
      </c>
      <c r="Q60" s="42">
        <v>0.4346179162326908</v>
      </c>
      <c r="R60" s="42">
        <v>0.8852155081644385</v>
      </c>
      <c r="S60" s="42">
        <v>5.6049234068104337</v>
      </c>
      <c r="T60" s="42">
        <v>14.916362115184315</v>
      </c>
      <c r="U60" s="42">
        <v>8.7475891286902208</v>
      </c>
      <c r="V60" s="42">
        <v>23.663951243874536</v>
      </c>
      <c r="W60" s="42">
        <v>23.668045429451173</v>
      </c>
      <c r="X60" s="42">
        <v>3.8968702511653319</v>
      </c>
      <c r="Y60" s="42">
        <v>2.979580366645608</v>
      </c>
      <c r="Z60" s="42">
        <v>2.2208709682927248</v>
      </c>
      <c r="AA60" s="42">
        <v>1.7591463338284927</v>
      </c>
      <c r="AB60" s="42">
        <v>0.48799373651828964</v>
      </c>
      <c r="AC60" s="42">
        <v>1.6505839465910837</v>
      </c>
      <c r="AD60" s="42">
        <v>0.99389018844514254</v>
      </c>
      <c r="AE60" s="42">
        <v>3.564000774042265</v>
      </c>
      <c r="AF60" s="42">
        <v>4.415319207061998</v>
      </c>
      <c r="AG60" s="42">
        <v>1.0525073989334153</v>
      </c>
      <c r="AH60" s="42">
        <v>7.9607714241808525</v>
      </c>
      <c r="AI60" s="42">
        <v>4.2926833085753637</v>
      </c>
      <c r="AJ60" s="42">
        <v>17.164510475182301</v>
      </c>
      <c r="AK60" s="42">
        <v>18.109707357954701</v>
      </c>
      <c r="AL60" s="42">
        <v>35.274217904280569</v>
      </c>
      <c r="AM60" s="42">
        <v>35.274224392576023</v>
      </c>
      <c r="AN60" s="42">
        <v>3.8940913825191661</v>
      </c>
      <c r="AO60" s="42">
        <v>1.4458355387846398</v>
      </c>
      <c r="AP60" s="42">
        <v>0.83095429166595525</v>
      </c>
      <c r="AQ60" s="42">
        <v>1.060277275029738</v>
      </c>
      <c r="AR60" s="42">
        <v>3.4405468950091351</v>
      </c>
      <c r="AS60" s="42">
        <v>2.3456526001559466</v>
      </c>
      <c r="AT60" s="42">
        <v>4.0084177096317042</v>
      </c>
      <c r="AU60" s="42">
        <v>0.92031996118405712</v>
      </c>
      <c r="AV60" s="42">
        <v>6.9070807792784334</v>
      </c>
      <c r="AW60" s="42">
        <v>1.2271501015930473</v>
      </c>
      <c r="AX60" s="42">
        <v>6.9956687782084339</v>
      </c>
      <c r="AY60" s="42">
        <v>6.8076448056641681</v>
      </c>
      <c r="AZ60" s="42">
        <v>19.84106553178411</v>
      </c>
      <c r="BA60" s="42">
        <v>20.042574586940312</v>
      </c>
      <c r="BB60" s="42">
        <v>39.883640118724422</v>
      </c>
      <c r="BC60" s="42">
        <f t="shared" si="21"/>
        <v>19.841072333111367</v>
      </c>
      <c r="BD60" s="42">
        <v>20.042575170317757</v>
      </c>
      <c r="BE60" s="42">
        <v>39.883647503429124</v>
      </c>
      <c r="BF60" s="44">
        <v>3.6817927400000001</v>
      </c>
      <c r="BG60" s="44">
        <v>0.31081271999999999</v>
      </c>
      <c r="BH60" s="44">
        <f>BF60+BG60</f>
        <v>3.9926054600000001</v>
      </c>
      <c r="BI60" s="42">
        <v>0.71151867000000002</v>
      </c>
      <c r="BJ60" s="42">
        <v>0.13445791000000001</v>
      </c>
      <c r="BK60" s="44">
        <f>BI60+BJ60</f>
        <v>0.84597658000000009</v>
      </c>
      <c r="BL60" s="44">
        <v>0.35472316999999998</v>
      </c>
      <c r="BM60" s="44">
        <v>0.86207444</v>
      </c>
      <c r="BN60" s="44">
        <f>BL60+BM60</f>
        <v>1.21679761</v>
      </c>
      <c r="BO60" s="44">
        <v>0.48323254999999998</v>
      </c>
      <c r="BP60" s="44">
        <v>0.99449256999999991</v>
      </c>
      <c r="BQ60" s="44">
        <f>BO60+BP60</f>
        <v>1.4777251199999999</v>
      </c>
      <c r="BR60" s="44">
        <v>0.32262997999999998</v>
      </c>
      <c r="BS60" s="44">
        <v>2.4961842000000001</v>
      </c>
      <c r="BT60" s="44">
        <f>BR60+BS60</f>
        <v>2.8188141799999999</v>
      </c>
      <c r="BU60" s="44">
        <v>3.4070045699999998</v>
      </c>
      <c r="BV60" s="44">
        <v>3.7313840099999998</v>
      </c>
      <c r="BW60" s="44">
        <f>BU60+BV60</f>
        <v>7.1383885799999991</v>
      </c>
      <c r="BX60" s="44">
        <v>1.2758887000000001</v>
      </c>
      <c r="BY60" s="44">
        <v>0.25564272999999998</v>
      </c>
      <c r="BZ60" s="44">
        <f>BX60+BY60</f>
        <v>1.53153143</v>
      </c>
      <c r="CA60" s="44">
        <v>0.52239203999999995</v>
      </c>
      <c r="CB60" s="44">
        <v>0.57425666000000009</v>
      </c>
      <c r="CC60" s="44">
        <f>CA60+CB60</f>
        <v>1.0966487</v>
      </c>
      <c r="CD60" s="44">
        <v>0.23928480999999999</v>
      </c>
      <c r="CE60" s="44">
        <v>0.82507125000000003</v>
      </c>
      <c r="CF60" s="44">
        <f>CD60+CE60</f>
        <v>1.0643560599999999</v>
      </c>
      <c r="CG60" s="44">
        <v>0.93601556000000008</v>
      </c>
      <c r="CH60" s="44">
        <v>1.43341304</v>
      </c>
      <c r="CI60" s="44">
        <f>CG60+CH60</f>
        <v>2.3694286</v>
      </c>
      <c r="CJ60" s="42">
        <v>4.5969138499999991</v>
      </c>
      <c r="CK60" s="42">
        <v>0.24275539000000002</v>
      </c>
      <c r="CL60" s="44">
        <f>CJ60+CK60</f>
        <v>4.8396692399999992</v>
      </c>
      <c r="CM60" s="42">
        <v>4.3921715800000003</v>
      </c>
      <c r="CN60" s="42">
        <v>1.9948264000000002</v>
      </c>
      <c r="CO60" s="44">
        <f>CM60+CN60</f>
        <v>6.3869979800000003</v>
      </c>
      <c r="CP60" s="50">
        <f t="shared" si="24"/>
        <v>20.923568219999996</v>
      </c>
      <c r="CQ60" s="50">
        <f t="shared" si="25"/>
        <v>13.85537132</v>
      </c>
      <c r="CR60" s="50">
        <f t="shared" si="26"/>
        <v>34.778939539999996</v>
      </c>
      <c r="CS60" s="42">
        <f t="shared" si="123"/>
        <v>20.923569000000001</v>
      </c>
      <c r="CT60" s="42">
        <v>13.855371</v>
      </c>
      <c r="CU60" s="42">
        <v>34.778939999999999</v>
      </c>
      <c r="CV60" s="42">
        <v>3.7522279299999997</v>
      </c>
      <c r="CW60" s="42">
        <v>6.0670449999999994E-2</v>
      </c>
      <c r="CX60" s="44">
        <f>CV60+CW60</f>
        <v>3.8128983799999996</v>
      </c>
      <c r="CY60" s="42">
        <v>0.91465922000000011</v>
      </c>
      <c r="CZ60" s="42">
        <v>0.13585632</v>
      </c>
      <c r="DA60" s="44">
        <v>1.0505155400000001</v>
      </c>
      <c r="DB60" s="42">
        <v>2.4628538</v>
      </c>
      <c r="DC60" s="42">
        <v>0.46683817000000005</v>
      </c>
      <c r="DD60" s="44">
        <v>2.9296919699999999</v>
      </c>
      <c r="DE60" s="42">
        <v>0.46171744999999997</v>
      </c>
      <c r="DF60" s="42">
        <v>0.6637164499999999</v>
      </c>
      <c r="DG60" s="44">
        <v>1.1254339</v>
      </c>
      <c r="DH60" s="42">
        <v>0.61629363000000004</v>
      </c>
      <c r="DI60" s="42">
        <v>0.60613673999999995</v>
      </c>
      <c r="DJ60" s="44">
        <v>1.2224303700000001</v>
      </c>
      <c r="DK60" s="42">
        <v>0.19792991000000004</v>
      </c>
      <c r="DL60" s="42">
        <v>3.6900009100000002</v>
      </c>
      <c r="DM60" s="44">
        <v>3.8879308200000002</v>
      </c>
      <c r="DN60" s="42">
        <v>1.44831263</v>
      </c>
      <c r="DO60" s="42">
        <v>0.68132663000000004</v>
      </c>
      <c r="DP60" s="44">
        <v>2.1296392600000003</v>
      </c>
      <c r="DQ60" s="42">
        <v>0.99259894000000004</v>
      </c>
      <c r="DR60" s="42">
        <v>0.24105811999999999</v>
      </c>
      <c r="DS60" s="44">
        <v>1.2336570600000001</v>
      </c>
      <c r="DT60" s="42">
        <v>1.3931407600000001</v>
      </c>
      <c r="DU60" s="42">
        <v>2.3283739900000002</v>
      </c>
      <c r="DV60" s="44">
        <v>3.7215147500000003</v>
      </c>
      <c r="DW60" s="42">
        <v>0.67346846000000005</v>
      </c>
      <c r="DX60" s="42">
        <v>1.1725031699999999</v>
      </c>
      <c r="DY60" s="44">
        <v>1.84597163</v>
      </c>
      <c r="DZ60" s="42">
        <v>1.4978953500000001</v>
      </c>
      <c r="EA60" s="42">
        <v>0.64689307000000007</v>
      </c>
      <c r="EB60" s="44">
        <v>2.1447884200000003</v>
      </c>
      <c r="EC60" s="42">
        <v>6.1115464399999997</v>
      </c>
      <c r="ED60" s="42">
        <v>0.94387703000000001</v>
      </c>
      <c r="EE60" s="44">
        <v>7.05542347</v>
      </c>
      <c r="EF60" s="50">
        <f t="shared" si="27"/>
        <v>20.52264452</v>
      </c>
      <c r="EG60" s="50">
        <f t="shared" si="28"/>
        <v>11.637251050000001</v>
      </c>
      <c r="EH60" s="50">
        <f t="shared" si="29"/>
        <v>32.159895570000003</v>
      </c>
      <c r="EI60" s="50">
        <f t="shared" si="94"/>
        <v>20.52264495</v>
      </c>
      <c r="EJ60" s="50">
        <v>11.637251050000001</v>
      </c>
      <c r="EK60" s="50">
        <v>32.159896000000003</v>
      </c>
      <c r="EL60" s="50">
        <v>4.7416194999999988</v>
      </c>
      <c r="EM60" s="50">
        <v>3.3856999999999998E-2</v>
      </c>
      <c r="EN60" s="50">
        <v>4.775476499999999</v>
      </c>
      <c r="EO60" s="50">
        <v>1.1028958400000002</v>
      </c>
      <c r="EP60" s="50">
        <v>0.13417319</v>
      </c>
      <c r="EQ60" s="50">
        <v>1.2370690300000002</v>
      </c>
      <c r="ER60" s="50">
        <v>1.33491396</v>
      </c>
      <c r="ES60" s="50">
        <v>0.30173165000000002</v>
      </c>
      <c r="ET60" s="50">
        <v>1.63664561</v>
      </c>
      <c r="EU60" s="50">
        <v>1.2481798200000001</v>
      </c>
      <c r="EV60" s="50">
        <v>2.689E-3</v>
      </c>
      <c r="EW60" s="50">
        <v>1.25086882</v>
      </c>
      <c r="EX60" s="50">
        <v>0.11205337000000001</v>
      </c>
      <c r="EY60" s="50">
        <v>0.31474107999999995</v>
      </c>
      <c r="EZ60" s="50">
        <v>0.42679444999999994</v>
      </c>
      <c r="FA60" s="50">
        <v>0.25180058</v>
      </c>
      <c r="FB60" s="50">
        <v>0.71684877000000002</v>
      </c>
      <c r="FC60" s="50">
        <v>0.96864934999999996</v>
      </c>
      <c r="FD60" s="50">
        <v>2.5788587600000001</v>
      </c>
      <c r="FE60" s="50">
        <v>2.2421645700000004</v>
      </c>
      <c r="FF60" s="50">
        <v>4.8210233300000009</v>
      </c>
      <c r="FG60" s="50">
        <v>1.5080133499999999</v>
      </c>
      <c r="FH60" s="50">
        <v>0.13977807</v>
      </c>
      <c r="FI60" s="50">
        <v>1.6477914199999999</v>
      </c>
      <c r="FJ60" s="50">
        <v>1.9446037800000002</v>
      </c>
      <c r="FK60" s="50">
        <v>5.8122170000000001E-2</v>
      </c>
      <c r="FL60" s="50">
        <v>2.0027259500000003</v>
      </c>
      <c r="FM60" s="50">
        <v>2.19551556</v>
      </c>
      <c r="FN60" s="50">
        <v>0.22771448</v>
      </c>
      <c r="FO60" s="50">
        <v>2.42323004</v>
      </c>
      <c r="FP60" s="50">
        <v>1.0988861800000003</v>
      </c>
      <c r="FQ60" s="50">
        <v>0.28898859999999998</v>
      </c>
      <c r="FR60" s="50">
        <v>1.3878747800000002</v>
      </c>
      <c r="FS60" s="50">
        <v>6.3956317200000017</v>
      </c>
      <c r="FT60" s="50">
        <v>0.25686909000000002</v>
      </c>
      <c r="FU60" s="50">
        <v>6.652500810000002</v>
      </c>
      <c r="FV60" s="50">
        <f t="shared" si="30"/>
        <v>24.512972420000001</v>
      </c>
      <c r="FW60" s="50">
        <f t="shared" si="31"/>
        <v>4.7176776700000005</v>
      </c>
      <c r="FX60" s="50">
        <f t="shared" si="32"/>
        <v>29.230650090000005</v>
      </c>
      <c r="FY60" s="50">
        <f t="shared" si="95"/>
        <v>24.512971999999998</v>
      </c>
      <c r="FZ60" s="50">
        <v>4.7176770000000001</v>
      </c>
      <c r="GA60" s="50">
        <v>29.230649</v>
      </c>
      <c r="GB60" s="50">
        <v>5.2694133700000005</v>
      </c>
      <c r="GC60" s="50">
        <v>4.0037999999999999E-4</v>
      </c>
      <c r="GD60" s="50">
        <v>5.2698137500000009</v>
      </c>
      <c r="GE60" s="50">
        <v>2.0646347899999999</v>
      </c>
      <c r="GF60" s="50">
        <v>0.37592142000000001</v>
      </c>
      <c r="GG60" s="50">
        <v>2.44055621</v>
      </c>
      <c r="GH60" s="50">
        <v>2.99287766</v>
      </c>
      <c r="GI60" s="50">
        <v>0.43524035999999999</v>
      </c>
      <c r="GJ60" s="50">
        <v>3.4281180199999999</v>
      </c>
      <c r="GK60" s="50">
        <v>0.50785396999999999</v>
      </c>
      <c r="GL60" s="50">
        <v>0.32140078</v>
      </c>
      <c r="GM60" s="50">
        <v>0.82925475000000004</v>
      </c>
      <c r="GN60" s="50">
        <v>0.14217417000000002</v>
      </c>
      <c r="GO60" s="50">
        <v>1.28528248</v>
      </c>
      <c r="GP60" s="50">
        <v>1.4274566500000001</v>
      </c>
      <c r="GQ60" s="50">
        <v>0.80811914000000018</v>
      </c>
      <c r="GR60" s="50">
        <v>2.0059058899999997</v>
      </c>
      <c r="GS60" s="50">
        <v>2.8140250299999998</v>
      </c>
      <c r="GT60" s="50">
        <v>2.0483852100000002</v>
      </c>
      <c r="GU60" s="50">
        <v>0.22588543</v>
      </c>
      <c r="GV60" s="50">
        <v>2.2742706400000001</v>
      </c>
      <c r="GW60" s="50">
        <v>1.0872051999999999</v>
      </c>
      <c r="GX60" s="50">
        <v>8.0856440000000002E-2</v>
      </c>
      <c r="GY60" s="50">
        <v>1.1680616399999999</v>
      </c>
      <c r="GZ60" s="50">
        <v>1.1081777399999999</v>
      </c>
      <c r="HA60" s="50">
        <v>0.23875088999999999</v>
      </c>
      <c r="HB60" s="50">
        <v>1.3469286299999998</v>
      </c>
      <c r="HC60" s="50">
        <v>0.15253347999999997</v>
      </c>
      <c r="HD60" s="50">
        <v>0.23964837</v>
      </c>
      <c r="HE60" s="50">
        <v>0.39218184999999994</v>
      </c>
      <c r="HF60" s="50">
        <v>2.94359663</v>
      </c>
      <c r="HG60" s="50">
        <v>0.20648109999999997</v>
      </c>
      <c r="HH60" s="50">
        <v>3.15007773</v>
      </c>
      <c r="HI60" s="50">
        <v>2.51991437</v>
      </c>
      <c r="HJ60" s="50">
        <v>0.81388161000000003</v>
      </c>
      <c r="HK60" s="50">
        <v>3.3337959800000001</v>
      </c>
      <c r="HL60" s="50">
        <f t="shared" si="33"/>
        <v>21.644885729999995</v>
      </c>
      <c r="HM60" s="50">
        <f t="shared" si="34"/>
        <v>6.2296551500000001</v>
      </c>
      <c r="HN60" s="50">
        <f t="shared" si="35"/>
        <v>27.874540880000005</v>
      </c>
      <c r="HO60" s="50">
        <f t="shared" si="96"/>
        <v>21.618732999999999</v>
      </c>
      <c r="HP60" s="50">
        <v>6.2296550000000002</v>
      </c>
      <c r="HQ60" s="50">
        <v>27.848388</v>
      </c>
      <c r="HR60" s="50">
        <v>6.1255110899999998</v>
      </c>
      <c r="HS60" s="50">
        <v>0.12924954</v>
      </c>
      <c r="HT60" s="50">
        <v>6.2547606299999998</v>
      </c>
      <c r="HU60" s="50">
        <v>1.9942386699999999</v>
      </c>
      <c r="HV60" s="50">
        <v>0.49412989000000002</v>
      </c>
      <c r="HW60" s="50">
        <v>2.4883685600000001</v>
      </c>
      <c r="HX60" s="50">
        <v>3.7200390000000003</v>
      </c>
      <c r="HY60" s="50">
        <v>0.93736931000000001</v>
      </c>
      <c r="HZ60" s="50">
        <v>4.6574083100000001</v>
      </c>
      <c r="IA60" s="50">
        <v>0.61993925000000005</v>
      </c>
      <c r="IB60" s="50">
        <v>0.28433336999999997</v>
      </c>
      <c r="IC60" s="50">
        <v>0.90427261999999997</v>
      </c>
      <c r="ID60" s="50">
        <v>0.86288455000000008</v>
      </c>
      <c r="IE60" s="50">
        <v>0.64257005</v>
      </c>
      <c r="IF60" s="50">
        <v>1.5054546000000002</v>
      </c>
      <c r="IG60" s="50">
        <v>0.3770134899999999</v>
      </c>
      <c r="IH60" s="50">
        <v>0.76127173999999986</v>
      </c>
      <c r="II60" s="50">
        <v>1.1382852299999999</v>
      </c>
      <c r="IJ60" s="50">
        <v>2.6855328300000001</v>
      </c>
      <c r="IK60" s="50">
        <v>1.7322329800000003</v>
      </c>
      <c r="IL60" s="50">
        <v>4.4177658100000006</v>
      </c>
      <c r="IM60" s="50">
        <v>0.79759795</v>
      </c>
      <c r="IN60" s="50">
        <v>0.99839747999999995</v>
      </c>
      <c r="IO60" s="50">
        <v>1.7959954299999998</v>
      </c>
      <c r="IP60" s="50">
        <v>1.0926104999999999</v>
      </c>
      <c r="IQ60" s="50">
        <v>0.35397397999999997</v>
      </c>
      <c r="IR60" s="50">
        <v>1.4465844800000001</v>
      </c>
      <c r="IS60" s="50">
        <v>0.87779149000000012</v>
      </c>
      <c r="IT60" s="50">
        <v>0.73217538000000004</v>
      </c>
      <c r="IU60" s="50">
        <v>1.6099668700000003</v>
      </c>
      <c r="IV60" s="50">
        <v>3.3530824699999999</v>
      </c>
      <c r="IW60" s="50">
        <v>0.62253099000000012</v>
      </c>
      <c r="IX60" s="50">
        <v>3.9756134599999995</v>
      </c>
      <c r="IY60" s="50">
        <v>10.85806283</v>
      </c>
      <c r="IZ60" s="50">
        <v>0.93891172999999994</v>
      </c>
      <c r="JA60" s="50">
        <v>11.796974559999999</v>
      </c>
      <c r="JB60" s="50">
        <f t="shared" si="36"/>
        <v>33.36430412</v>
      </c>
      <c r="JC60" s="50">
        <f t="shared" si="37"/>
        <v>8.6271464400000006</v>
      </c>
      <c r="JD60" s="50">
        <f t="shared" si="38"/>
        <v>41.991450559999997</v>
      </c>
      <c r="JE60" s="50">
        <f t="shared" si="97"/>
        <v>33.3643</v>
      </c>
      <c r="JF60" s="50">
        <v>8.6271459999999998</v>
      </c>
      <c r="JG60" s="50">
        <v>41.991446000000003</v>
      </c>
      <c r="JH60" s="50">
        <v>8.3348618999999999</v>
      </c>
      <c r="JI60" s="50">
        <v>0.89434714000000004</v>
      </c>
      <c r="JJ60" s="50">
        <v>9.2292090399999989</v>
      </c>
      <c r="JK60" s="50">
        <v>2.32333181</v>
      </c>
      <c r="JL60" s="50">
        <v>1.11431653</v>
      </c>
      <c r="JM60" s="50">
        <v>3.4376483400000004</v>
      </c>
      <c r="JN60" s="50">
        <v>0.41621024000000001</v>
      </c>
      <c r="JO60" s="50">
        <v>0.99180797999999981</v>
      </c>
      <c r="JP60" s="50">
        <v>1.4080182200000002</v>
      </c>
      <c r="JQ60" s="50">
        <v>1.02122863</v>
      </c>
      <c r="JR60" s="50">
        <v>0.91298765999999987</v>
      </c>
      <c r="JS60" s="50">
        <v>1.9342162899999997</v>
      </c>
      <c r="JT60" s="50">
        <v>0.48822853999999999</v>
      </c>
      <c r="JU60" s="50">
        <v>0.72871579999999991</v>
      </c>
      <c r="JV60" s="50">
        <v>1.2169443400000002</v>
      </c>
      <c r="JW60" s="50">
        <v>0.13615635000000001</v>
      </c>
      <c r="JX60" s="50">
        <v>0.50893233999999998</v>
      </c>
      <c r="JY60" s="50">
        <v>0.64508868999999991</v>
      </c>
      <c r="JZ60" s="50">
        <v>3.5780952300000002</v>
      </c>
      <c r="KA60" s="50">
        <v>3.18069487</v>
      </c>
      <c r="KB60" s="50">
        <v>6.7587900999999997</v>
      </c>
      <c r="KC60" s="50">
        <v>0.39643349000000005</v>
      </c>
      <c r="KD60" s="50">
        <v>2.1448722299999998</v>
      </c>
      <c r="KE60" s="50">
        <v>2.54130572</v>
      </c>
      <c r="KF60" s="50">
        <v>0.13958941</v>
      </c>
      <c r="KG60" s="50">
        <v>-0.50377361999999992</v>
      </c>
      <c r="KH60" s="50">
        <v>-0.3641842099999999</v>
      </c>
      <c r="KI60" s="50">
        <v>0.1000437</v>
      </c>
      <c r="KJ60" s="50">
        <v>2.0542350900000002</v>
      </c>
      <c r="KK60" s="50">
        <v>2.1542787900000002</v>
      </c>
      <c r="KL60" s="50">
        <v>3.6208817100000004</v>
      </c>
      <c r="KM60" s="50">
        <v>0.91428471</v>
      </c>
      <c r="KN60" s="50">
        <v>4.5351664200000004</v>
      </c>
      <c r="KO60" s="50">
        <v>7.5959642999999994</v>
      </c>
      <c r="KP60" s="50">
        <v>4.2547837699999995</v>
      </c>
      <c r="KQ60" s="50">
        <v>11.85074807</v>
      </c>
      <c r="KR60" s="50">
        <f t="shared" si="48"/>
        <v>28.151025309999994</v>
      </c>
      <c r="KS60" s="50">
        <f t="shared" si="39"/>
        <v>17.1962045</v>
      </c>
      <c r="KT60" s="50">
        <f t="shared" si="49"/>
        <v>45.347229810000002</v>
      </c>
      <c r="KU60" s="50">
        <f t="shared" si="98"/>
        <v>28.151023000000002</v>
      </c>
      <c r="KV60" s="50">
        <v>17.196204999999999</v>
      </c>
      <c r="KW60" s="50">
        <v>45.347228000000001</v>
      </c>
      <c r="KX60" s="50">
        <v>6.2723145899999997</v>
      </c>
      <c r="KY60" s="50">
        <v>0.15299356</v>
      </c>
      <c r="KZ60" s="50">
        <v>6.4253081499999993</v>
      </c>
      <c r="LA60" s="50">
        <v>0.42049940000000002</v>
      </c>
      <c r="LB60" s="50">
        <v>0.64496696999999992</v>
      </c>
      <c r="LC60" s="50">
        <v>1.0654663699999998</v>
      </c>
      <c r="LD60" s="50">
        <v>0.94196637000000016</v>
      </c>
      <c r="LE60" s="50">
        <v>0.77040869999999995</v>
      </c>
      <c r="LF60" s="87">
        <v>1.7123750699999998</v>
      </c>
      <c r="LG60" s="50">
        <v>0.7662829200000002</v>
      </c>
      <c r="LH60" s="50">
        <v>0.63473407999999998</v>
      </c>
      <c r="LI60" s="175">
        <v>1.4010170000000002</v>
      </c>
      <c r="LJ60" s="174">
        <v>0.29755954000000001</v>
      </c>
      <c r="LK60" s="50">
        <v>1.3667262099999999</v>
      </c>
      <c r="LL60" s="174">
        <v>1.6642857499999999</v>
      </c>
      <c r="LM60" s="50">
        <v>0.67245167999999989</v>
      </c>
      <c r="LN60" s="50">
        <v>0.44801244000000001</v>
      </c>
      <c r="LO60" s="50">
        <v>1.1204641199999998</v>
      </c>
      <c r="LP60" s="44">
        <v>5.8468357900000001</v>
      </c>
      <c r="LQ60" s="44">
        <v>0.97347760000000005</v>
      </c>
      <c r="LR60" s="44">
        <v>6.8203133899999999</v>
      </c>
      <c r="LS60" s="52">
        <v>0.47038494000000008</v>
      </c>
      <c r="LT60" s="44">
        <v>0.42781561000000001</v>
      </c>
      <c r="LU60" s="49">
        <v>0.8982005500000001</v>
      </c>
      <c r="LV60" s="44">
        <v>0.22747736999999998</v>
      </c>
      <c r="LW60" s="44">
        <v>0.96125064000000005</v>
      </c>
      <c r="LX60" s="44">
        <v>1.1887280099999999</v>
      </c>
      <c r="LY60" s="44">
        <v>5.58355333</v>
      </c>
      <c r="LZ60" s="44">
        <v>0.93767842999999995</v>
      </c>
      <c r="MA60" s="44">
        <v>6.52123176</v>
      </c>
      <c r="MB60" s="44">
        <v>3.2209845499999998</v>
      </c>
      <c r="MC60" s="44">
        <v>1.21920995</v>
      </c>
      <c r="MD60" s="44">
        <v>4.4401944999999987</v>
      </c>
      <c r="ME60" s="44">
        <v>3.8992890700000005</v>
      </c>
      <c r="MF60" s="44">
        <v>1.77396829</v>
      </c>
      <c r="MG60" s="44">
        <v>5.67325736</v>
      </c>
      <c r="MH60" s="50">
        <f t="shared" si="66"/>
        <v>28.619599550000004</v>
      </c>
      <c r="MI60" s="50">
        <f t="shared" si="50"/>
        <v>10.311242480000001</v>
      </c>
      <c r="MJ60" s="50">
        <f t="shared" si="51"/>
        <v>38.930842029999994</v>
      </c>
      <c r="MK60" s="50">
        <f t="shared" si="99"/>
        <v>28.619600999999996</v>
      </c>
      <c r="ML60" s="50">
        <v>10.311244</v>
      </c>
      <c r="MM60" s="50">
        <v>38.930844999999998</v>
      </c>
      <c r="MN60" s="44">
        <v>7.9327870699999989</v>
      </c>
      <c r="MO60" s="44">
        <v>0.54277998999999999</v>
      </c>
      <c r="MP60" s="44">
        <v>8.4755670599999995</v>
      </c>
      <c r="MQ60" s="44">
        <v>0.93637389000000015</v>
      </c>
      <c r="MR60" s="44">
        <v>0.29972626999999996</v>
      </c>
      <c r="MS60" s="44">
        <v>1.2361001599999999</v>
      </c>
      <c r="MT60" s="50">
        <v>1.08235448</v>
      </c>
      <c r="MU60" s="50">
        <v>0.70732623000000006</v>
      </c>
      <c r="MV60" s="50">
        <v>1.7896807100000001</v>
      </c>
      <c r="MW60" s="44">
        <v>3.3315060699999997</v>
      </c>
      <c r="MX60" s="44">
        <v>1.4694877099999999</v>
      </c>
      <c r="MY60" s="44">
        <v>4.8009937799999998</v>
      </c>
      <c r="MZ60" s="44">
        <v>8.1823300000000002E-2</v>
      </c>
      <c r="NA60" s="44">
        <v>0.45263253000000003</v>
      </c>
      <c r="NB60" s="44">
        <v>0.53445583000000008</v>
      </c>
      <c r="NC60" s="44">
        <v>1.7288417899999999</v>
      </c>
      <c r="ND60" s="44">
        <v>0.90812990000000016</v>
      </c>
      <c r="NE60" s="44">
        <v>2.6369716900000002</v>
      </c>
      <c r="NF60" s="44">
        <v>1.5556277199999999</v>
      </c>
      <c r="NG60" s="44">
        <v>1.3072758599999998</v>
      </c>
      <c r="NH60" s="44">
        <v>2.8629035800000002</v>
      </c>
      <c r="NI60" s="44">
        <v>1.3204704599999999</v>
      </c>
      <c r="NJ60" s="44">
        <v>1.15074725</v>
      </c>
      <c r="NK60" s="44">
        <v>2.4712177099999999</v>
      </c>
      <c r="NL60" s="44">
        <v>3.8861266900000002</v>
      </c>
      <c r="NM60" s="44">
        <v>0.58377293999999991</v>
      </c>
      <c r="NN60" s="44">
        <v>4.4698996300000005</v>
      </c>
      <c r="NO60" s="44">
        <v>1.1190285600000001</v>
      </c>
      <c r="NP60" s="44">
        <v>0.84344152000000006</v>
      </c>
      <c r="NQ60" s="44">
        <v>1.9624700799999999</v>
      </c>
      <c r="NR60" s="44">
        <v>3.4406462199999996</v>
      </c>
      <c r="NS60" s="44">
        <v>0.67386181000000001</v>
      </c>
      <c r="NT60" s="44">
        <v>4.1145080299999996</v>
      </c>
      <c r="NU60" s="44">
        <v>3.6777612900000003</v>
      </c>
      <c r="NV60" s="44">
        <v>8.9334870399999993</v>
      </c>
      <c r="NW60" s="44">
        <v>12.61124833</v>
      </c>
      <c r="NX60" s="50">
        <f t="shared" si="117"/>
        <v>30.093347539999996</v>
      </c>
      <c r="NY60" s="50">
        <f t="shared" si="40"/>
        <v>17.872669049999999</v>
      </c>
      <c r="NZ60" s="50">
        <f t="shared" si="41"/>
        <v>47.966016590000002</v>
      </c>
      <c r="OA60" s="50">
        <f t="shared" si="100"/>
        <v>30.093346999999998</v>
      </c>
      <c r="OB60" s="50">
        <v>17.872668000000001</v>
      </c>
      <c r="OC60" s="50">
        <v>47.966014999999999</v>
      </c>
      <c r="OD60" s="44">
        <v>7.9360744100000007</v>
      </c>
      <c r="OE60" s="44">
        <v>0.18222809000000001</v>
      </c>
      <c r="OF60" s="44">
        <v>8.1183025000000004</v>
      </c>
      <c r="OG60" s="50">
        <v>1.2389144700000001</v>
      </c>
      <c r="OH60" s="44">
        <v>1.36228952</v>
      </c>
      <c r="OI60" s="44">
        <v>2.6012039900000001</v>
      </c>
      <c r="OJ60" s="44">
        <f t="shared" si="107"/>
        <v>7.5792737399999996</v>
      </c>
      <c r="OK60" s="44">
        <v>1.3525157000000001</v>
      </c>
      <c r="OL60" s="44">
        <v>8.9317894399999993</v>
      </c>
      <c r="OM60" s="44">
        <v>2.5242852300000003</v>
      </c>
      <c r="ON60" s="44">
        <v>0.88415785000000002</v>
      </c>
      <c r="OO60" s="44">
        <v>3.408443080000001</v>
      </c>
      <c r="OP60" s="44">
        <v>0.32766711000000004</v>
      </c>
      <c r="OQ60" s="44">
        <v>0.29819392</v>
      </c>
      <c r="OR60" s="44">
        <v>0.62586103000000015</v>
      </c>
      <c r="OS60" s="44">
        <v>1.6959301500000001</v>
      </c>
      <c r="OT60" s="44">
        <v>1.3344298399999999</v>
      </c>
      <c r="OU60" s="44">
        <v>3.03035999</v>
      </c>
      <c r="OV60" s="44">
        <v>2.9155464400000004</v>
      </c>
      <c r="OW60" s="44">
        <v>0.57812512000000005</v>
      </c>
      <c r="OX60" s="44">
        <v>3.4936715600000006</v>
      </c>
      <c r="OY60" s="95">
        <v>4.67471119</v>
      </c>
      <c r="OZ60" s="95">
        <v>0.98796339999999983</v>
      </c>
      <c r="PA60" s="95">
        <v>5.66267459</v>
      </c>
      <c r="PB60" s="44">
        <v>0.35705805999999995</v>
      </c>
      <c r="PC60" s="44">
        <v>0.37024891000000004</v>
      </c>
      <c r="PD60" s="44">
        <v>0.72730696999999989</v>
      </c>
      <c r="PE60" s="44">
        <v>1.04189522</v>
      </c>
      <c r="PF60" s="44">
        <v>0.48162345000000001</v>
      </c>
      <c r="PG60" s="44">
        <v>1.5235186699999999</v>
      </c>
      <c r="PH60" s="44">
        <v>3.1046030799999995</v>
      </c>
      <c r="PI60" s="44">
        <v>0.68964579000000004</v>
      </c>
      <c r="PJ60" s="44">
        <v>3.7942488699999997</v>
      </c>
      <c r="PK60" s="44">
        <v>6.1438342799999992</v>
      </c>
      <c r="PL60" s="44">
        <v>1.2666509900000003</v>
      </c>
      <c r="PM60" s="44">
        <v>7.4104852699999997</v>
      </c>
      <c r="PN60" s="50">
        <f t="shared" si="122"/>
        <v>39.539793379999999</v>
      </c>
      <c r="PO60" s="50">
        <f t="shared" si="108"/>
        <v>9.7880725799999997</v>
      </c>
      <c r="PP60" s="50">
        <f t="shared" si="116"/>
        <v>49.327865960000004</v>
      </c>
      <c r="PQ60" s="50">
        <f t="shared" si="118"/>
        <v>39.539789999999996</v>
      </c>
      <c r="PR60" s="50">
        <v>9.7880710000000004</v>
      </c>
      <c r="PS60" s="50">
        <v>49.327860999999999</v>
      </c>
      <c r="PT60" s="44">
        <v>6.4442583200000003</v>
      </c>
      <c r="PU60" s="44">
        <v>3.855012E-2</v>
      </c>
      <c r="PV60" s="44">
        <v>6.4828084400000003</v>
      </c>
      <c r="PW60" s="44">
        <v>0.51499990000000007</v>
      </c>
      <c r="PX60" s="44">
        <v>0.80769287999999984</v>
      </c>
      <c r="PY60" s="44">
        <v>1.3226927799999999</v>
      </c>
      <c r="PZ60" s="44">
        <v>3.9628989000000008</v>
      </c>
      <c r="QA60" s="44">
        <v>0.54008542000000004</v>
      </c>
      <c r="QB60" s="44">
        <v>4.5029843200000013</v>
      </c>
      <c r="QC60" s="44">
        <v>3.4418095500000003</v>
      </c>
      <c r="QD60" s="44">
        <v>0.58440091000000005</v>
      </c>
      <c r="QE60" s="44">
        <v>4.0262104599999997</v>
      </c>
      <c r="QF60" s="50">
        <v>0.26082757000000001</v>
      </c>
      <c r="QG60" s="44">
        <v>0.71178594000000006</v>
      </c>
      <c r="QH60" s="44">
        <v>0.97261351000000007</v>
      </c>
      <c r="QI60" s="50">
        <v>9.585596319999997</v>
      </c>
      <c r="QJ60" s="44">
        <v>1.14392852</v>
      </c>
      <c r="QK60" s="44">
        <v>10.729524839999996</v>
      </c>
      <c r="QL60" s="44">
        <v>4.3275451600000006</v>
      </c>
      <c r="QM60" s="44">
        <v>2.4138956199999999</v>
      </c>
      <c r="QN60" s="44">
        <v>6.7414407799999996</v>
      </c>
      <c r="QO60" s="50">
        <v>2.9084281299999994</v>
      </c>
      <c r="QP60" s="44">
        <v>0.66376297000000006</v>
      </c>
      <c r="QQ60" s="44">
        <v>3.5721910999999995</v>
      </c>
      <c r="QR60" s="44">
        <v>2.3203682200000002</v>
      </c>
      <c r="QS60" s="44">
        <v>0.22576005000000002</v>
      </c>
      <c r="QT60" s="44">
        <v>2.5461282700000001</v>
      </c>
      <c r="QU60" s="50">
        <v>3.4619517399999991</v>
      </c>
      <c r="QV60" s="44">
        <v>0.79775334999999992</v>
      </c>
      <c r="QW60" s="44">
        <v>4.2597050899999989</v>
      </c>
      <c r="QX60" s="50">
        <v>14.56696245</v>
      </c>
      <c r="QY60" s="44">
        <v>5.3153482000000007</v>
      </c>
      <c r="QZ60" s="44">
        <v>19.882310650000001</v>
      </c>
      <c r="RA60" s="50">
        <v>21.562671970000004</v>
      </c>
      <c r="RB60" s="44">
        <v>5.4896819599999986</v>
      </c>
      <c r="RC60" s="44">
        <v>27.052353930000002</v>
      </c>
      <c r="RD60" s="50">
        <f t="shared" si="52"/>
        <v>73.358318230000009</v>
      </c>
      <c r="RE60" s="50">
        <f t="shared" si="53"/>
        <v>18.732645939999998</v>
      </c>
      <c r="RF60" s="50">
        <f t="shared" si="54"/>
        <v>92.090964170000007</v>
      </c>
      <c r="RG60" s="50">
        <f t="shared" si="119"/>
        <v>73.358318999999995</v>
      </c>
      <c r="RH60" s="50">
        <v>18.7531</v>
      </c>
      <c r="RI60" s="50">
        <v>92.111418999999998</v>
      </c>
      <c r="RJ60" s="50">
        <v>6.9317566900000003</v>
      </c>
      <c r="RK60" s="50">
        <v>3.6468E-2</v>
      </c>
      <c r="RL60" s="50">
        <v>6.9682246900000004</v>
      </c>
      <c r="RM60" s="50">
        <v>2.4613669799999998</v>
      </c>
      <c r="RN60" s="50">
        <v>0.53820956999999991</v>
      </c>
      <c r="RO60" s="50">
        <v>2.99957655</v>
      </c>
      <c r="RP60" s="50">
        <v>3.3728989199999999</v>
      </c>
      <c r="RQ60" s="50">
        <v>0.41021223000000001</v>
      </c>
      <c r="RR60" s="50">
        <v>3.7831111500000003</v>
      </c>
      <c r="RS60" s="50">
        <v>2.0668539099999998</v>
      </c>
      <c r="RT60" s="50">
        <v>0.88075300999999995</v>
      </c>
      <c r="RU60" s="50">
        <v>2.9476069199999997</v>
      </c>
      <c r="RV60" s="50">
        <v>2.49917736</v>
      </c>
      <c r="RW60" s="50">
        <v>0.78063053000000004</v>
      </c>
      <c r="RX60" s="50">
        <v>3.2798078899999998</v>
      </c>
      <c r="RY60" s="50">
        <v>5.1761037699999992</v>
      </c>
      <c r="RZ60" s="50">
        <v>0.55397917000000008</v>
      </c>
      <c r="SA60" s="50">
        <v>5.7300829399999991</v>
      </c>
      <c r="SB60" s="50">
        <v>14.70965513</v>
      </c>
      <c r="SC60" s="50">
        <v>4.9003734000000012</v>
      </c>
      <c r="SD60" s="50">
        <v>19.610028530000001</v>
      </c>
      <c r="SE60" s="50">
        <v>1.9475551899999997</v>
      </c>
      <c r="SF60" s="50">
        <v>0.17571189000000001</v>
      </c>
      <c r="SG60" s="50">
        <v>2.1232670799999998</v>
      </c>
      <c r="SH60" s="50">
        <v>1.1214832499999996</v>
      </c>
      <c r="SI60" s="50">
        <v>0.83283733999999998</v>
      </c>
      <c r="SJ60" s="50">
        <v>1.9543205899999996</v>
      </c>
      <c r="SK60" s="50">
        <v>2.95197873</v>
      </c>
      <c r="SL60" s="50">
        <v>0.24157498000000002</v>
      </c>
      <c r="SM60" s="50">
        <v>3.1935537099999998</v>
      </c>
      <c r="SN60" s="50">
        <v>7.1935896200000009</v>
      </c>
      <c r="SO60" s="50">
        <v>0.52851090000000001</v>
      </c>
      <c r="SP60" s="50">
        <v>7.7221005200000006</v>
      </c>
      <c r="SQ60" s="50">
        <v>17.749758099999994</v>
      </c>
      <c r="SR60" s="50">
        <v>6.0916048999999992</v>
      </c>
      <c r="SS60" s="50">
        <v>23.841362999999994</v>
      </c>
      <c r="ST60" s="50">
        <f t="shared" si="55"/>
        <v>68.18217765</v>
      </c>
      <c r="SU60" s="50">
        <f t="shared" si="65"/>
        <v>15.970865920000001</v>
      </c>
      <c r="SV60" s="50">
        <f t="shared" si="56"/>
        <v>84.153043569999994</v>
      </c>
      <c r="SW60" s="50">
        <f t="shared" si="103"/>
        <v>68.182175000000001</v>
      </c>
      <c r="SX60" s="50">
        <v>15.970869</v>
      </c>
      <c r="SY60" s="50">
        <v>84.153043999999994</v>
      </c>
      <c r="SZ60" s="50">
        <v>8.4487516899999999</v>
      </c>
      <c r="TA60" s="50">
        <v>6.8848759999999995E-2</v>
      </c>
      <c r="TB60" s="50">
        <v>8.5176004500000015</v>
      </c>
      <c r="TC60" s="50">
        <v>1.1537822299999998</v>
      </c>
      <c r="TD60" s="50">
        <v>0.53380636999999997</v>
      </c>
      <c r="TE60" s="50">
        <v>1.6875885999999998</v>
      </c>
      <c r="TF60" s="50">
        <v>4.2921400900000002</v>
      </c>
      <c r="TG60" s="50">
        <v>0.36677941000000003</v>
      </c>
      <c r="TH60" s="50">
        <v>4.6589195000000005</v>
      </c>
      <c r="TI60" s="50">
        <v>3.7786417199999986</v>
      </c>
      <c r="TJ60" s="50">
        <v>0.36221852999999998</v>
      </c>
      <c r="TK60" s="50">
        <v>4.1408602499999985</v>
      </c>
      <c r="TL60" s="50">
        <v>6.950948799999999</v>
      </c>
      <c r="TM60" s="50">
        <v>0.58437633</v>
      </c>
      <c r="TN60" s="50">
        <v>7.5353251299999995</v>
      </c>
      <c r="TO60" s="50">
        <v>1.8914905600000003</v>
      </c>
      <c r="TP60" s="50">
        <v>0.28636454</v>
      </c>
      <c r="TQ60" s="50">
        <v>2.1778551000000004</v>
      </c>
      <c r="TR60" s="50">
        <v>1.0733848399999992</v>
      </c>
      <c r="TS60" s="50">
        <v>1.46783266</v>
      </c>
      <c r="TT60" s="50">
        <v>2.5412174999999992</v>
      </c>
      <c r="TU60" s="50">
        <v>2.9613977800000004</v>
      </c>
      <c r="TV60" s="50">
        <v>6.3633116300000001</v>
      </c>
      <c r="TW60" s="50">
        <v>9.3247094100000005</v>
      </c>
      <c r="TX60" s="50">
        <v>5.9222576799999986</v>
      </c>
      <c r="TY60" s="50">
        <v>4.2152465600000015</v>
      </c>
      <c r="TZ60" s="50">
        <v>10.13750424</v>
      </c>
      <c r="UA60" s="50">
        <v>9.0522390999999978</v>
      </c>
      <c r="UB60" s="50">
        <v>5.6500508800000011</v>
      </c>
      <c r="UC60" s="50">
        <v>14.70228998</v>
      </c>
      <c r="UD60" s="50">
        <v>6.0687412700000003</v>
      </c>
      <c r="UE60" s="50">
        <v>1.80724244</v>
      </c>
      <c r="UF60" s="50">
        <v>7.8759837100000007</v>
      </c>
      <c r="UG60" s="50">
        <v>53.800227890000002</v>
      </c>
      <c r="UH60" s="50">
        <v>5.3221402499999995</v>
      </c>
      <c r="UI60" s="50">
        <v>59.122368139999999</v>
      </c>
      <c r="UJ60" s="50">
        <f t="shared" si="45"/>
        <v>105.39400365</v>
      </c>
      <c r="UK60" s="50">
        <f t="shared" si="15"/>
        <v>27.028218360000004</v>
      </c>
      <c r="UL60" s="50">
        <f t="shared" si="16"/>
        <v>132.42222200999998</v>
      </c>
      <c r="UM60" s="50">
        <v>11.228979280000003</v>
      </c>
      <c r="UN60" s="50">
        <v>0.12682394</v>
      </c>
      <c r="UO60" s="50">
        <v>11.355803220000002</v>
      </c>
      <c r="UP60" s="50">
        <v>1.6868131399999999</v>
      </c>
      <c r="UQ60" s="50">
        <v>0.89091777999999999</v>
      </c>
      <c r="UR60" s="50">
        <v>2.57773092</v>
      </c>
      <c r="US60" s="50">
        <v>16.969439360000003</v>
      </c>
      <c r="UT60" s="50">
        <v>1.1758442900000001</v>
      </c>
      <c r="UU60" s="50">
        <v>18.145283650000003</v>
      </c>
      <c r="UV60" s="50">
        <v>7.3001148099999993</v>
      </c>
      <c r="UW60" s="50">
        <v>1.1617257099999998</v>
      </c>
      <c r="UX60" s="50">
        <v>8.4618405199999991</v>
      </c>
      <c r="UY60" s="50"/>
      <c r="UZ60" s="50"/>
      <c r="VA60" s="50"/>
      <c r="VB60" s="50"/>
      <c r="VC60" s="50"/>
      <c r="VD60" s="50"/>
      <c r="VE60" s="50"/>
      <c r="VF60" s="50"/>
      <c r="VG60" s="50"/>
      <c r="VH60" s="50"/>
      <c r="VI60" s="50"/>
      <c r="VJ60" s="50"/>
      <c r="VK60" s="50"/>
      <c r="VL60" s="50"/>
      <c r="VM60" s="50"/>
      <c r="VN60" s="50"/>
      <c r="VO60" s="50"/>
      <c r="VP60" s="50"/>
      <c r="VQ60" s="50"/>
      <c r="VR60" s="50"/>
      <c r="VS60" s="50"/>
      <c r="VT60" s="50"/>
      <c r="VU60" s="50"/>
      <c r="VV60" s="50"/>
      <c r="VW60" s="276">
        <f t="shared" si="57"/>
        <v>17.673316</v>
      </c>
      <c r="VX60" s="292">
        <f t="shared" si="58"/>
        <v>1.331653</v>
      </c>
      <c r="VY60" s="292">
        <f t="shared" si="59"/>
        <v>19.004968999999999</v>
      </c>
      <c r="VZ60" s="276">
        <f t="shared" si="60"/>
        <v>37.185347</v>
      </c>
      <c r="WA60" s="292">
        <f t="shared" si="61"/>
        <v>3.3553120000000001</v>
      </c>
      <c r="WB60" s="292">
        <f t="shared" si="62"/>
        <v>40.540658000000001</v>
      </c>
      <c r="WC60" s="277">
        <f t="shared" si="112"/>
        <v>21.535689000000001</v>
      </c>
      <c r="WD60" s="277">
        <f t="shared" si="104"/>
        <v>113.3160964377264</v>
      </c>
    </row>
    <row r="61" spans="1:602" s="12" customFormat="1" ht="20.5">
      <c r="A61" s="314" t="s">
        <v>158</v>
      </c>
      <c r="B61" s="13">
        <v>7600</v>
      </c>
      <c r="C61" s="46" t="s">
        <v>159</v>
      </c>
      <c r="D61" s="45">
        <v>197.93325735197865</v>
      </c>
      <c r="E61" s="42">
        <v>218.45383776984764</v>
      </c>
      <c r="F61" s="42">
        <v>210.78000978935808</v>
      </c>
      <c r="G61" s="42">
        <v>172.60785226037416</v>
      </c>
      <c r="H61" s="42">
        <v>15.355727898532166</v>
      </c>
      <c r="I61" s="42">
        <v>37.450145758988278</v>
      </c>
      <c r="J61" s="42">
        <v>10.18009483440618</v>
      </c>
      <c r="K61" s="42">
        <v>8.3203798071724115</v>
      </c>
      <c r="L61" s="42">
        <v>11.983943418079578</v>
      </c>
      <c r="M61" s="42">
        <v>9.6647327135303769</v>
      </c>
      <c r="N61" s="42">
        <v>13.907997379070121</v>
      </c>
      <c r="O61" s="42">
        <v>10.646339519979966</v>
      </c>
      <c r="P61" s="42">
        <v>15.088919528061878</v>
      </c>
      <c r="Q61" s="42">
        <v>14.802682682511765</v>
      </c>
      <c r="R61" s="42">
        <v>22.066234682784959</v>
      </c>
      <c r="S61" s="42">
        <v>17.303421195667642</v>
      </c>
      <c r="T61" s="42">
        <v>185.06781890825894</v>
      </c>
      <c r="U61" s="42">
        <v>1.7028005105264099</v>
      </c>
      <c r="V61" s="42">
        <v>186.77061941878534</v>
      </c>
      <c r="W61" s="42">
        <v>186.77062025827968</v>
      </c>
      <c r="X61" s="42">
        <v>15.121375234062414</v>
      </c>
      <c r="Y61" s="42">
        <v>43.666034911582749</v>
      </c>
      <c r="Z61" s="42">
        <v>16.022526906505938</v>
      </c>
      <c r="AA61" s="42">
        <v>16.280462362194868</v>
      </c>
      <c r="AB61" s="42">
        <v>14.669210761464079</v>
      </c>
      <c r="AC61" s="42">
        <v>8.7231902493440554</v>
      </c>
      <c r="AD61" s="42">
        <v>9.0387704110961238</v>
      </c>
      <c r="AE61" s="42">
        <v>14.143526502410346</v>
      </c>
      <c r="AF61" s="42">
        <v>15.650098747303657</v>
      </c>
      <c r="AG61" s="42">
        <v>13.273209216225291</v>
      </c>
      <c r="AH61" s="42">
        <v>10.628626188809397</v>
      </c>
      <c r="AI61" s="42">
        <v>43.576588920950933</v>
      </c>
      <c r="AJ61" s="42">
        <v>220.05082357243299</v>
      </c>
      <c r="AK61" s="42">
        <v>0.74279683951713404</v>
      </c>
      <c r="AL61" s="42">
        <v>220.79362041194986</v>
      </c>
      <c r="AM61" s="42">
        <v>220.7936209810986</v>
      </c>
      <c r="AN61" s="42">
        <v>29.837213504760928</v>
      </c>
      <c r="AO61" s="42">
        <v>44.589605352274603</v>
      </c>
      <c r="AP61" s="42">
        <v>18.136367194836684</v>
      </c>
      <c r="AQ61" s="42">
        <v>17.924134737423238</v>
      </c>
      <c r="AR61" s="42">
        <v>17.973253823256556</v>
      </c>
      <c r="AS61" s="42">
        <v>17.896895606740998</v>
      </c>
      <c r="AT61" s="42">
        <v>17.856578790103644</v>
      </c>
      <c r="AU61" s="42">
        <v>17.777242844377664</v>
      </c>
      <c r="AV61" s="42">
        <v>17.918613155303614</v>
      </c>
      <c r="AW61" s="42">
        <v>11.525162065099233</v>
      </c>
      <c r="AX61" s="42">
        <v>10.304671003579946</v>
      </c>
      <c r="AY61" s="42">
        <v>47.492759005355694</v>
      </c>
      <c r="AZ61" s="42">
        <v>267.27488387943151</v>
      </c>
      <c r="BA61" s="42">
        <v>1.957613203681263</v>
      </c>
      <c r="BB61" s="42">
        <v>269.23249708311278</v>
      </c>
      <c r="BC61" s="42">
        <f t="shared" si="21"/>
        <v>267.27488318222436</v>
      </c>
      <c r="BD61" s="42">
        <v>1.9576126487612477</v>
      </c>
      <c r="BE61" s="42">
        <v>269.23249583098561</v>
      </c>
      <c r="BF61" s="44">
        <v>31.457446340000001</v>
      </c>
      <c r="BG61" s="44"/>
      <c r="BH61" s="44">
        <f>BF61+BG61</f>
        <v>31.457446340000001</v>
      </c>
      <c r="BI61" s="42">
        <v>54.484775920000004</v>
      </c>
      <c r="BJ61" s="42">
        <v>1.422315E-2</v>
      </c>
      <c r="BK61" s="44">
        <f>BI61+BJ61</f>
        <v>54.498999070000004</v>
      </c>
      <c r="BL61" s="44">
        <v>20.91038631</v>
      </c>
      <c r="BM61" s="44">
        <v>5.4373400000000006E-3</v>
      </c>
      <c r="BN61" s="44">
        <f>BL61+BM61</f>
        <v>20.91582365</v>
      </c>
      <c r="BO61" s="44">
        <v>20.939400940000002</v>
      </c>
      <c r="BP61" s="44">
        <v>2.0000000000000002E-5</v>
      </c>
      <c r="BQ61" s="44">
        <f>BO61+BP61</f>
        <v>20.939420940000002</v>
      </c>
      <c r="BR61" s="44">
        <v>21.127533789999998</v>
      </c>
      <c r="BS61" s="44">
        <v>1.5869790000000002E-2</v>
      </c>
      <c r="BT61" s="44">
        <f>BR61+BS61</f>
        <v>21.143403579999998</v>
      </c>
      <c r="BU61" s="44">
        <v>19.159150440000001</v>
      </c>
      <c r="BV61" s="44"/>
      <c r="BW61" s="44">
        <f>BU61+BV61</f>
        <v>19.159150440000001</v>
      </c>
      <c r="BX61" s="44">
        <v>15.039426799999999</v>
      </c>
      <c r="BY61" s="44">
        <v>0.51327350999999999</v>
      </c>
      <c r="BZ61" s="44">
        <f>BX61+BY61</f>
        <v>15.552700309999999</v>
      </c>
      <c r="CA61" s="44">
        <v>13.17131895</v>
      </c>
      <c r="CB61" s="44">
        <v>1.8916099999999999E-3</v>
      </c>
      <c r="CC61" s="44">
        <f>CA61+CB61</f>
        <v>13.173210559999999</v>
      </c>
      <c r="CD61" s="44">
        <v>9.8155298799999997</v>
      </c>
      <c r="CE61" s="44"/>
      <c r="CF61" s="44">
        <f>CD61+CE61</f>
        <v>9.8155298799999997</v>
      </c>
      <c r="CG61" s="44">
        <v>11.545766330000001</v>
      </c>
      <c r="CH61" s="44">
        <v>0.30604764000000001</v>
      </c>
      <c r="CI61" s="44">
        <f>CG61+CH61</f>
        <v>11.85181397</v>
      </c>
      <c r="CJ61" s="42">
        <v>19.325406870000002</v>
      </c>
      <c r="CK61" s="42"/>
      <c r="CL61" s="44">
        <f>CJ61+CK61</f>
        <v>19.325406870000002</v>
      </c>
      <c r="CM61" s="42">
        <v>47.392196390000002</v>
      </c>
      <c r="CN61" s="42">
        <v>0.33232824</v>
      </c>
      <c r="CO61" s="44">
        <f>CM61+CN61</f>
        <v>47.724524630000005</v>
      </c>
      <c r="CP61" s="50">
        <f t="shared" si="24"/>
        <v>284.36833895999996</v>
      </c>
      <c r="CQ61" s="50">
        <f t="shared" si="25"/>
        <v>1.1890912800000002</v>
      </c>
      <c r="CR61" s="50">
        <f t="shared" si="26"/>
        <v>285.55743023999997</v>
      </c>
      <c r="CS61" s="42">
        <f t="shared" si="123"/>
        <v>284.36833999999999</v>
      </c>
      <c r="CT61" s="42">
        <v>1.1890909999999999</v>
      </c>
      <c r="CU61" s="42">
        <v>285.55743100000001</v>
      </c>
      <c r="CV61" s="42">
        <v>22.438066980000006</v>
      </c>
      <c r="CW61" s="42"/>
      <c r="CX61" s="44">
        <f>CV61+CW61</f>
        <v>22.438066980000006</v>
      </c>
      <c r="CY61" s="42">
        <v>55.751499590000002</v>
      </c>
      <c r="CZ61" s="42">
        <v>3.2026E-4</v>
      </c>
      <c r="DA61" s="44">
        <v>55.751819850000004</v>
      </c>
      <c r="DB61" s="42">
        <v>22.698983819999999</v>
      </c>
      <c r="DC61" s="42">
        <v>9.5120479999999993E-2</v>
      </c>
      <c r="DD61" s="44">
        <v>22.794104299999997</v>
      </c>
      <c r="DE61" s="42">
        <v>22.704341979999999</v>
      </c>
      <c r="DF61" s="42">
        <v>0</v>
      </c>
      <c r="DG61" s="44">
        <v>22.704341979999999</v>
      </c>
      <c r="DH61" s="42">
        <v>22.98824471</v>
      </c>
      <c r="DI61" s="42">
        <v>0</v>
      </c>
      <c r="DJ61" s="44">
        <v>22.98824471</v>
      </c>
      <c r="DK61" s="42">
        <v>16.42724458</v>
      </c>
      <c r="DL61" s="42">
        <v>0</v>
      </c>
      <c r="DM61" s="44">
        <v>16.42724458</v>
      </c>
      <c r="DN61" s="42">
        <v>10.179957009999999</v>
      </c>
      <c r="DO61" s="42">
        <v>5.7792749999999997E-2</v>
      </c>
      <c r="DP61" s="44">
        <v>10.23774976</v>
      </c>
      <c r="DQ61" s="42">
        <v>16.579747870000002</v>
      </c>
      <c r="DR61" s="42">
        <v>5.1597999999999998E-4</v>
      </c>
      <c r="DS61" s="44">
        <v>16.580263850000001</v>
      </c>
      <c r="DT61" s="42">
        <v>8.7663647100000013</v>
      </c>
      <c r="DU61" s="42">
        <v>1.1944443500000002</v>
      </c>
      <c r="DV61" s="44">
        <v>9.9608090600000008</v>
      </c>
      <c r="DW61" s="42">
        <v>18.464644149999998</v>
      </c>
      <c r="DX61" s="42">
        <v>6.4879519999999996E-2</v>
      </c>
      <c r="DY61" s="44">
        <v>18.52952367</v>
      </c>
      <c r="DZ61" s="42">
        <v>6.0706837700000005</v>
      </c>
      <c r="EA61" s="42">
        <v>5.6352609999999997E-2</v>
      </c>
      <c r="EB61" s="44">
        <v>6.1270363800000007</v>
      </c>
      <c r="EC61" s="42">
        <v>21.749183070000001</v>
      </c>
      <c r="ED61" s="42">
        <v>0</v>
      </c>
      <c r="EE61" s="44">
        <v>21.749183070000001</v>
      </c>
      <c r="EF61" s="50">
        <f t="shared" si="27"/>
        <v>244.81896224000002</v>
      </c>
      <c r="EG61" s="50">
        <f t="shared" si="28"/>
        <v>1.4694259500000002</v>
      </c>
      <c r="EH61" s="50">
        <f t="shared" si="29"/>
        <v>246.28838818999998</v>
      </c>
      <c r="EI61" s="50">
        <f t="shared" si="94"/>
        <v>244.81896105000001</v>
      </c>
      <c r="EJ61" s="50">
        <v>1.4694259500000002</v>
      </c>
      <c r="EK61" s="50">
        <v>246.288387</v>
      </c>
      <c r="EL61" s="50">
        <v>5.4521731400000002</v>
      </c>
      <c r="EM61" s="50">
        <v>0</v>
      </c>
      <c r="EN61" s="50">
        <v>5.4521731400000002</v>
      </c>
      <c r="EO61" s="50">
        <v>46.2386117</v>
      </c>
      <c r="EP61" s="50">
        <v>0</v>
      </c>
      <c r="EQ61" s="50">
        <v>46.2386117</v>
      </c>
      <c r="ER61" s="50">
        <v>20.881744250000001</v>
      </c>
      <c r="ES61" s="50">
        <v>8.5076700000000002E-3</v>
      </c>
      <c r="ET61" s="50">
        <v>20.890251920000001</v>
      </c>
      <c r="EU61" s="50">
        <v>12.22498083</v>
      </c>
      <c r="EV61" s="50">
        <v>0</v>
      </c>
      <c r="EW61" s="50">
        <v>12.22498083</v>
      </c>
      <c r="EX61" s="50">
        <v>18.076166860000001</v>
      </c>
      <c r="EY61" s="50">
        <v>4.4684199999999999E-3</v>
      </c>
      <c r="EZ61" s="50">
        <v>18.080635279999999</v>
      </c>
      <c r="FA61" s="50">
        <v>11.6065972</v>
      </c>
      <c r="FB61" s="50">
        <v>0</v>
      </c>
      <c r="FC61" s="50">
        <v>11.6065972</v>
      </c>
      <c r="FD61" s="50">
        <v>19.287374479999997</v>
      </c>
      <c r="FE61" s="50">
        <v>1.76E-4</v>
      </c>
      <c r="FF61" s="50">
        <v>19.287550479999997</v>
      </c>
      <c r="FG61" s="50">
        <v>19.784444869999998</v>
      </c>
      <c r="FH61" s="50">
        <v>2.6442220000000002E-2</v>
      </c>
      <c r="FI61" s="50">
        <v>19.810887089999998</v>
      </c>
      <c r="FJ61" s="50">
        <v>21.116762649999995</v>
      </c>
      <c r="FK61" s="50">
        <v>0.52221307000000006</v>
      </c>
      <c r="FL61" s="50">
        <v>21.638975719999994</v>
      </c>
      <c r="FM61" s="50">
        <v>21.601585920000002</v>
      </c>
      <c r="FN61" s="50">
        <v>8.8495199999999996E-3</v>
      </c>
      <c r="FO61" s="50">
        <v>21.61043544</v>
      </c>
      <c r="FP61" s="50">
        <v>21.701457670000003</v>
      </c>
      <c r="FQ61" s="50">
        <v>0</v>
      </c>
      <c r="FR61" s="50">
        <v>21.701457670000003</v>
      </c>
      <c r="FS61" s="50">
        <v>40.029350599999994</v>
      </c>
      <c r="FT61" s="50">
        <v>1.604672E-2</v>
      </c>
      <c r="FU61" s="50">
        <v>40.045397319999992</v>
      </c>
      <c r="FV61" s="50">
        <f t="shared" si="30"/>
        <v>258.00125016999999</v>
      </c>
      <c r="FW61" s="50">
        <f t="shared" si="31"/>
        <v>0.58670362000000009</v>
      </c>
      <c r="FX61" s="50">
        <f t="shared" si="32"/>
        <v>258.58795378999997</v>
      </c>
      <c r="FY61" s="50">
        <f t="shared" si="95"/>
        <v>258.00125200000002</v>
      </c>
      <c r="FZ61" s="50">
        <v>0.58670299999999997</v>
      </c>
      <c r="GA61" s="50">
        <v>258.58795500000002</v>
      </c>
      <c r="GB61" s="50">
        <v>5.7427615099999993</v>
      </c>
      <c r="GC61" s="50">
        <v>0</v>
      </c>
      <c r="GD61" s="50">
        <v>5.7427615099999993</v>
      </c>
      <c r="GE61" s="50">
        <v>23.599850080000003</v>
      </c>
      <c r="GF61" s="50">
        <v>0.24323576000000002</v>
      </c>
      <c r="GG61" s="50">
        <v>23.843085840000004</v>
      </c>
      <c r="GH61" s="50">
        <v>16.871223959999998</v>
      </c>
      <c r="GI61" s="50">
        <v>0</v>
      </c>
      <c r="GJ61" s="50">
        <v>16.871223959999998</v>
      </c>
      <c r="GK61" s="50">
        <v>20.733724420000001</v>
      </c>
      <c r="GL61" s="50">
        <v>0</v>
      </c>
      <c r="GM61" s="50">
        <v>20.733724420000001</v>
      </c>
      <c r="GN61" s="50">
        <v>22.336652049999998</v>
      </c>
      <c r="GO61" s="50">
        <v>1.36E-4</v>
      </c>
      <c r="GP61" s="50">
        <v>22.336788049999999</v>
      </c>
      <c r="GQ61" s="50">
        <v>19.01088566</v>
      </c>
      <c r="GR61" s="50">
        <v>3.0799819999999999E-2</v>
      </c>
      <c r="GS61" s="50">
        <v>19.041685479999998</v>
      </c>
      <c r="GT61" s="50">
        <v>20.770137160000001</v>
      </c>
      <c r="GU61" s="50">
        <v>1.1154100000000001E-3</v>
      </c>
      <c r="GV61" s="50">
        <v>20.771252570000001</v>
      </c>
      <c r="GW61" s="50">
        <v>13.51284776</v>
      </c>
      <c r="GX61" s="50">
        <v>0</v>
      </c>
      <c r="GY61" s="50">
        <v>13.51284776</v>
      </c>
      <c r="GZ61" s="50">
        <v>20.611636109999999</v>
      </c>
      <c r="HA61" s="50">
        <v>0</v>
      </c>
      <c r="HB61" s="50">
        <v>20.611636109999999</v>
      </c>
      <c r="HC61" s="50">
        <v>20.350494229999999</v>
      </c>
      <c r="HD61" s="50">
        <v>1.007831E-2</v>
      </c>
      <c r="HE61" s="50">
        <v>20.36057254</v>
      </c>
      <c r="HF61" s="50">
        <v>20.575782929999999</v>
      </c>
      <c r="HG61" s="50">
        <v>0</v>
      </c>
      <c r="HH61" s="50">
        <v>20.575782929999999</v>
      </c>
      <c r="HI61" s="50">
        <v>21.001171839999998</v>
      </c>
      <c r="HJ61" s="50">
        <v>0</v>
      </c>
      <c r="HK61" s="50">
        <v>21.001171839999998</v>
      </c>
      <c r="HL61" s="50">
        <f t="shared" si="33"/>
        <v>225.11716770999999</v>
      </c>
      <c r="HM61" s="50">
        <f t="shared" si="34"/>
        <v>0.28536529999999999</v>
      </c>
      <c r="HN61" s="50">
        <f t="shared" si="35"/>
        <v>225.40253301000001</v>
      </c>
      <c r="HO61" s="50">
        <f t="shared" si="96"/>
        <v>225.117166</v>
      </c>
      <c r="HP61" s="50">
        <v>0.28536499999999998</v>
      </c>
      <c r="HQ61" s="50">
        <v>225.40253100000001</v>
      </c>
      <c r="HR61" s="50">
        <v>3.3117478300000003</v>
      </c>
      <c r="HS61" s="50">
        <v>0</v>
      </c>
      <c r="HT61" s="50">
        <v>3.3117478300000003</v>
      </c>
      <c r="HU61" s="50">
        <v>36.978075109999999</v>
      </c>
      <c r="HV61" s="50">
        <v>0</v>
      </c>
      <c r="HW61" s="50">
        <v>36.978075109999999</v>
      </c>
      <c r="HX61" s="50">
        <v>22.908823640000005</v>
      </c>
      <c r="HY61" s="50">
        <v>3.9851000000000001E-3</v>
      </c>
      <c r="HZ61" s="50">
        <v>22.912808740000006</v>
      </c>
      <c r="IA61" s="50">
        <v>21.10680198</v>
      </c>
      <c r="IB61" s="50">
        <v>0</v>
      </c>
      <c r="IC61" s="50">
        <v>21.10680198</v>
      </c>
      <c r="ID61" s="50">
        <v>16.917887239999999</v>
      </c>
      <c r="IE61" s="50">
        <v>5.91386E-3</v>
      </c>
      <c r="IF61" s="50">
        <v>16.923801099999999</v>
      </c>
      <c r="IG61" s="50">
        <v>13.375346260000002</v>
      </c>
      <c r="IH61" s="50">
        <v>0</v>
      </c>
      <c r="II61" s="50">
        <v>13.375346260000002</v>
      </c>
      <c r="IJ61" s="50">
        <v>21.196015619999997</v>
      </c>
      <c r="IK61" s="50">
        <v>0</v>
      </c>
      <c r="IL61" s="50">
        <v>21.196015619999997</v>
      </c>
      <c r="IM61" s="50">
        <v>22.149888419999996</v>
      </c>
      <c r="IN61" s="50">
        <v>5.363863E-2</v>
      </c>
      <c r="IO61" s="50">
        <v>22.203527049999998</v>
      </c>
      <c r="IP61" s="50">
        <v>22.534326549999999</v>
      </c>
      <c r="IQ61" s="50">
        <v>1.26626E-3</v>
      </c>
      <c r="IR61" s="50">
        <v>22.535592810000001</v>
      </c>
      <c r="IS61" s="50">
        <v>23.908485089999999</v>
      </c>
      <c r="IT61" s="50">
        <v>0</v>
      </c>
      <c r="IU61" s="50">
        <v>23.908485089999999</v>
      </c>
      <c r="IV61" s="50">
        <v>23.202270400000003</v>
      </c>
      <c r="IW61" s="50">
        <v>0</v>
      </c>
      <c r="IX61" s="50">
        <v>23.202270400000003</v>
      </c>
      <c r="IY61" s="50">
        <v>30.90392125</v>
      </c>
      <c r="IZ61" s="50">
        <v>4.908E-3</v>
      </c>
      <c r="JA61" s="50">
        <v>30.90882925</v>
      </c>
      <c r="JB61" s="50">
        <f t="shared" si="36"/>
        <v>258.49358939000001</v>
      </c>
      <c r="JC61" s="50">
        <f t="shared" si="37"/>
        <v>6.9711850000000006E-2</v>
      </c>
      <c r="JD61" s="50">
        <f t="shared" si="38"/>
        <v>258.56330123999999</v>
      </c>
      <c r="JE61" s="50">
        <f t="shared" si="97"/>
        <v>258.49359000000004</v>
      </c>
      <c r="JF61" s="50">
        <v>6.9711999999999996E-2</v>
      </c>
      <c r="JG61" s="50">
        <v>258.56330200000002</v>
      </c>
      <c r="JH61" s="50">
        <v>24.956088350000002</v>
      </c>
      <c r="JI61" s="50">
        <v>0</v>
      </c>
      <c r="JJ61" s="50">
        <v>24.956088350000002</v>
      </c>
      <c r="JK61" s="50">
        <v>59.878525079999996</v>
      </c>
      <c r="JL61" s="50">
        <v>0</v>
      </c>
      <c r="JM61" s="50">
        <v>59.878525079999996</v>
      </c>
      <c r="JN61" s="50">
        <v>24.798974759999997</v>
      </c>
      <c r="JO61" s="50">
        <v>0</v>
      </c>
      <c r="JP61" s="50">
        <v>24.798974759999997</v>
      </c>
      <c r="JQ61" s="50">
        <v>17.83487573</v>
      </c>
      <c r="JR61" s="50">
        <v>0</v>
      </c>
      <c r="JS61" s="50">
        <v>17.83487573</v>
      </c>
      <c r="JT61" s="50">
        <v>16.146069900000001</v>
      </c>
      <c r="JU61" s="50">
        <v>0</v>
      </c>
      <c r="JV61" s="50">
        <v>16.146069900000001</v>
      </c>
      <c r="JW61" s="50">
        <v>21.434251360000001</v>
      </c>
      <c r="JX61" s="50">
        <v>0</v>
      </c>
      <c r="JY61" s="50">
        <v>21.434251360000001</v>
      </c>
      <c r="JZ61" s="50">
        <v>24.200558720000004</v>
      </c>
      <c r="KA61" s="50">
        <v>2.1987399999999998E-3</v>
      </c>
      <c r="KB61" s="50">
        <v>24.202757460000001</v>
      </c>
      <c r="KC61" s="50">
        <v>24.334049300000004</v>
      </c>
      <c r="KD61" s="50">
        <v>0</v>
      </c>
      <c r="KE61" s="50">
        <v>24.334049300000004</v>
      </c>
      <c r="KF61" s="50">
        <v>24.368837939999999</v>
      </c>
      <c r="KG61" s="50">
        <v>1.6814535999999998</v>
      </c>
      <c r="KH61" s="50">
        <v>26.050291539999996</v>
      </c>
      <c r="KI61" s="50">
        <v>24.448413099999996</v>
      </c>
      <c r="KJ61" s="50">
        <v>1.0492455600000001</v>
      </c>
      <c r="KK61" s="50">
        <v>25.497658659999995</v>
      </c>
      <c r="KL61" s="50">
        <v>11.101222940000001</v>
      </c>
      <c r="KM61" s="50">
        <v>1.22190807</v>
      </c>
      <c r="KN61" s="50">
        <v>12.323131010000001</v>
      </c>
      <c r="KO61" s="50">
        <v>14.42781312</v>
      </c>
      <c r="KP61" s="50">
        <v>0</v>
      </c>
      <c r="KQ61" s="50">
        <v>14.42781312</v>
      </c>
      <c r="KR61" s="50">
        <f t="shared" si="48"/>
        <v>287.92968029999997</v>
      </c>
      <c r="KS61" s="50">
        <f t="shared" si="39"/>
        <v>3.9548059700000002</v>
      </c>
      <c r="KT61" s="50">
        <f t="shared" si="49"/>
        <v>291.88448626999997</v>
      </c>
      <c r="KU61" s="50">
        <f t="shared" si="98"/>
        <v>287.92967999999996</v>
      </c>
      <c r="KV61" s="50">
        <v>3.9548070000000002</v>
      </c>
      <c r="KW61" s="50">
        <v>291.88448699999998</v>
      </c>
      <c r="KX61" s="50">
        <v>48.433049400000002</v>
      </c>
      <c r="KY61" s="50">
        <v>0</v>
      </c>
      <c r="KZ61" s="50">
        <v>48.433049400000002</v>
      </c>
      <c r="LA61" s="50">
        <v>29.964908259999998</v>
      </c>
      <c r="LB61" s="50">
        <v>0</v>
      </c>
      <c r="LC61" s="50">
        <v>29.964908259999998</v>
      </c>
      <c r="LD61" s="50">
        <v>17.15666826</v>
      </c>
      <c r="LE61" s="50"/>
      <c r="LF61" s="87">
        <v>17.15666826</v>
      </c>
      <c r="LG61" s="50">
        <v>25.902653089999998</v>
      </c>
      <c r="LH61" s="50"/>
      <c r="LI61" s="175">
        <v>25.902653089999998</v>
      </c>
      <c r="LJ61" s="174">
        <v>37.998668359999996</v>
      </c>
      <c r="LK61" s="50">
        <v>0</v>
      </c>
      <c r="LL61" s="174">
        <v>37.998668359999996</v>
      </c>
      <c r="LM61" s="50">
        <v>19.607424689999998</v>
      </c>
      <c r="LN61" s="50">
        <v>0</v>
      </c>
      <c r="LO61" s="50">
        <v>19.607424689999998</v>
      </c>
      <c r="LP61" s="44">
        <v>16.88417565</v>
      </c>
      <c r="LQ61" s="183"/>
      <c r="LR61" s="44">
        <v>16.88417565</v>
      </c>
      <c r="LS61" s="52">
        <v>13.63102301</v>
      </c>
      <c r="LT61" s="183"/>
      <c r="LU61" s="49">
        <v>13.63102301</v>
      </c>
      <c r="LV61" s="44">
        <v>21.237409890000002</v>
      </c>
      <c r="LW61" s="44">
        <v>0</v>
      </c>
      <c r="LX61" s="44">
        <v>21.237409890000002</v>
      </c>
      <c r="LY61" s="44">
        <v>25.676985150000004</v>
      </c>
      <c r="LZ61" s="44">
        <v>0.30051537</v>
      </c>
      <c r="MA61" s="44">
        <v>25.977500520000003</v>
      </c>
      <c r="MB61" s="44">
        <v>36.757882469999998</v>
      </c>
      <c r="MC61" s="44">
        <v>2.5735999999999998E-2</v>
      </c>
      <c r="MD61" s="44">
        <v>36.78361847</v>
      </c>
      <c r="ME61" s="44">
        <v>27.252200700000003</v>
      </c>
      <c r="MF61" s="44">
        <v>0.73981958999999997</v>
      </c>
      <c r="MG61" s="44">
        <v>27.992020290000003</v>
      </c>
      <c r="MH61" s="50">
        <f t="shared" si="66"/>
        <v>320.50304892999998</v>
      </c>
      <c r="MI61" s="50">
        <f t="shared" si="50"/>
        <v>1.06607096</v>
      </c>
      <c r="MJ61" s="50">
        <f t="shared" si="51"/>
        <v>321.56911989000002</v>
      </c>
      <c r="MK61" s="50">
        <f t="shared" si="99"/>
        <v>320.50304899999998</v>
      </c>
      <c r="ML61" s="50">
        <v>1.066071</v>
      </c>
      <c r="MM61" s="50">
        <v>321.56912</v>
      </c>
      <c r="MN61" s="44">
        <v>41.927839440000007</v>
      </c>
      <c r="MO61" s="44">
        <v>0</v>
      </c>
      <c r="MP61" s="44">
        <v>41.927839440000007</v>
      </c>
      <c r="MQ61" s="44">
        <v>56.992398690000002</v>
      </c>
      <c r="MR61" s="44">
        <v>0</v>
      </c>
      <c r="MS61" s="44">
        <v>56.992398690000002</v>
      </c>
      <c r="MT61" s="50">
        <v>21.695020750000001</v>
      </c>
      <c r="MU61" s="50">
        <v>0</v>
      </c>
      <c r="MV61" s="50">
        <v>21.695020750000001</v>
      </c>
      <c r="MW61" s="44">
        <v>23.74911165</v>
      </c>
      <c r="MX61" s="44">
        <v>0</v>
      </c>
      <c r="MY61" s="44">
        <v>23.74911165</v>
      </c>
      <c r="MZ61" s="44">
        <v>27.280129139999996</v>
      </c>
      <c r="NA61" s="44">
        <v>0</v>
      </c>
      <c r="NB61" s="44">
        <v>27.280129139999996</v>
      </c>
      <c r="NC61" s="44">
        <v>30.038526999999998</v>
      </c>
      <c r="ND61" s="44">
        <v>0</v>
      </c>
      <c r="NE61" s="44">
        <v>30.038526999999998</v>
      </c>
      <c r="NF61" s="44">
        <v>17.029966399999999</v>
      </c>
      <c r="NG61" s="44">
        <v>0</v>
      </c>
      <c r="NH61" s="44">
        <v>17.029966399999999</v>
      </c>
      <c r="NI61" s="44">
        <v>27.585813699999999</v>
      </c>
      <c r="NJ61" s="44">
        <v>0</v>
      </c>
      <c r="NK61" s="44">
        <v>27.585813699999999</v>
      </c>
      <c r="NL61" s="44">
        <v>30.127686220000001</v>
      </c>
      <c r="NM61" s="44">
        <v>8.2495000000000008E-4</v>
      </c>
      <c r="NN61" s="44">
        <v>30.128511170000003</v>
      </c>
      <c r="NO61" s="44">
        <v>33.468718330000002</v>
      </c>
      <c r="NP61" s="44">
        <v>0</v>
      </c>
      <c r="NQ61" s="44">
        <v>33.468718330000002</v>
      </c>
      <c r="NR61" s="44">
        <v>41.653382610000001</v>
      </c>
      <c r="NS61" s="44">
        <v>0</v>
      </c>
      <c r="NT61" s="44">
        <v>41.653382610000001</v>
      </c>
      <c r="NU61" s="44">
        <v>46.870367449999996</v>
      </c>
      <c r="NV61" s="44">
        <v>1.65055E-3</v>
      </c>
      <c r="NW61" s="44">
        <v>46.87201799999999</v>
      </c>
      <c r="NX61" s="50">
        <f t="shared" si="117"/>
        <v>398.41896137999998</v>
      </c>
      <c r="NY61" s="50">
        <f t="shared" si="40"/>
        <v>2.4755000000000003E-3</v>
      </c>
      <c r="NZ61" s="50">
        <f t="shared" si="41"/>
        <v>398.42143687999993</v>
      </c>
      <c r="OA61" s="50">
        <f t="shared" si="100"/>
        <v>398.41896100000002</v>
      </c>
      <c r="OB61" s="50">
        <v>2.4759999999999999E-3</v>
      </c>
      <c r="OC61" s="50">
        <v>398.42143700000003</v>
      </c>
      <c r="OD61" s="44">
        <v>33.453234030000004</v>
      </c>
      <c r="OE61" s="44">
        <v>0</v>
      </c>
      <c r="OF61" s="44">
        <v>33.453234030000004</v>
      </c>
      <c r="OG61" s="50">
        <v>41.957182660000001</v>
      </c>
      <c r="OH61" s="44">
        <v>0</v>
      </c>
      <c r="OI61" s="44">
        <v>41.957182660000001</v>
      </c>
      <c r="OJ61" s="44">
        <f t="shared" si="107"/>
        <v>25.866026940000005</v>
      </c>
      <c r="OK61" s="44">
        <v>4.4500999999999999E-2</v>
      </c>
      <c r="OL61" s="44">
        <v>25.910527940000005</v>
      </c>
      <c r="OM61" s="44">
        <v>32.82741291</v>
      </c>
      <c r="ON61" s="44">
        <v>3.406439E-2</v>
      </c>
      <c r="OO61" s="44">
        <v>32.861477299999997</v>
      </c>
      <c r="OP61" s="44">
        <v>33.893717500000001</v>
      </c>
      <c r="OQ61" s="44"/>
      <c r="OR61" s="44">
        <v>33.893717500000001</v>
      </c>
      <c r="OS61" s="44">
        <v>33.005234989999998</v>
      </c>
      <c r="OT61" s="44"/>
      <c r="OU61" s="44">
        <v>33.005234989999998</v>
      </c>
      <c r="OV61" s="44">
        <v>34.479315039999996</v>
      </c>
      <c r="OW61" s="44"/>
      <c r="OX61" s="44">
        <v>34.479315039999996</v>
      </c>
      <c r="OY61" s="95">
        <v>33.868661920000001</v>
      </c>
      <c r="OZ61" s="95">
        <v>0.20091400000000001</v>
      </c>
      <c r="PA61" s="95">
        <v>34.069575919999998</v>
      </c>
      <c r="PB61" s="44">
        <v>32.018663519999997</v>
      </c>
      <c r="PC61" s="44">
        <v>1.8728000000000002E-2</v>
      </c>
      <c r="PD61" s="44">
        <v>32.03739152</v>
      </c>
      <c r="PE61" s="44">
        <v>26.119458209999998</v>
      </c>
      <c r="PF61" s="44">
        <v>4.4995999999999995E-4</v>
      </c>
      <c r="PG61" s="44">
        <v>26.119908169999999</v>
      </c>
      <c r="PH61" s="44">
        <v>31.388609840000004</v>
      </c>
      <c r="PI61" s="44">
        <v>8.6513159999999992E-2</v>
      </c>
      <c r="PJ61" s="44">
        <v>31.475123</v>
      </c>
      <c r="PK61" s="44">
        <v>32.657164999999999</v>
      </c>
      <c r="PL61" s="44"/>
      <c r="PM61" s="44">
        <v>32.657164999999999</v>
      </c>
      <c r="PN61" s="50">
        <f t="shared" si="122"/>
        <v>391.53468256000008</v>
      </c>
      <c r="PO61" s="50">
        <f t="shared" si="108"/>
        <v>0.38517051000000002</v>
      </c>
      <c r="PP61" s="50">
        <f t="shared" si="116"/>
        <v>391.91985306999999</v>
      </c>
      <c r="PQ61" s="50">
        <f t="shared" si="118"/>
        <v>391.53468299999997</v>
      </c>
      <c r="PR61" s="50">
        <v>0.38517000000000001</v>
      </c>
      <c r="PS61" s="50">
        <v>391.91985299999999</v>
      </c>
      <c r="PT61" s="44">
        <v>24.117836</v>
      </c>
      <c r="PU61" s="44"/>
      <c r="PV61" s="44">
        <v>24.117836</v>
      </c>
      <c r="PW61" s="44">
        <v>39.743732999999999</v>
      </c>
      <c r="PX61" s="44"/>
      <c r="PY61" s="44">
        <v>39.743732999999999</v>
      </c>
      <c r="PZ61" s="44">
        <v>26.797047000000006</v>
      </c>
      <c r="QA61" s="44"/>
      <c r="QB61" s="44">
        <v>26.797047000000006</v>
      </c>
      <c r="QC61" s="44">
        <v>28.575942000000001</v>
      </c>
      <c r="QD61" s="44"/>
      <c r="QE61" s="44">
        <v>28.575942000000001</v>
      </c>
      <c r="QF61" s="50">
        <v>27.994679410000003</v>
      </c>
      <c r="QG61" s="44">
        <v>5.8708589999999998E-2</v>
      </c>
      <c r="QH61" s="44">
        <v>28.053388000000002</v>
      </c>
      <c r="QI61" s="50">
        <v>30.463971000000001</v>
      </c>
      <c r="QJ61" s="44"/>
      <c r="QK61" s="44">
        <v>30.463971000000001</v>
      </c>
      <c r="QL61" s="44">
        <v>30.978278350000004</v>
      </c>
      <c r="QM61" s="44">
        <v>9.9163649999999992E-2</v>
      </c>
      <c r="QN61" s="44">
        <v>31.077442000000005</v>
      </c>
      <c r="QO61" s="50">
        <v>27.236025999999999</v>
      </c>
      <c r="QP61" s="44"/>
      <c r="QQ61" s="44">
        <v>27.236025999999999</v>
      </c>
      <c r="QR61" s="44">
        <v>30.719211379999997</v>
      </c>
      <c r="QS61" s="44">
        <v>1.6751619999999998E-2</v>
      </c>
      <c r="QT61" s="44">
        <v>30.735962999999998</v>
      </c>
      <c r="QU61" s="50">
        <v>30.972830930000001</v>
      </c>
      <c r="QV61" s="44">
        <v>8.8310699999999999E-3</v>
      </c>
      <c r="QW61" s="44">
        <v>30.981662</v>
      </c>
      <c r="QX61" s="50">
        <v>30.554483999999999</v>
      </c>
      <c r="QY61" s="44"/>
      <c r="QZ61" s="44">
        <v>30.554483999999999</v>
      </c>
      <c r="RA61" s="50">
        <v>56.654271780000016</v>
      </c>
      <c r="RB61" s="44">
        <v>7.5422E-4</v>
      </c>
      <c r="RC61" s="44">
        <v>56.655026000000014</v>
      </c>
      <c r="RD61" s="50">
        <f t="shared" si="52"/>
        <v>384.80831085</v>
      </c>
      <c r="RE61" s="50">
        <f t="shared" si="53"/>
        <v>0.18420914999999999</v>
      </c>
      <c r="RF61" s="50">
        <f t="shared" si="54"/>
        <v>384.99252000000001</v>
      </c>
      <c r="RG61" s="50">
        <f t="shared" si="119"/>
        <v>384.80831000000001</v>
      </c>
      <c r="RH61" s="50">
        <v>0.18421000000000001</v>
      </c>
      <c r="RI61" s="50">
        <v>384.99252000000001</v>
      </c>
      <c r="RJ61" s="50">
        <v>21.046340999999998</v>
      </c>
      <c r="RK61" s="50"/>
      <c r="RL61" s="50">
        <v>21.046340999999998</v>
      </c>
      <c r="RM61" s="50">
        <v>31.847451999999997</v>
      </c>
      <c r="RN61" s="50"/>
      <c r="RO61" s="50">
        <v>31.847451999999997</v>
      </c>
      <c r="RP61" s="50">
        <v>46.343046999999991</v>
      </c>
      <c r="RQ61" s="50"/>
      <c r="RR61" s="50">
        <v>46.343046999999991</v>
      </c>
      <c r="RS61" s="50">
        <v>26.930332</v>
      </c>
      <c r="RT61" s="50"/>
      <c r="RU61" s="50">
        <v>26.930332</v>
      </c>
      <c r="RV61" s="50">
        <v>27.682043999999998</v>
      </c>
      <c r="RW61" s="50"/>
      <c r="RX61" s="50">
        <v>27.682043999999998</v>
      </c>
      <c r="RY61" s="50">
        <v>34.732478920000013</v>
      </c>
      <c r="RZ61" s="50">
        <v>0.51141007999999999</v>
      </c>
      <c r="SA61" s="50">
        <v>35.24388900000001</v>
      </c>
      <c r="SB61" s="50">
        <v>30.456023920000003</v>
      </c>
      <c r="SC61" s="50">
        <v>0.19854207999999998</v>
      </c>
      <c r="SD61" s="50">
        <v>30.654566000000003</v>
      </c>
      <c r="SE61" s="50">
        <v>30.061754570000009</v>
      </c>
      <c r="SF61" s="50">
        <v>1.06273343</v>
      </c>
      <c r="SG61" s="50">
        <v>31.12448800000001</v>
      </c>
      <c r="SH61" s="50">
        <v>30.276744000000008</v>
      </c>
      <c r="SI61" s="50"/>
      <c r="SJ61" s="50">
        <v>30.276744000000008</v>
      </c>
      <c r="SK61" s="50">
        <v>30.036814</v>
      </c>
      <c r="SL61" s="50"/>
      <c r="SM61" s="50">
        <v>30.036814</v>
      </c>
      <c r="SN61" s="50">
        <v>30.187743000000001</v>
      </c>
      <c r="SO61" s="50"/>
      <c r="SP61" s="50">
        <v>30.187743000000001</v>
      </c>
      <c r="SQ61" s="50">
        <v>19.507985999999999</v>
      </c>
      <c r="SR61" s="50"/>
      <c r="SS61" s="50">
        <v>19.507985999999999</v>
      </c>
      <c r="ST61" s="50">
        <f t="shared" si="55"/>
        <v>359.10876041</v>
      </c>
      <c r="SU61" s="50">
        <f t="shared" si="65"/>
        <v>1.77268559</v>
      </c>
      <c r="SV61" s="50">
        <f t="shared" si="56"/>
        <v>360.88144600000004</v>
      </c>
      <c r="SW61" s="50">
        <f t="shared" si="103"/>
        <v>359.10876099999996</v>
      </c>
      <c r="SX61" s="50">
        <v>1.7726850000000001</v>
      </c>
      <c r="SY61" s="50">
        <v>360.88144599999998</v>
      </c>
      <c r="SZ61" s="50">
        <v>32.570366969999995</v>
      </c>
      <c r="TA61" s="50"/>
      <c r="TB61" s="50">
        <v>32.570366969999995</v>
      </c>
      <c r="TC61" s="50">
        <v>32.385189609999998</v>
      </c>
      <c r="TD61" s="50"/>
      <c r="TE61" s="50">
        <v>32.385189609999998</v>
      </c>
      <c r="TF61" s="50">
        <v>41.437353280000004</v>
      </c>
      <c r="TG61" s="50"/>
      <c r="TH61" s="50">
        <v>41.437353280000004</v>
      </c>
      <c r="TI61" s="50">
        <v>31.875073340000004</v>
      </c>
      <c r="TJ61" s="50"/>
      <c r="TK61" s="50">
        <v>31.875073340000004</v>
      </c>
      <c r="TL61" s="50">
        <v>32.03267670999999</v>
      </c>
      <c r="TM61" s="50"/>
      <c r="TN61" s="50">
        <v>32.03267670999999</v>
      </c>
      <c r="TO61" s="50">
        <v>30.944795030000002</v>
      </c>
      <c r="TP61" s="50"/>
      <c r="TQ61" s="50">
        <v>30.944795030000002</v>
      </c>
      <c r="TR61" s="50">
        <v>32.008072450000007</v>
      </c>
      <c r="TS61" s="50"/>
      <c r="TT61" s="50">
        <v>32.008072450000007</v>
      </c>
      <c r="TU61" s="50">
        <v>29.368301930000008</v>
      </c>
      <c r="TV61" s="50">
        <v>1.3309594600000001</v>
      </c>
      <c r="TW61" s="50">
        <v>30.699261390000007</v>
      </c>
      <c r="TX61" s="50">
        <v>32.539105450000015</v>
      </c>
      <c r="TY61" s="50"/>
      <c r="TZ61" s="50">
        <v>32.539105450000015</v>
      </c>
      <c r="UA61" s="50">
        <v>30.574675029999998</v>
      </c>
      <c r="UB61" s="50">
        <v>0.17873023999999998</v>
      </c>
      <c r="UC61" s="50">
        <v>30.753405269999998</v>
      </c>
      <c r="UD61" s="50">
        <v>21.86121803</v>
      </c>
      <c r="UE61" s="50">
        <v>7.9082300000000005E-3</v>
      </c>
      <c r="UF61" s="50">
        <v>21.869126260000002</v>
      </c>
      <c r="UG61" s="50">
        <v>31.060826030000005</v>
      </c>
      <c r="UH61" s="50">
        <v>1.0515999999999999E-2</v>
      </c>
      <c r="UI61" s="50">
        <v>31.071342030000004</v>
      </c>
      <c r="UJ61" s="50">
        <f t="shared" si="45"/>
        <v>378.65765385999998</v>
      </c>
      <c r="UK61" s="50">
        <f t="shared" si="15"/>
        <v>1.52811393</v>
      </c>
      <c r="UL61" s="50">
        <f t="shared" si="16"/>
        <v>380.18576779</v>
      </c>
      <c r="UM61" s="50">
        <v>37.757250039999995</v>
      </c>
      <c r="UN61" s="50"/>
      <c r="UO61" s="50">
        <v>37.757250039999995</v>
      </c>
      <c r="UP61" s="50">
        <v>50.408252220000001</v>
      </c>
      <c r="UQ61" s="50">
        <v>7.3508999999999998E-4</v>
      </c>
      <c r="UR61" s="50">
        <v>50.408987310000001</v>
      </c>
      <c r="US61" s="50">
        <v>4.86075137</v>
      </c>
      <c r="UT61" s="50"/>
      <c r="UU61" s="50">
        <v>4.86075137</v>
      </c>
      <c r="UV61" s="50">
        <v>3.9296907499999998</v>
      </c>
      <c r="UW61" s="50"/>
      <c r="UX61" s="50">
        <v>3.9296907499999998</v>
      </c>
      <c r="UY61" s="50"/>
      <c r="UZ61" s="50"/>
      <c r="VA61" s="50"/>
      <c r="VB61" s="50"/>
      <c r="VC61" s="50"/>
      <c r="VD61" s="50"/>
      <c r="VE61" s="50"/>
      <c r="VF61" s="50"/>
      <c r="VG61" s="50"/>
      <c r="VH61" s="50"/>
      <c r="VI61" s="50"/>
      <c r="VJ61" s="50"/>
      <c r="VK61" s="50"/>
      <c r="VL61" s="50"/>
      <c r="VM61" s="50"/>
      <c r="VN61" s="50"/>
      <c r="VO61" s="50"/>
      <c r="VP61" s="50"/>
      <c r="VQ61" s="50"/>
      <c r="VR61" s="50"/>
      <c r="VS61" s="50"/>
      <c r="VT61" s="50"/>
      <c r="VU61" s="50"/>
      <c r="VV61" s="50"/>
      <c r="VW61" s="276">
        <f t="shared" si="57"/>
        <v>138.26798299999999</v>
      </c>
      <c r="VX61" s="292">
        <f t="shared" si="58"/>
        <v>0</v>
      </c>
      <c r="VY61" s="292">
        <f t="shared" si="59"/>
        <v>138.26798299999999</v>
      </c>
      <c r="VZ61" s="276">
        <f t="shared" si="60"/>
        <v>96.955944000000002</v>
      </c>
      <c r="WA61" s="292">
        <f t="shared" si="61"/>
        <v>7.3499999999999998E-4</v>
      </c>
      <c r="WB61" s="292">
        <f t="shared" si="62"/>
        <v>96.956678999999994</v>
      </c>
      <c r="WC61" s="277">
        <f t="shared" si="112"/>
        <v>-41.311303999999993</v>
      </c>
      <c r="WD61" s="277">
        <f t="shared" si="104"/>
        <v>-29.877707842169059</v>
      </c>
    </row>
    <row r="62" spans="1:602" s="12" customFormat="1" ht="20.5">
      <c r="A62" s="42" t="s">
        <v>160</v>
      </c>
      <c r="B62" s="13" t="s">
        <v>91</v>
      </c>
      <c r="C62" s="42" t="s">
        <v>161</v>
      </c>
      <c r="D62" s="45">
        <v>593.09763604077386</v>
      </c>
      <c r="E62" s="42">
        <v>495.03920865561378</v>
      </c>
      <c r="F62" s="42">
        <v>336.80914878116801</v>
      </c>
      <c r="G62" s="42">
        <v>312.73547247881345</v>
      </c>
      <c r="H62" s="42">
        <v>41.574364559678088</v>
      </c>
      <c r="I62" s="42">
        <v>10.922721498454761</v>
      </c>
      <c r="J62" s="42">
        <v>19.057538204108113</v>
      </c>
      <c r="K62" s="42">
        <v>20.172660884115629</v>
      </c>
      <c r="L62" s="42">
        <v>28.571422558778835</v>
      </c>
      <c r="M62" s="42">
        <v>27.527571954627458</v>
      </c>
      <c r="N62" s="42">
        <v>35.753865942709496</v>
      </c>
      <c r="O62" s="42">
        <v>41.434667417942983</v>
      </c>
      <c r="P62" s="42">
        <v>55.768638197847487</v>
      </c>
      <c r="Q62" s="42">
        <v>43.743161464647329</v>
      </c>
      <c r="R62" s="42">
        <v>41.067338646336673</v>
      </c>
      <c r="S62" s="42">
        <v>108.99267232400499</v>
      </c>
      <c r="T62" s="42">
        <v>106.42166174352985</v>
      </c>
      <c r="U62" s="42">
        <v>368.16496190972202</v>
      </c>
      <c r="V62" s="42">
        <v>474.58662365325188</v>
      </c>
      <c r="W62" s="42">
        <v>474.5834172827702</v>
      </c>
      <c r="X62" s="42">
        <v>29.660941756165311</v>
      </c>
      <c r="Y62" s="42">
        <v>16.645934698721121</v>
      </c>
      <c r="Z62" s="42">
        <v>24.133933657175277</v>
      </c>
      <c r="AA62" s="42">
        <v>26.320391375123918</v>
      </c>
      <c r="AB62" s="42">
        <v>23.906908640246783</v>
      </c>
      <c r="AC62" s="42">
        <v>32.17212480293226</v>
      </c>
      <c r="AD62" s="42">
        <v>38.701480071257421</v>
      </c>
      <c r="AE62" s="42">
        <v>40.313497077423165</v>
      </c>
      <c r="AF62" s="42">
        <v>55.992460202273598</v>
      </c>
      <c r="AG62" s="42">
        <v>51.210290735397066</v>
      </c>
      <c r="AH62" s="42">
        <v>43.402097882197602</v>
      </c>
      <c r="AI62" s="42">
        <v>89.742060375296674</v>
      </c>
      <c r="AJ62" s="42">
        <v>111.823124014661</v>
      </c>
      <c r="AK62" s="42">
        <v>360.37899788561202</v>
      </c>
      <c r="AL62" s="42">
        <v>472.20212127421019</v>
      </c>
      <c r="AM62" s="42">
        <v>472.21821162087866</v>
      </c>
      <c r="AN62" s="42">
        <v>13.976572415637929</v>
      </c>
      <c r="AO62" s="42">
        <v>18.052838757320675</v>
      </c>
      <c r="AP62" s="42">
        <v>20.512906927109125</v>
      </c>
      <c r="AQ62" s="42">
        <v>25.32906754941634</v>
      </c>
      <c r="AR62" s="42">
        <v>26.247732283823083</v>
      </c>
      <c r="AS62" s="42">
        <v>48.286376102014216</v>
      </c>
      <c r="AT62" s="42">
        <v>44.998235638954817</v>
      </c>
      <c r="AU62" s="42">
        <v>54.801424237767577</v>
      </c>
      <c r="AV62" s="42">
        <v>44.433486434340153</v>
      </c>
      <c r="AW62" s="42">
        <v>50.446270937558687</v>
      </c>
      <c r="AX62" s="42">
        <v>48.962063391784916</v>
      </c>
      <c r="AY62" s="42">
        <v>87.993930028855843</v>
      </c>
      <c r="AZ62" s="42">
        <v>109.72380558448728</v>
      </c>
      <c r="BA62" s="42">
        <v>374.31709912009603</v>
      </c>
      <c r="BB62" s="42">
        <v>484.04090470458334</v>
      </c>
      <c r="BC62" s="42">
        <f t="shared" si="21"/>
        <v>109.72375797519652</v>
      </c>
      <c r="BD62" s="42">
        <v>374.317098365974</v>
      </c>
      <c r="BE62" s="42">
        <v>484.04085634117052</v>
      </c>
      <c r="BF62" s="44">
        <f t="shared" ref="BF62:CI62" si="128">BF63+BF67</f>
        <v>1.6231132699999999</v>
      </c>
      <c r="BG62" s="44">
        <f t="shared" si="128"/>
        <v>24.3876092</v>
      </c>
      <c r="BH62" s="44">
        <f t="shared" si="128"/>
        <v>26.010722999999999</v>
      </c>
      <c r="BI62" s="44">
        <f t="shared" si="128"/>
        <v>1.76851896</v>
      </c>
      <c r="BJ62" s="44">
        <f t="shared" si="128"/>
        <v>14.855166020000002</v>
      </c>
      <c r="BK62" s="44">
        <f t="shared" si="128"/>
        <v>16.623683620000001</v>
      </c>
      <c r="BL62" s="44">
        <f t="shared" si="128"/>
        <v>1.80223972</v>
      </c>
      <c r="BM62" s="44">
        <f t="shared" si="128"/>
        <v>19.762891519999997</v>
      </c>
      <c r="BN62" s="44">
        <f t="shared" si="128"/>
        <v>21.56513253</v>
      </c>
      <c r="BO62" s="44">
        <f t="shared" si="128"/>
        <v>6.6529488199999998</v>
      </c>
      <c r="BP62" s="44">
        <f t="shared" si="128"/>
        <v>17.747959799999997</v>
      </c>
      <c r="BQ62" s="44">
        <f t="shared" si="128"/>
        <v>24.400908359999999</v>
      </c>
      <c r="BR62" s="44">
        <f t="shared" si="128"/>
        <v>3.35672616</v>
      </c>
      <c r="BS62" s="44">
        <f t="shared" si="128"/>
        <v>14.025691779999999</v>
      </c>
      <c r="BT62" s="44">
        <f t="shared" si="128"/>
        <v>17.3824176</v>
      </c>
      <c r="BU62" s="44">
        <f t="shared" si="128"/>
        <v>6.3921169199999994</v>
      </c>
      <c r="BV62" s="44">
        <f t="shared" si="128"/>
        <v>24.234726289999998</v>
      </c>
      <c r="BW62" s="44">
        <f t="shared" si="128"/>
        <v>30.626844309999999</v>
      </c>
      <c r="BX62" s="44">
        <f t="shared" si="128"/>
        <v>7.3512421200000038</v>
      </c>
      <c r="BY62" s="44">
        <f t="shared" si="128"/>
        <v>29.217573000000002</v>
      </c>
      <c r="BZ62" s="44">
        <f t="shared" si="128"/>
        <v>36.568815120000004</v>
      </c>
      <c r="CA62" s="44">
        <f t="shared" si="128"/>
        <v>13.72369561</v>
      </c>
      <c r="CB62" s="44">
        <f t="shared" si="128"/>
        <v>39.056756219999997</v>
      </c>
      <c r="CC62" s="44">
        <f t="shared" si="128"/>
        <v>52.78045169</v>
      </c>
      <c r="CD62" s="44">
        <f t="shared" si="128"/>
        <v>13.970358750000001</v>
      </c>
      <c r="CE62" s="44">
        <f t="shared" si="128"/>
        <v>26.88552894</v>
      </c>
      <c r="CF62" s="44">
        <f t="shared" si="128"/>
        <v>40.855887690000003</v>
      </c>
      <c r="CG62" s="44">
        <f t="shared" si="128"/>
        <v>13.321113579999993</v>
      </c>
      <c r="CH62" s="44">
        <f t="shared" si="128"/>
        <v>38.157454399999992</v>
      </c>
      <c r="CI62" s="44">
        <f t="shared" si="128"/>
        <v>51.47856797999998</v>
      </c>
      <c r="CJ62" s="44">
        <f t="shared" ref="CJ62:CO62" si="129">CJ63+CJ67</f>
        <v>18.680885839999998</v>
      </c>
      <c r="CK62" s="44">
        <f t="shared" si="129"/>
        <v>32.392267349999997</v>
      </c>
      <c r="CL62" s="44">
        <f t="shared" si="129"/>
        <v>51.073153189999999</v>
      </c>
      <c r="CM62" s="44">
        <f t="shared" si="129"/>
        <v>46.28041026999999</v>
      </c>
      <c r="CN62" s="44">
        <f t="shared" si="129"/>
        <v>68.307159949999985</v>
      </c>
      <c r="CO62" s="44">
        <f t="shared" si="129"/>
        <v>114.58757021999998</v>
      </c>
      <c r="CP62" s="50">
        <f t="shared" si="24"/>
        <v>134.92337001999999</v>
      </c>
      <c r="CQ62" s="50">
        <f t="shared" si="25"/>
        <v>349.03078446999996</v>
      </c>
      <c r="CR62" s="50">
        <f t="shared" si="26"/>
        <v>483.95415530999992</v>
      </c>
      <c r="CS62" s="42">
        <f t="shared" si="123"/>
        <v>136.13418699999994</v>
      </c>
      <c r="CT62" s="42">
        <f>CT63+CT67</f>
        <v>349.03078400000004</v>
      </c>
      <c r="CU62" s="42">
        <f>CU63+CU67</f>
        <v>485.16497099999998</v>
      </c>
      <c r="CV62" s="44">
        <f>CV63+CV67</f>
        <v>1.9938415199999997</v>
      </c>
      <c r="CW62" s="44">
        <f>CW63+CW67</f>
        <v>19.904015280000003</v>
      </c>
      <c r="CX62" s="44">
        <f>CX63+CX67</f>
        <v>21.897856800000003</v>
      </c>
      <c r="CY62" s="44">
        <v>2.3686030099999988</v>
      </c>
      <c r="CZ62" s="44">
        <v>18.469974129999997</v>
      </c>
      <c r="DA62" s="44">
        <v>20.838577139999995</v>
      </c>
      <c r="DB62" s="44">
        <v>3.8971555299999987</v>
      </c>
      <c r="DC62" s="44">
        <v>16.187039019999997</v>
      </c>
      <c r="DD62" s="44">
        <v>20.084194549999996</v>
      </c>
      <c r="DE62" s="44">
        <v>6.6643683500000002</v>
      </c>
      <c r="DF62" s="44">
        <v>15.192505259999999</v>
      </c>
      <c r="DG62" s="44">
        <v>21.856873610000001</v>
      </c>
      <c r="DH62" s="44">
        <v>12.716012880000008</v>
      </c>
      <c r="DI62" s="44">
        <v>16.56041857</v>
      </c>
      <c r="DJ62" s="44">
        <v>29.276431450000004</v>
      </c>
      <c r="DK62" s="44">
        <v>8.8707723400000003</v>
      </c>
      <c r="DL62" s="44">
        <v>29.526587429999999</v>
      </c>
      <c r="DM62" s="44">
        <v>38.397359769999994</v>
      </c>
      <c r="DN62" s="44">
        <v>15.450164229999995</v>
      </c>
      <c r="DO62" s="44">
        <v>35.852965149999996</v>
      </c>
      <c r="DP62" s="44">
        <v>51.303129379999994</v>
      </c>
      <c r="DQ62" s="44">
        <v>14.418497849999998</v>
      </c>
      <c r="DR62" s="44">
        <v>38.180743130000018</v>
      </c>
      <c r="DS62" s="44">
        <v>52.599240980000012</v>
      </c>
      <c r="DT62" s="44">
        <v>18.712340340000004</v>
      </c>
      <c r="DU62" s="44">
        <v>19.572800100000002</v>
      </c>
      <c r="DV62" s="44">
        <v>38.285140440000006</v>
      </c>
      <c r="DW62" s="44">
        <v>17.877987409999992</v>
      </c>
      <c r="DX62" s="44">
        <v>28.399637030000008</v>
      </c>
      <c r="DY62" s="44">
        <v>46.277624440000004</v>
      </c>
      <c r="DZ62" s="44">
        <v>14.167606860000001</v>
      </c>
      <c r="EA62" s="44">
        <v>36.531424919999999</v>
      </c>
      <c r="EB62" s="44">
        <v>50.699031779999999</v>
      </c>
      <c r="EC62" s="44">
        <v>58.136441010000013</v>
      </c>
      <c r="ED62" s="44">
        <v>80.459003619999976</v>
      </c>
      <c r="EE62" s="44">
        <v>138.59544463</v>
      </c>
      <c r="EF62" s="50">
        <f t="shared" si="27"/>
        <v>175.27379132999999</v>
      </c>
      <c r="EG62" s="50">
        <f t="shared" si="28"/>
        <v>354.83711363999998</v>
      </c>
      <c r="EH62" s="50">
        <f t="shared" si="29"/>
        <v>530.11090496999998</v>
      </c>
      <c r="EI62" s="50">
        <f t="shared" si="94"/>
        <v>175.28122299999995</v>
      </c>
      <c r="EJ62" s="50">
        <f>EJ63+EJ67</f>
        <v>354.83698900000002</v>
      </c>
      <c r="EK62" s="50">
        <f>EK63+EK67</f>
        <v>530.11821199999997</v>
      </c>
      <c r="EL62" s="50">
        <v>10.960348849999999</v>
      </c>
      <c r="EM62" s="50">
        <v>7.8414579500000015</v>
      </c>
      <c r="EN62" s="50">
        <v>18.801806800000001</v>
      </c>
      <c r="EO62" s="50">
        <v>6.4572712499999989</v>
      </c>
      <c r="EP62" s="50">
        <v>5.6910119900000007</v>
      </c>
      <c r="EQ62" s="50">
        <v>12.148283240000001</v>
      </c>
      <c r="ER62" s="50">
        <v>6.5968569399999968</v>
      </c>
      <c r="ES62" s="50">
        <v>8.8065909099999988</v>
      </c>
      <c r="ET62" s="50">
        <v>15.403447849999997</v>
      </c>
      <c r="EU62" s="50">
        <v>8.7969942099999994</v>
      </c>
      <c r="EV62" s="50">
        <v>15.877580010000003</v>
      </c>
      <c r="EW62" s="50">
        <v>24.67457422</v>
      </c>
      <c r="EX62" s="50">
        <v>12.479951069999998</v>
      </c>
      <c r="EY62" s="50">
        <v>7.3328795600000012</v>
      </c>
      <c r="EZ62" s="50">
        <v>19.812830629999997</v>
      </c>
      <c r="FA62" s="50">
        <v>13.467390280000002</v>
      </c>
      <c r="FB62" s="50">
        <v>7.5199123599999993</v>
      </c>
      <c r="FC62" s="50">
        <v>20.987302640000003</v>
      </c>
      <c r="FD62" s="50">
        <v>12.368141809999999</v>
      </c>
      <c r="FE62" s="50">
        <v>16.642774249999999</v>
      </c>
      <c r="FF62" s="50">
        <v>29.010916059999996</v>
      </c>
      <c r="FG62" s="50">
        <v>21.484314799999996</v>
      </c>
      <c r="FH62" s="50">
        <v>27.525554250000003</v>
      </c>
      <c r="FI62" s="50">
        <v>49.009869049999992</v>
      </c>
      <c r="FJ62" s="50">
        <v>22.323470700000009</v>
      </c>
      <c r="FK62" s="50">
        <v>14.384515599999999</v>
      </c>
      <c r="FL62" s="50">
        <v>36.707986300000009</v>
      </c>
      <c r="FM62" s="50">
        <v>25.534968720000013</v>
      </c>
      <c r="FN62" s="50">
        <v>21.011472779999995</v>
      </c>
      <c r="FO62" s="50">
        <v>46.546441500000007</v>
      </c>
      <c r="FP62" s="50">
        <v>19.350214750000006</v>
      </c>
      <c r="FQ62" s="50">
        <v>18.596986759999997</v>
      </c>
      <c r="FR62" s="50">
        <v>37.947201510000006</v>
      </c>
      <c r="FS62" s="50">
        <v>55.653949189999992</v>
      </c>
      <c r="FT62" s="50">
        <v>13.509262709999993</v>
      </c>
      <c r="FU62" s="50">
        <v>69.163211899999979</v>
      </c>
      <c r="FV62" s="50">
        <f t="shared" si="30"/>
        <v>215.47387257000003</v>
      </c>
      <c r="FW62" s="50">
        <f t="shared" si="31"/>
        <v>164.73999913</v>
      </c>
      <c r="FX62" s="50">
        <f t="shared" si="32"/>
        <v>380.21387169999997</v>
      </c>
      <c r="FY62" s="50">
        <f t="shared" si="95"/>
        <v>215.47244999999998</v>
      </c>
      <c r="FZ62" s="50">
        <f>FZ63+FZ67</f>
        <v>164.73999800000001</v>
      </c>
      <c r="GA62" s="50">
        <f>GA63+GA67</f>
        <v>380.21244799999999</v>
      </c>
      <c r="GB62" s="50">
        <v>11.744972449999997</v>
      </c>
      <c r="GC62" s="50">
        <v>7.30120258</v>
      </c>
      <c r="GD62" s="50">
        <v>19.046175029999997</v>
      </c>
      <c r="GE62" s="50">
        <v>6.3542422000000007</v>
      </c>
      <c r="GF62" s="50">
        <v>10.592712610000003</v>
      </c>
      <c r="GG62" s="50">
        <v>16.946954810000001</v>
      </c>
      <c r="GH62" s="50">
        <v>14.768650789999997</v>
      </c>
      <c r="GI62" s="50">
        <v>5.5887311399999993</v>
      </c>
      <c r="GJ62" s="50">
        <v>20.357381929999995</v>
      </c>
      <c r="GK62" s="50">
        <v>14.436060419999997</v>
      </c>
      <c r="GL62" s="50">
        <v>9.1032139599999997</v>
      </c>
      <c r="GM62" s="50">
        <v>23.539274379999998</v>
      </c>
      <c r="GN62" s="50">
        <v>17.452771440000006</v>
      </c>
      <c r="GO62" s="50">
        <v>18.567346430000001</v>
      </c>
      <c r="GP62" s="50">
        <v>36.020117870000007</v>
      </c>
      <c r="GQ62" s="50">
        <v>17.281577680000002</v>
      </c>
      <c r="GR62" s="50">
        <v>20.691961729999999</v>
      </c>
      <c r="GS62" s="50">
        <v>37.973539410000001</v>
      </c>
      <c r="GT62" s="50">
        <v>17.809134719999989</v>
      </c>
      <c r="GU62" s="50">
        <v>26.643247410000001</v>
      </c>
      <c r="GV62" s="50">
        <v>44.45238212999999</v>
      </c>
      <c r="GW62" s="50">
        <v>23.375722939999999</v>
      </c>
      <c r="GX62" s="50">
        <v>33.613441920000007</v>
      </c>
      <c r="GY62" s="50">
        <v>56.989164860000002</v>
      </c>
      <c r="GZ62" s="50">
        <v>29.256619740000005</v>
      </c>
      <c r="HA62" s="50">
        <v>25.909780419999997</v>
      </c>
      <c r="HB62" s="50">
        <v>55.166400160000002</v>
      </c>
      <c r="HC62" s="50">
        <v>21.207597499999999</v>
      </c>
      <c r="HD62" s="50">
        <v>31.461353899999999</v>
      </c>
      <c r="HE62" s="50">
        <v>52.668951399999997</v>
      </c>
      <c r="HF62" s="50">
        <v>24.650463989999984</v>
      </c>
      <c r="HG62" s="50">
        <v>28.939561689999998</v>
      </c>
      <c r="HH62" s="50">
        <v>53.590025679999982</v>
      </c>
      <c r="HI62" s="50">
        <v>86.385901680000032</v>
      </c>
      <c r="HJ62" s="50">
        <v>36.815335099999999</v>
      </c>
      <c r="HK62" s="50">
        <v>123.20123678000002</v>
      </c>
      <c r="HL62" s="50">
        <f t="shared" si="33"/>
        <v>284.72371555000001</v>
      </c>
      <c r="HM62" s="50">
        <f t="shared" si="34"/>
        <v>255.22788889000003</v>
      </c>
      <c r="HN62" s="50">
        <f t="shared" si="35"/>
        <v>539.95160443999998</v>
      </c>
      <c r="HO62" s="50">
        <f t="shared" si="96"/>
        <v>282.52705699999996</v>
      </c>
      <c r="HP62" s="50">
        <f>HP63+HP67</f>
        <v>255.24728099999999</v>
      </c>
      <c r="HQ62" s="50">
        <f>HQ63+HQ67</f>
        <v>537.77433799999994</v>
      </c>
      <c r="HR62" s="50">
        <v>9.1250736299999993</v>
      </c>
      <c r="HS62" s="50">
        <v>15.23596573</v>
      </c>
      <c r="HT62" s="50">
        <v>24.361039359999999</v>
      </c>
      <c r="HU62" s="50">
        <v>6.6660698600000012</v>
      </c>
      <c r="HV62" s="50">
        <v>14.040900349999999</v>
      </c>
      <c r="HW62" s="50">
        <v>20.706970210000001</v>
      </c>
      <c r="HX62" s="50">
        <v>10.068497509999998</v>
      </c>
      <c r="HY62" s="50">
        <v>21.969976319999997</v>
      </c>
      <c r="HZ62" s="50">
        <v>32.038473830000001</v>
      </c>
      <c r="IA62" s="50">
        <v>13.073013110000002</v>
      </c>
      <c r="IB62" s="50">
        <v>19.846287230000002</v>
      </c>
      <c r="IC62" s="50">
        <v>32.919300340000007</v>
      </c>
      <c r="ID62" s="50">
        <v>12.59114713</v>
      </c>
      <c r="IE62" s="50">
        <v>28.111107579999999</v>
      </c>
      <c r="IF62" s="50">
        <v>40.702254709999991</v>
      </c>
      <c r="IG62" s="50">
        <v>28.666890289999987</v>
      </c>
      <c r="IH62" s="50">
        <v>44.222033259999996</v>
      </c>
      <c r="II62" s="50">
        <v>72.888923549999987</v>
      </c>
      <c r="IJ62" s="50">
        <v>24.909323459999996</v>
      </c>
      <c r="IK62" s="50">
        <v>44.592504599999998</v>
      </c>
      <c r="IL62" s="50">
        <v>69.501828059999994</v>
      </c>
      <c r="IM62" s="50">
        <v>27.225499330000009</v>
      </c>
      <c r="IN62" s="50">
        <v>44.403823350000003</v>
      </c>
      <c r="IO62" s="50">
        <v>71.629322680000016</v>
      </c>
      <c r="IP62" s="50">
        <v>28.842254090000004</v>
      </c>
      <c r="IQ62" s="50">
        <v>39.85652687000001</v>
      </c>
      <c r="IR62" s="50">
        <v>68.698780959999979</v>
      </c>
      <c r="IS62" s="50">
        <v>28.543941360000002</v>
      </c>
      <c r="IT62" s="50">
        <v>34.930224289999998</v>
      </c>
      <c r="IU62" s="50">
        <v>63.474165649999996</v>
      </c>
      <c r="IV62" s="50">
        <v>35.562599530000014</v>
      </c>
      <c r="IW62" s="50">
        <v>52.983320829999982</v>
      </c>
      <c r="IX62" s="50">
        <v>88.545920359999997</v>
      </c>
      <c r="IY62" s="50">
        <v>66.583692469999974</v>
      </c>
      <c r="IZ62" s="50">
        <v>58.519724750000009</v>
      </c>
      <c r="JA62" s="50">
        <v>125.10341721999997</v>
      </c>
      <c r="JB62" s="50">
        <f t="shared" si="36"/>
        <v>291.85800176999999</v>
      </c>
      <c r="JC62" s="50">
        <f t="shared" si="37"/>
        <v>418.71239516000003</v>
      </c>
      <c r="JD62" s="50">
        <f t="shared" si="38"/>
        <v>710.5703969299999</v>
      </c>
      <c r="JE62" s="50">
        <f t="shared" si="97"/>
        <v>291.85966599999995</v>
      </c>
      <c r="JF62" s="50">
        <f>JF63+JF67</f>
        <v>418.71738900000003</v>
      </c>
      <c r="JG62" s="50">
        <f>JG63+JG67</f>
        <v>710.57705499999997</v>
      </c>
      <c r="JH62" s="50">
        <v>36.379492940000013</v>
      </c>
      <c r="JI62" s="50">
        <v>40.412443850000002</v>
      </c>
      <c r="JJ62" s="50">
        <v>76.791936789999994</v>
      </c>
      <c r="JK62" s="50">
        <v>8.9646808400000033</v>
      </c>
      <c r="JL62" s="50">
        <v>33.164688749999996</v>
      </c>
      <c r="JM62" s="50">
        <v>42.129369589999996</v>
      </c>
      <c r="JN62" s="50">
        <v>12.547211379999998</v>
      </c>
      <c r="JO62" s="50">
        <v>31.794532909999997</v>
      </c>
      <c r="JP62" s="50">
        <v>44.341744289999994</v>
      </c>
      <c r="JQ62" s="50">
        <v>8.2839219799999988</v>
      </c>
      <c r="JR62" s="50">
        <v>27.904682869999998</v>
      </c>
      <c r="JS62" s="50">
        <v>36.188604850000004</v>
      </c>
      <c r="JT62" s="50">
        <v>14.734048639999999</v>
      </c>
      <c r="JU62" s="50">
        <v>27.59824729</v>
      </c>
      <c r="JV62" s="50">
        <v>42.332295930000001</v>
      </c>
      <c r="JW62" s="50">
        <v>21.810246199999991</v>
      </c>
      <c r="JX62" s="50">
        <v>28.492146000000002</v>
      </c>
      <c r="JY62" s="50">
        <v>50.302392199999979</v>
      </c>
      <c r="JZ62" s="50">
        <v>23.631118799999992</v>
      </c>
      <c r="KA62" s="50">
        <v>48.895102619999996</v>
      </c>
      <c r="KB62" s="50">
        <v>72.526221419999999</v>
      </c>
      <c r="KC62" s="50">
        <v>40.98058915999998</v>
      </c>
      <c r="KD62" s="50">
        <v>32.52574517</v>
      </c>
      <c r="KE62" s="50">
        <v>73.506334329999987</v>
      </c>
      <c r="KF62" s="50">
        <v>28.811509170000004</v>
      </c>
      <c r="KG62" s="50">
        <v>25.984340000000003</v>
      </c>
      <c r="KH62" s="50">
        <v>54.795849170000018</v>
      </c>
      <c r="KI62" s="50">
        <v>21.672777660000005</v>
      </c>
      <c r="KJ62" s="50">
        <v>39.039989410000004</v>
      </c>
      <c r="KK62" s="50">
        <v>60.712767070000012</v>
      </c>
      <c r="KL62" s="50">
        <v>43.54608132000002</v>
      </c>
      <c r="KM62" s="50">
        <v>29.490596680000003</v>
      </c>
      <c r="KN62" s="50">
        <v>73.036677999999995</v>
      </c>
      <c r="KO62" s="50">
        <v>82.596498260000004</v>
      </c>
      <c r="KP62" s="50">
        <v>54.740248640000011</v>
      </c>
      <c r="KQ62" s="50">
        <v>137.33674689999998</v>
      </c>
      <c r="KR62" s="50">
        <f t="shared" si="48"/>
        <v>343.95817635000003</v>
      </c>
      <c r="KS62" s="50">
        <f t="shared" si="39"/>
        <v>420.04276419000001</v>
      </c>
      <c r="KT62" s="50">
        <f t="shared" si="49"/>
        <v>764.00094053999987</v>
      </c>
      <c r="KU62" s="50">
        <f t="shared" si="98"/>
        <v>343.90175600000003</v>
      </c>
      <c r="KV62" s="50">
        <f>KV63+KV67</f>
        <v>420.04276399999998</v>
      </c>
      <c r="KW62" s="210">
        <f>KW63+KW67</f>
        <v>763.94452000000001</v>
      </c>
      <c r="KX62" s="50">
        <v>37.317854679999996</v>
      </c>
      <c r="KY62" s="50">
        <v>39.873084980000009</v>
      </c>
      <c r="KZ62" s="50">
        <v>77.190939660000012</v>
      </c>
      <c r="LA62" s="50">
        <v>9.3750143700000006</v>
      </c>
      <c r="LB62" s="50">
        <v>24.954581210000001</v>
      </c>
      <c r="LC62" s="50">
        <v>34.329595579999996</v>
      </c>
      <c r="LD62" s="50">
        <v>15.305815619999997</v>
      </c>
      <c r="LE62" s="50">
        <v>20.411834700000004</v>
      </c>
      <c r="LF62" s="87">
        <v>35.71765031999999</v>
      </c>
      <c r="LG62" s="50">
        <v>19.795231170000005</v>
      </c>
      <c r="LH62" s="50">
        <v>17.622195310000002</v>
      </c>
      <c r="LI62" s="175">
        <v>37.41742648000001</v>
      </c>
      <c r="LJ62" s="174">
        <v>19.160043509999998</v>
      </c>
      <c r="LK62" s="50">
        <v>18.169313840000004</v>
      </c>
      <c r="LL62" s="174">
        <v>37.329357350000002</v>
      </c>
      <c r="LM62" s="50">
        <v>15.135263820000002</v>
      </c>
      <c r="LN62" s="50">
        <v>21.233811039999999</v>
      </c>
      <c r="LO62" s="50">
        <v>36.369074859999998</v>
      </c>
      <c r="LP62" s="44">
        <v>37.234793379999985</v>
      </c>
      <c r="LQ62" s="44">
        <v>37.364157409999997</v>
      </c>
      <c r="LR62" s="44">
        <v>74.598950790000004</v>
      </c>
      <c r="LS62" s="52">
        <v>27.893421069999999</v>
      </c>
      <c r="LT62" s="44">
        <v>29.242936370000002</v>
      </c>
      <c r="LU62" s="49">
        <v>57.136357439999998</v>
      </c>
      <c r="LV62" s="44">
        <v>47.236815749999977</v>
      </c>
      <c r="LW62" s="44">
        <v>24.77722997</v>
      </c>
      <c r="LX62" s="44">
        <v>72.01404571999997</v>
      </c>
      <c r="LY62" s="44">
        <v>57.584534360000006</v>
      </c>
      <c r="LZ62" s="44">
        <v>25.234466519999994</v>
      </c>
      <c r="MA62" s="44">
        <v>82.819000879999976</v>
      </c>
      <c r="MB62" s="44">
        <v>35.089696780000011</v>
      </c>
      <c r="MC62" s="44">
        <v>27.925252359999998</v>
      </c>
      <c r="MD62" s="44">
        <v>63.014949140000006</v>
      </c>
      <c r="ME62" s="44">
        <v>133.50550069000002</v>
      </c>
      <c r="MF62" s="44">
        <v>48.490137310000009</v>
      </c>
      <c r="MG62" s="44">
        <v>181.99563800000004</v>
      </c>
      <c r="MH62" s="50">
        <f t="shared" si="66"/>
        <v>454.63398519999998</v>
      </c>
      <c r="MI62" s="50">
        <f t="shared" si="50"/>
        <v>335.29900102000005</v>
      </c>
      <c r="MJ62" s="50">
        <f t="shared" si="51"/>
        <v>789.93298621999998</v>
      </c>
      <c r="MK62" s="50">
        <f t="shared" si="99"/>
        <v>454.49340200000006</v>
      </c>
      <c r="ML62" s="50">
        <f>ML63+ML67</f>
        <v>335.29852900000003</v>
      </c>
      <c r="MM62" s="50">
        <f>MM63+MM67</f>
        <v>789.79193100000009</v>
      </c>
      <c r="MN62" s="44">
        <v>24.254080379999998</v>
      </c>
      <c r="MO62" s="44">
        <v>19.488340340000001</v>
      </c>
      <c r="MP62" s="44">
        <v>43.742420719999998</v>
      </c>
      <c r="MQ62" s="44">
        <v>7.0504086300000033</v>
      </c>
      <c r="MR62" s="44">
        <v>30.211862440000001</v>
      </c>
      <c r="MS62" s="44">
        <v>37.26227106999999</v>
      </c>
      <c r="MT62" s="50">
        <v>10.142912040000004</v>
      </c>
      <c r="MU62" s="50">
        <v>17.775645320000002</v>
      </c>
      <c r="MV62" s="50">
        <v>27.918557360000008</v>
      </c>
      <c r="MW62" s="44">
        <v>13.971038020000007</v>
      </c>
      <c r="MX62" s="44">
        <v>19.168277109999998</v>
      </c>
      <c r="MY62" s="44">
        <v>33.13931513</v>
      </c>
      <c r="MZ62" s="44">
        <v>13.447424280000003</v>
      </c>
      <c r="NA62" s="44">
        <v>24.805490550000005</v>
      </c>
      <c r="NB62" s="44">
        <v>38.252914830000002</v>
      </c>
      <c r="NC62" s="44">
        <v>34.69255682</v>
      </c>
      <c r="ND62" s="44">
        <v>24.39743825</v>
      </c>
      <c r="NE62" s="44">
        <v>59.089995070000001</v>
      </c>
      <c r="NF62" s="44">
        <v>73.406102589999975</v>
      </c>
      <c r="NG62" s="44">
        <v>16.473789779999997</v>
      </c>
      <c r="NH62" s="44">
        <v>89.879892370000007</v>
      </c>
      <c r="NI62" s="44">
        <v>49.897704999999974</v>
      </c>
      <c r="NJ62" s="44">
        <v>32.71354706000001</v>
      </c>
      <c r="NK62" s="44">
        <v>82.611252059999956</v>
      </c>
      <c r="NL62" s="44">
        <v>55.689568629999997</v>
      </c>
      <c r="NM62" s="44">
        <v>19.340208179999998</v>
      </c>
      <c r="NN62" s="44">
        <v>75.029776810000001</v>
      </c>
      <c r="NO62" s="44">
        <v>49.271959000000003</v>
      </c>
      <c r="NP62" s="44">
        <v>19.93537091</v>
      </c>
      <c r="NQ62" s="44">
        <v>69.207329910000013</v>
      </c>
      <c r="NR62" s="44">
        <v>62.855544020000004</v>
      </c>
      <c r="NS62" s="44">
        <v>21.033756679999993</v>
      </c>
      <c r="NT62" s="44">
        <v>83.889300700000007</v>
      </c>
      <c r="NU62" s="44">
        <v>123.78797318999997</v>
      </c>
      <c r="NV62" s="44">
        <v>44.024994839999991</v>
      </c>
      <c r="NW62" s="44">
        <v>167.81296803000004</v>
      </c>
      <c r="NX62" s="50">
        <f t="shared" si="117"/>
        <v>518.46727259999989</v>
      </c>
      <c r="NY62" s="50">
        <f t="shared" si="40"/>
        <v>289.36872145999996</v>
      </c>
      <c r="NZ62" s="50">
        <f t="shared" si="41"/>
        <v>807.83599406000008</v>
      </c>
      <c r="OA62" s="50">
        <f t="shared" si="100"/>
        <v>518.35883899999999</v>
      </c>
      <c r="OB62" s="50">
        <f>OB63+OB67</f>
        <v>289.36872299999999</v>
      </c>
      <c r="OC62" s="50">
        <f>OC63+OC67</f>
        <v>807.72756200000003</v>
      </c>
      <c r="OD62" s="44">
        <v>25.35459968</v>
      </c>
      <c r="OE62" s="44">
        <v>17.479533460000003</v>
      </c>
      <c r="OF62" s="44">
        <v>42.834133139999999</v>
      </c>
      <c r="OG62" s="50">
        <v>23.301830919999986</v>
      </c>
      <c r="OH62" s="44">
        <v>8.6662272799999993</v>
      </c>
      <c r="OI62" s="44">
        <v>31.968058199999984</v>
      </c>
      <c r="OJ62" s="44">
        <f t="shared" si="107"/>
        <v>23.209969899999994</v>
      </c>
      <c r="OK62" s="44">
        <v>26.380247740000005</v>
      </c>
      <c r="OL62" s="44">
        <v>49.590217639999999</v>
      </c>
      <c r="OM62" s="44">
        <v>31.866859609999992</v>
      </c>
      <c r="ON62" s="44">
        <v>16.124093999999999</v>
      </c>
      <c r="OO62" s="44">
        <v>47.990953610000012</v>
      </c>
      <c r="OP62" s="44">
        <v>15.640128989999997</v>
      </c>
      <c r="OQ62" s="44">
        <v>9.865393840000003</v>
      </c>
      <c r="OR62" s="44">
        <v>25.505522829999993</v>
      </c>
      <c r="OS62" s="44">
        <v>38.983109740000003</v>
      </c>
      <c r="OT62" s="44">
        <v>17.871472860000001</v>
      </c>
      <c r="OU62" s="44">
        <v>56.854582600000008</v>
      </c>
      <c r="OV62" s="44">
        <v>72.618811990000012</v>
      </c>
      <c r="OW62" s="44">
        <v>18.958130879999995</v>
      </c>
      <c r="OX62" s="44">
        <v>91.576942870000039</v>
      </c>
      <c r="OY62" s="95">
        <v>52.502472869999991</v>
      </c>
      <c r="OZ62" s="95">
        <v>23.664386690000004</v>
      </c>
      <c r="PA62" s="95">
        <v>76.16685956000002</v>
      </c>
      <c r="PB62" s="44">
        <v>53.793305679999989</v>
      </c>
      <c r="PC62" s="44">
        <v>15.307266170000002</v>
      </c>
      <c r="PD62" s="44">
        <v>69.100571850000009</v>
      </c>
      <c r="PE62" s="44">
        <v>69.592977190000028</v>
      </c>
      <c r="PF62" s="44">
        <v>24.580682310000004</v>
      </c>
      <c r="PG62" s="44">
        <v>94.173659500000056</v>
      </c>
      <c r="PH62" s="44">
        <v>51.914419189999975</v>
      </c>
      <c r="PI62" s="44">
        <v>19.45969748000001</v>
      </c>
      <c r="PJ62" s="44">
        <v>71.374116669999978</v>
      </c>
      <c r="PK62" s="44">
        <v>158.00073967999992</v>
      </c>
      <c r="PL62" s="44">
        <v>43.730932810000013</v>
      </c>
      <c r="PM62" s="44">
        <v>201.73167248999994</v>
      </c>
      <c r="PN62" s="50">
        <f t="shared" si="122"/>
        <v>616.77922543999989</v>
      </c>
      <c r="PO62" s="50">
        <f t="shared" si="108"/>
        <v>242.08806552000004</v>
      </c>
      <c r="PP62" s="50">
        <f t="shared" si="116"/>
        <v>858.86729095999999</v>
      </c>
      <c r="PQ62" s="50">
        <f t="shared" si="118"/>
        <v>616.75112092999984</v>
      </c>
      <c r="PR62" s="50">
        <f>PR63+PR67</f>
        <v>242.04840207000001</v>
      </c>
      <c r="PS62" s="50">
        <f>PS63+PS67</f>
        <v>858.79952299999991</v>
      </c>
      <c r="PT62" s="44">
        <v>44.971750730000004</v>
      </c>
      <c r="PU62" s="44">
        <v>25.41594216</v>
      </c>
      <c r="PV62" s="44">
        <v>70.387692889999997</v>
      </c>
      <c r="PW62" s="44">
        <v>10.694332290000004</v>
      </c>
      <c r="PX62" s="44">
        <v>22.133489670000003</v>
      </c>
      <c r="PY62" s="44">
        <v>32.827821960000009</v>
      </c>
      <c r="PZ62" s="44">
        <v>20.913136420000001</v>
      </c>
      <c r="QA62" s="44">
        <v>21.244591419999999</v>
      </c>
      <c r="QB62" s="44">
        <v>42.157727840000007</v>
      </c>
      <c r="QC62" s="44">
        <v>25.489711329999995</v>
      </c>
      <c r="QD62" s="44">
        <v>38.714797129999994</v>
      </c>
      <c r="QE62" s="44">
        <v>64.20450846</v>
      </c>
      <c r="QF62" s="50">
        <v>32.161464230000021</v>
      </c>
      <c r="QG62" s="44">
        <v>26.372152669999995</v>
      </c>
      <c r="QH62" s="44">
        <v>58.533616900000013</v>
      </c>
      <c r="QI62" s="50">
        <v>66.227077069999979</v>
      </c>
      <c r="QJ62" s="44">
        <v>36.243033359999991</v>
      </c>
      <c r="QK62" s="44">
        <v>102.47011042999996</v>
      </c>
      <c r="QL62" s="44">
        <v>56.478738469999989</v>
      </c>
      <c r="QM62" s="44">
        <v>38.829563120000003</v>
      </c>
      <c r="QN62" s="44">
        <v>95.308301589999928</v>
      </c>
      <c r="QO62" s="50">
        <v>51.191447100000005</v>
      </c>
      <c r="QP62" s="44">
        <v>39.79154776</v>
      </c>
      <c r="QQ62" s="44">
        <v>90.982994860000005</v>
      </c>
      <c r="QR62" s="44">
        <v>51.052455260000016</v>
      </c>
      <c r="QS62" s="44">
        <v>31.603035009999999</v>
      </c>
      <c r="QT62" s="44">
        <v>82.655490269999987</v>
      </c>
      <c r="QU62" s="50">
        <v>61.828751899999986</v>
      </c>
      <c r="QV62" s="44">
        <v>25.099513510000005</v>
      </c>
      <c r="QW62" s="44">
        <v>86.928265409999995</v>
      </c>
      <c r="QX62" s="50">
        <v>32.372809459999942</v>
      </c>
      <c r="QY62" s="44">
        <v>23.991211240000016</v>
      </c>
      <c r="QZ62" s="44">
        <v>56.364020699999962</v>
      </c>
      <c r="RA62" s="50">
        <v>160.02974938999998</v>
      </c>
      <c r="RB62" s="44">
        <v>71.014011660000023</v>
      </c>
      <c r="RC62" s="44">
        <v>231.04376105</v>
      </c>
      <c r="RD62" s="50">
        <f t="shared" si="52"/>
        <v>613.41142364999996</v>
      </c>
      <c r="RE62" s="50">
        <f t="shared" si="53"/>
        <v>400.45288871000002</v>
      </c>
      <c r="RF62" s="50">
        <f t="shared" si="54"/>
        <v>1013.8643123599998</v>
      </c>
      <c r="RG62" s="50">
        <f t="shared" si="119"/>
        <v>613.41027800000006</v>
      </c>
      <c r="RH62" s="50">
        <f>RH63+RH67</f>
        <v>400.49254999999999</v>
      </c>
      <c r="RI62" s="50">
        <f>RI63+RI67</f>
        <v>1013.902828</v>
      </c>
      <c r="RJ62" s="50">
        <v>37.229954869999993</v>
      </c>
      <c r="RK62" s="50">
        <v>14.218550259999999</v>
      </c>
      <c r="RL62" s="50">
        <v>51.448505129999994</v>
      </c>
      <c r="RM62" s="50">
        <v>161.25914559999998</v>
      </c>
      <c r="RN62" s="50">
        <v>15.048039629999998</v>
      </c>
      <c r="RO62" s="50">
        <v>176.30718522999999</v>
      </c>
      <c r="RP62" s="50">
        <v>20.485024159999998</v>
      </c>
      <c r="RQ62" s="50">
        <v>11.941690670000005</v>
      </c>
      <c r="RR62" s="50">
        <v>32.426714829999995</v>
      </c>
      <c r="RS62" s="50">
        <v>56.296179409999958</v>
      </c>
      <c r="RT62" s="50">
        <v>33.847006409999999</v>
      </c>
      <c r="RU62" s="50">
        <v>90.143185819999957</v>
      </c>
      <c r="RV62" s="50">
        <v>37.821406259999975</v>
      </c>
      <c r="RW62" s="50">
        <v>24.584097789999991</v>
      </c>
      <c r="RX62" s="50">
        <v>62.405504049999969</v>
      </c>
      <c r="RY62" s="50">
        <v>39.606033660000008</v>
      </c>
      <c r="RZ62" s="50">
        <v>23.505717959999998</v>
      </c>
      <c r="SA62" s="50">
        <v>63.111751620000007</v>
      </c>
      <c r="SB62" s="50">
        <v>59.617044060000033</v>
      </c>
      <c r="SC62" s="50">
        <v>42.823807389999978</v>
      </c>
      <c r="SD62" s="50">
        <v>102.44085145000001</v>
      </c>
      <c r="SE62" s="50">
        <v>61.556356260000008</v>
      </c>
      <c r="SF62" s="50">
        <v>33.044869170000005</v>
      </c>
      <c r="SG62" s="50">
        <v>94.601225430000014</v>
      </c>
      <c r="SH62" s="50">
        <v>58.881341189999993</v>
      </c>
      <c r="SI62" s="50">
        <v>34.055389369999993</v>
      </c>
      <c r="SJ62" s="50">
        <v>92.936730559999987</v>
      </c>
      <c r="SK62" s="50">
        <v>75.614813889999994</v>
      </c>
      <c r="SL62" s="50">
        <v>43.762507550000016</v>
      </c>
      <c r="SM62" s="50">
        <v>119.37732144000005</v>
      </c>
      <c r="SN62" s="50">
        <v>49.049313760000018</v>
      </c>
      <c r="SO62" s="50">
        <v>33.780333210000009</v>
      </c>
      <c r="SP62" s="50">
        <v>82.829646970000027</v>
      </c>
      <c r="SQ62" s="50">
        <v>131.79770358000007</v>
      </c>
      <c r="SR62" s="50">
        <v>70.652217069999992</v>
      </c>
      <c r="SS62" s="50">
        <v>202.44992065000008</v>
      </c>
      <c r="ST62" s="50">
        <f t="shared" si="55"/>
        <v>789.21431669999993</v>
      </c>
      <c r="SU62" s="50">
        <f t="shared" si="65"/>
        <v>381.26422648000005</v>
      </c>
      <c r="SV62" s="50">
        <f t="shared" si="56"/>
        <v>1170.4785431800001</v>
      </c>
      <c r="SW62" s="50">
        <f t="shared" si="103"/>
        <v>789.21145299999989</v>
      </c>
      <c r="SX62" s="50">
        <f>SX63+SX67</f>
        <v>381.26422399999996</v>
      </c>
      <c r="SY62" s="50">
        <f>SY63+SY67</f>
        <v>1170.4756769999999</v>
      </c>
      <c r="SZ62" s="50">
        <v>55.867525070000021</v>
      </c>
      <c r="TA62" s="50">
        <v>49.126030029999988</v>
      </c>
      <c r="TB62" s="50">
        <v>104.99355509999997</v>
      </c>
      <c r="TC62" s="50">
        <v>19.17285343999999</v>
      </c>
      <c r="TD62" s="50">
        <v>54.92584938000001</v>
      </c>
      <c r="TE62" s="50">
        <v>74.09870282</v>
      </c>
      <c r="TF62" s="50">
        <v>105.11201185</v>
      </c>
      <c r="TG62" s="50">
        <v>27.599765590000004</v>
      </c>
      <c r="TH62" s="50">
        <v>132.71177743999999</v>
      </c>
      <c r="TI62" s="50">
        <v>67.837167530000102</v>
      </c>
      <c r="TJ62" s="50">
        <v>43.02294286999998</v>
      </c>
      <c r="TK62" s="50">
        <v>110.86011040000008</v>
      </c>
      <c r="TL62" s="50">
        <f>TN62-TM62</f>
        <v>32.189920499999971</v>
      </c>
      <c r="TM62" s="50">
        <v>41.457610039999992</v>
      </c>
      <c r="TN62" s="50">
        <v>73.647530539999963</v>
      </c>
      <c r="TO62" s="50">
        <v>85.237005360000069</v>
      </c>
      <c r="TP62" s="50">
        <v>67.261646879999972</v>
      </c>
      <c r="TQ62" s="50">
        <v>152.49865224000004</v>
      </c>
      <c r="TR62" s="50">
        <v>68.672664889999979</v>
      </c>
      <c r="TS62" s="50">
        <v>41.651782229999995</v>
      </c>
      <c r="TT62" s="50">
        <v>110.32444711999997</v>
      </c>
      <c r="TU62" s="50">
        <v>50.589496919999945</v>
      </c>
      <c r="TV62" s="50">
        <v>51.011187160000006</v>
      </c>
      <c r="TW62" s="50">
        <v>101.60068407999995</v>
      </c>
      <c r="TX62" s="50">
        <v>67.988176460000005</v>
      </c>
      <c r="TY62" s="50">
        <v>38.390861339999972</v>
      </c>
      <c r="TZ62" s="50">
        <v>106.37903779999998</v>
      </c>
      <c r="UA62" s="50">
        <v>62.925767130000054</v>
      </c>
      <c r="UB62" s="50">
        <v>73.046201420000045</v>
      </c>
      <c r="UC62" s="50">
        <v>135.9719685500001</v>
      </c>
      <c r="UD62" s="50">
        <v>61.170169139999963</v>
      </c>
      <c r="UE62" s="50">
        <v>43.640908800000012</v>
      </c>
      <c r="UF62" s="50">
        <v>104.81107793999998</v>
      </c>
      <c r="UG62" s="50">
        <v>166.54983523999979</v>
      </c>
      <c r="UH62" s="50">
        <v>80.289496080000021</v>
      </c>
      <c r="UI62" s="50">
        <v>246.83933131999981</v>
      </c>
      <c r="UJ62" s="50">
        <f t="shared" si="45"/>
        <v>843.31259352999984</v>
      </c>
      <c r="UK62" s="50">
        <f t="shared" si="15"/>
        <v>611.42428182000003</v>
      </c>
      <c r="UL62" s="50">
        <f t="shared" si="16"/>
        <v>1454.7368753499995</v>
      </c>
      <c r="UM62" s="50">
        <v>129.9289675</v>
      </c>
      <c r="UN62" s="50">
        <v>34.314729029999995</v>
      </c>
      <c r="UO62" s="50">
        <v>164.24369652999999</v>
      </c>
      <c r="UP62" s="50">
        <v>109.23882561000001</v>
      </c>
      <c r="UQ62" s="50">
        <v>30.826573729999989</v>
      </c>
      <c r="UR62" s="50">
        <v>140.06539934</v>
      </c>
      <c r="US62" s="50">
        <v>87.815207970000046</v>
      </c>
      <c r="UT62" s="50">
        <v>74.457803350000006</v>
      </c>
      <c r="UU62" s="50">
        <v>162.27301132000005</v>
      </c>
      <c r="UV62" s="50">
        <v>30.53777240000003</v>
      </c>
      <c r="UW62" s="50">
        <v>32.668935789999999</v>
      </c>
      <c r="UX62" s="50">
        <v>63.206708190000029</v>
      </c>
      <c r="UY62" s="50"/>
      <c r="UZ62" s="50"/>
      <c r="VA62" s="50"/>
      <c r="VB62" s="50"/>
      <c r="VC62" s="50"/>
      <c r="VD62" s="50"/>
      <c r="VE62" s="50"/>
      <c r="VF62" s="50"/>
      <c r="VG62" s="50"/>
      <c r="VH62" s="50"/>
      <c r="VI62" s="50"/>
      <c r="VJ62" s="50"/>
      <c r="VK62" s="50"/>
      <c r="VL62" s="50"/>
      <c r="VM62" s="50"/>
      <c r="VN62" s="50"/>
      <c r="VO62" s="50"/>
      <c r="VP62" s="50"/>
      <c r="VQ62" s="50"/>
      <c r="VR62" s="50"/>
      <c r="VS62" s="50"/>
      <c r="VT62" s="50"/>
      <c r="VU62" s="50"/>
      <c r="VV62" s="50"/>
      <c r="VW62" s="276">
        <f t="shared" si="57"/>
        <v>247.98955799999999</v>
      </c>
      <c r="VX62" s="292">
        <f t="shared" si="58"/>
        <v>174.674588</v>
      </c>
      <c r="VY62" s="292">
        <f t="shared" si="59"/>
        <v>422.66414600000002</v>
      </c>
      <c r="VZ62" s="276">
        <f t="shared" si="60"/>
        <v>357.52077300000002</v>
      </c>
      <c r="WA62" s="292">
        <f t="shared" si="61"/>
        <v>172.26804200000001</v>
      </c>
      <c r="WB62" s="292">
        <f t="shared" si="62"/>
        <v>529.788815</v>
      </c>
      <c r="WC62" s="277">
        <f t="shared" si="112"/>
        <v>107.12466899999998</v>
      </c>
      <c r="WD62" s="277">
        <f t="shared" si="104"/>
        <v>25.34510438460515</v>
      </c>
    </row>
    <row r="63" spans="1:602" s="12" customFormat="1" ht="20.5">
      <c r="A63" s="314" t="s">
        <v>216</v>
      </c>
      <c r="B63" s="12" t="s">
        <v>163</v>
      </c>
      <c r="C63" s="46" t="s">
        <v>164</v>
      </c>
      <c r="D63" s="45">
        <v>553.15560952982628</v>
      </c>
      <c r="E63" s="42">
        <v>440.36675232354969</v>
      </c>
      <c r="F63" s="42">
        <v>209.36705681811713</v>
      </c>
      <c r="G63" s="42">
        <v>164.67734105099004</v>
      </c>
      <c r="H63" s="42">
        <v>40.755432296913504</v>
      </c>
      <c r="I63" s="42">
        <v>7.5167591391056394</v>
      </c>
      <c r="J63" s="42">
        <v>10.778110725038559</v>
      </c>
      <c r="K63" s="42">
        <v>12.531538380544221</v>
      </c>
      <c r="L63" s="42">
        <v>21.105584857229044</v>
      </c>
      <c r="M63" s="42">
        <v>19.907824485916411</v>
      </c>
      <c r="N63" s="42">
        <v>23.237635243965602</v>
      </c>
      <c r="O63" s="42">
        <v>28.627234620178598</v>
      </c>
      <c r="P63" s="42">
        <v>37.619110022139893</v>
      </c>
      <c r="Q63" s="42">
        <v>33.186683171979674</v>
      </c>
      <c r="R63" s="42">
        <v>26.244534877433821</v>
      </c>
      <c r="S63" s="42">
        <v>70.873143052686103</v>
      </c>
      <c r="T63" s="42">
        <v>105.69162570218703</v>
      </c>
      <c r="U63" s="42">
        <v>226.691965170944</v>
      </c>
      <c r="V63" s="42">
        <v>332.38359087313103</v>
      </c>
      <c r="W63" s="42">
        <v>332.38038201262373</v>
      </c>
      <c r="X63" s="42">
        <v>7.3530856398085387</v>
      </c>
      <c r="Y63" s="42">
        <v>6.058158462387806</v>
      </c>
      <c r="Z63" s="42">
        <v>10.426955779986182</v>
      </c>
      <c r="AA63" s="42">
        <v>10.09530443765629</v>
      </c>
      <c r="AB63" s="42">
        <v>13.967446115844533</v>
      </c>
      <c r="AC63" s="42">
        <v>26.523757690622141</v>
      </c>
      <c r="AD63" s="42">
        <v>29.485176521476827</v>
      </c>
      <c r="AE63" s="42">
        <v>30.660972333682377</v>
      </c>
      <c r="AF63" s="42">
        <v>46.185778680825223</v>
      </c>
      <c r="AG63" s="42">
        <v>35.962665266560805</v>
      </c>
      <c r="AH63" s="42">
        <v>29.050597321586107</v>
      </c>
      <c r="AI63" s="42">
        <v>51.582610514453535</v>
      </c>
      <c r="AJ63" s="42">
        <v>110.075713641357</v>
      </c>
      <c r="AK63" s="42">
        <v>187.27679584919801</v>
      </c>
      <c r="AL63" s="42">
        <v>297.35250876489033</v>
      </c>
      <c r="AM63" s="42">
        <v>297.36859778828807</v>
      </c>
      <c r="AN63" s="42">
        <v>8.9719993056385565</v>
      </c>
      <c r="AO63" s="42">
        <v>8.4547773917052265</v>
      </c>
      <c r="AP63" s="42">
        <v>11.505439852362821</v>
      </c>
      <c r="AQ63" s="42">
        <v>12.456397502006251</v>
      </c>
      <c r="AR63" s="42">
        <v>10.460443082281831</v>
      </c>
      <c r="AS63" s="42">
        <v>23.214103690360325</v>
      </c>
      <c r="AT63" s="42">
        <v>32.632382570389467</v>
      </c>
      <c r="AU63" s="42">
        <v>35.856970791287473</v>
      </c>
      <c r="AV63" s="42">
        <v>27.927261370168637</v>
      </c>
      <c r="AW63" s="42">
        <v>32.349852875054779</v>
      </c>
      <c r="AX63" s="42">
        <v>32.18729973079266</v>
      </c>
      <c r="AY63" s="42">
        <v>53.876881747969563</v>
      </c>
      <c r="AZ63" s="42">
        <v>100.81490495216306</v>
      </c>
      <c r="BA63" s="42">
        <v>189.07890495785452</v>
      </c>
      <c r="BB63" s="42">
        <v>289.89380991001758</v>
      </c>
      <c r="BC63" s="42">
        <f t="shared" si="21"/>
        <v>100.81485592000044</v>
      </c>
      <c r="BD63" s="42">
        <v>189.07890535625867</v>
      </c>
      <c r="BE63" s="42">
        <v>289.89376127625911</v>
      </c>
      <c r="BF63" s="44">
        <v>1.6231132699999999</v>
      </c>
      <c r="BG63" s="44">
        <v>14.0855452</v>
      </c>
      <c r="BH63" s="44">
        <f>BH64+BH65+BH66</f>
        <v>15.708659000000001</v>
      </c>
      <c r="BI63" s="44">
        <v>1.76851896</v>
      </c>
      <c r="BJ63" s="44">
        <v>5.1394994000000001</v>
      </c>
      <c r="BK63" s="44">
        <f>BK64+BK65+BK66</f>
        <v>6.9080170000000001</v>
      </c>
      <c r="BL63" s="44">
        <v>1.80223972</v>
      </c>
      <c r="BM63" s="44">
        <v>6.8206759899999998</v>
      </c>
      <c r="BN63" s="44">
        <f>BN64+BN65+BN66</f>
        <v>8.6229169999999993</v>
      </c>
      <c r="BO63" s="44">
        <v>3.8264288199999998</v>
      </c>
      <c r="BP63" s="44">
        <v>11.005143439999999</v>
      </c>
      <c r="BQ63" s="44">
        <f>BQ64+BQ65+BQ66</f>
        <v>14.831572</v>
      </c>
      <c r="BR63" s="44">
        <v>3.35672616</v>
      </c>
      <c r="BS63" s="44">
        <v>7.34757718</v>
      </c>
      <c r="BT63" s="44">
        <f>BT64+BT65+BT66</f>
        <v>10.704302999999999</v>
      </c>
      <c r="BU63" s="44">
        <v>5.5921169199999996</v>
      </c>
      <c r="BV63" s="44">
        <v>14.27105098</v>
      </c>
      <c r="BW63" s="44">
        <f>BW64+BW65+BW66</f>
        <v>19.863168999999999</v>
      </c>
      <c r="BX63" s="44">
        <v>7.3506371200000036</v>
      </c>
      <c r="BY63" s="44">
        <v>21.525352840000004</v>
      </c>
      <c r="BZ63" s="44">
        <f>BZ64+BZ65+BZ66</f>
        <v>28.875989960000002</v>
      </c>
      <c r="CA63" s="44">
        <v>12.72769561</v>
      </c>
      <c r="CB63" s="44">
        <v>28.236390530000001</v>
      </c>
      <c r="CC63" s="44">
        <f>CC64+CC65+CC66</f>
        <v>40.964086000000002</v>
      </c>
      <c r="CD63" s="44">
        <f>CD64+CD65</f>
        <v>13.129401750000001</v>
      </c>
      <c r="CE63" s="44">
        <f>CE64+CE65</f>
        <v>18.999070470000003</v>
      </c>
      <c r="CF63" s="44">
        <f>CF64+CF65+CF66</f>
        <v>32.128472220000006</v>
      </c>
      <c r="CG63" s="44">
        <f>CG64+CG65</f>
        <v>12.943736579999994</v>
      </c>
      <c r="CH63" s="44">
        <f>CH64+CH65</f>
        <v>27.764941579999991</v>
      </c>
      <c r="CI63" s="44">
        <f>CI64+CI65+CI66</f>
        <v>40.708678159999984</v>
      </c>
      <c r="CJ63" s="44">
        <f>CJ64+CJ65</f>
        <v>17.837670839999998</v>
      </c>
      <c r="CK63" s="44">
        <f>CK64+CK65</f>
        <v>15.639923779999998</v>
      </c>
      <c r="CL63" s="44">
        <f>CL64+CL65+CL66</f>
        <v>33.477594619999998</v>
      </c>
      <c r="CM63" s="44">
        <f>CM64+CM65</f>
        <v>43.068047449999987</v>
      </c>
      <c r="CN63" s="44">
        <f>CN64+CN65</f>
        <v>35.173514709999985</v>
      </c>
      <c r="CO63" s="44">
        <f>CO64+CO65+CO66</f>
        <v>78.241562159999972</v>
      </c>
      <c r="CP63" s="50">
        <f t="shared" si="24"/>
        <v>125.02633319999998</v>
      </c>
      <c r="CQ63" s="50">
        <f t="shared" si="25"/>
        <v>206.00868609999998</v>
      </c>
      <c r="CR63" s="50">
        <f t="shared" si="26"/>
        <v>331.0350201199999</v>
      </c>
      <c r="CS63" s="42">
        <f t="shared" si="123"/>
        <v>125.12086799999997</v>
      </c>
      <c r="CT63" s="42">
        <f>CT64+CT65</f>
        <v>206.00868600000001</v>
      </c>
      <c r="CU63" s="42">
        <f>CU64+CU65</f>
        <v>331.12955399999998</v>
      </c>
      <c r="CV63" s="44">
        <f>CV64+CV65</f>
        <v>1.9888415199999998</v>
      </c>
      <c r="CW63" s="44">
        <f>CW64+CW65</f>
        <v>16.749003380000001</v>
      </c>
      <c r="CX63" s="44">
        <f>CX64+CX65+CX66</f>
        <v>18.737844900000002</v>
      </c>
      <c r="CY63" s="44">
        <v>2.3686030099999988</v>
      </c>
      <c r="CZ63" s="44">
        <v>10.604279049999995</v>
      </c>
      <c r="DA63" s="44">
        <v>12.972882059999993</v>
      </c>
      <c r="DB63" s="44">
        <v>3.8971555299999987</v>
      </c>
      <c r="DC63" s="44">
        <v>7.8502457699999981</v>
      </c>
      <c r="DD63" s="44">
        <v>11.747401299999996</v>
      </c>
      <c r="DE63" s="44">
        <v>4.1290233500000006</v>
      </c>
      <c r="DF63" s="44">
        <v>9.7731617899999996</v>
      </c>
      <c r="DG63" s="44">
        <v>13.90218514</v>
      </c>
      <c r="DH63" s="44">
        <v>11.716012880000008</v>
      </c>
      <c r="DI63" s="44">
        <v>10.738177369999999</v>
      </c>
      <c r="DJ63" s="44">
        <v>22.454190250000003</v>
      </c>
      <c r="DK63" s="44">
        <v>8.8707723400000003</v>
      </c>
      <c r="DL63" s="44">
        <v>20.221139479999998</v>
      </c>
      <c r="DM63" s="44">
        <v>29.091911819999996</v>
      </c>
      <c r="DN63" s="44">
        <v>15.437136229999995</v>
      </c>
      <c r="DO63" s="44">
        <v>28.435030639999997</v>
      </c>
      <c r="DP63" s="44">
        <v>43.872166869999994</v>
      </c>
      <c r="DQ63" s="44">
        <v>13.993386349999998</v>
      </c>
      <c r="DR63" s="44">
        <v>31.819748180000015</v>
      </c>
      <c r="DS63" s="44">
        <v>45.813134530000013</v>
      </c>
      <c r="DT63" s="44">
        <v>16.734227340000004</v>
      </c>
      <c r="DU63" s="44">
        <v>13.81352995</v>
      </c>
      <c r="DV63" s="44">
        <v>30.547757290000003</v>
      </c>
      <c r="DW63" s="44">
        <v>17.542610409999995</v>
      </c>
      <c r="DX63" s="44">
        <v>23.455471020000008</v>
      </c>
      <c r="DY63" s="44">
        <v>40.998081429999999</v>
      </c>
      <c r="DZ63" s="44">
        <v>12.500242800000001</v>
      </c>
      <c r="EA63" s="44">
        <v>34.8161974</v>
      </c>
      <c r="EB63" s="44">
        <v>47.316440199999995</v>
      </c>
      <c r="EC63" s="44">
        <v>50.865163800000012</v>
      </c>
      <c r="ED63" s="44">
        <v>63.061365609999989</v>
      </c>
      <c r="EE63" s="44">
        <v>113.92652941</v>
      </c>
      <c r="EF63" s="50">
        <f t="shared" si="27"/>
        <v>160.04317556000001</v>
      </c>
      <c r="EG63" s="50">
        <f t="shared" si="28"/>
        <v>271.33734964000001</v>
      </c>
      <c r="EH63" s="50">
        <f t="shared" si="29"/>
        <v>431.38052519999997</v>
      </c>
      <c r="EI63" s="50">
        <f t="shared" si="94"/>
        <v>160.05060700000001</v>
      </c>
      <c r="EJ63" s="50">
        <v>271.33722499999999</v>
      </c>
      <c r="EK63" s="50">
        <f>EK64+EK65</f>
        <v>431.387832</v>
      </c>
      <c r="EL63" s="50">
        <v>10.866147849999999</v>
      </c>
      <c r="EM63" s="50">
        <v>6.4972870800000013</v>
      </c>
      <c r="EN63" s="50">
        <v>17.363434930000004</v>
      </c>
      <c r="EO63" s="50">
        <v>6.4572712499999989</v>
      </c>
      <c r="EP63" s="50">
        <v>3.1051051000000012</v>
      </c>
      <c r="EQ63" s="50">
        <v>9.562376350000001</v>
      </c>
      <c r="ER63" s="50">
        <v>6.5968569399999968</v>
      </c>
      <c r="ES63" s="50">
        <v>1.5007873799999998</v>
      </c>
      <c r="ET63" s="50">
        <v>8.097644319999997</v>
      </c>
      <c r="EU63" s="50">
        <v>6.3073472099999996</v>
      </c>
      <c r="EV63" s="50">
        <v>4.2669173900000006</v>
      </c>
      <c r="EW63" s="50">
        <v>10.574264599999999</v>
      </c>
      <c r="EX63" s="50">
        <v>10.222559209999998</v>
      </c>
      <c r="EY63" s="50">
        <v>7.2365532500000009</v>
      </c>
      <c r="EZ63" s="50">
        <v>17.459112459999997</v>
      </c>
      <c r="FA63" s="50">
        <v>13.467390280000002</v>
      </c>
      <c r="FB63" s="50">
        <v>7.3259104199999996</v>
      </c>
      <c r="FC63" s="50">
        <v>20.793300700000003</v>
      </c>
      <c r="FD63" s="50">
        <v>12.368141809999999</v>
      </c>
      <c r="FE63" s="50">
        <v>16.453541689999998</v>
      </c>
      <c r="FF63" s="50">
        <v>28.821683499999995</v>
      </c>
      <c r="FG63" s="50">
        <v>21.106842669999995</v>
      </c>
      <c r="FH63" s="50">
        <v>26.850469640000004</v>
      </c>
      <c r="FI63" s="50">
        <v>47.957312309999992</v>
      </c>
      <c r="FJ63" s="50">
        <v>20.323470700000009</v>
      </c>
      <c r="FK63" s="50">
        <v>14.097211939999999</v>
      </c>
      <c r="FL63" s="50">
        <v>34.42068264000001</v>
      </c>
      <c r="FM63" s="50">
        <v>25.386174480000012</v>
      </c>
      <c r="FN63" s="50">
        <v>19.886453199999995</v>
      </c>
      <c r="FO63" s="50">
        <v>45.272627680000006</v>
      </c>
      <c r="FP63" s="50">
        <v>19.350214750000006</v>
      </c>
      <c r="FQ63" s="50">
        <v>17.822829499999997</v>
      </c>
      <c r="FR63" s="50">
        <v>37.173044250000004</v>
      </c>
      <c r="FS63" s="50">
        <v>45.837202179999991</v>
      </c>
      <c r="FT63" s="50">
        <v>10.371456119999992</v>
      </c>
      <c r="FU63" s="50">
        <v>56.208658299999982</v>
      </c>
      <c r="FV63" s="50">
        <f t="shared" si="30"/>
        <v>198.28961933000002</v>
      </c>
      <c r="FW63" s="50">
        <f t="shared" si="31"/>
        <v>135.41452270999997</v>
      </c>
      <c r="FX63" s="50">
        <f t="shared" si="32"/>
        <v>333.70414203999997</v>
      </c>
      <c r="FY63" s="50">
        <f t="shared" si="95"/>
        <v>198.28819899999999</v>
      </c>
      <c r="FZ63" s="50">
        <v>135.41452100000001</v>
      </c>
      <c r="GA63" s="50">
        <f>GA64+GA65</f>
        <v>333.70272</v>
      </c>
      <c r="GB63" s="50">
        <v>11.709259449999998</v>
      </c>
      <c r="GC63" s="50">
        <v>6.5782792499999996</v>
      </c>
      <c r="GD63" s="50">
        <v>18.287538699999995</v>
      </c>
      <c r="GE63" s="50">
        <v>6.3532422000000004</v>
      </c>
      <c r="GF63" s="50">
        <v>9.9974820500000021</v>
      </c>
      <c r="GG63" s="50">
        <v>16.350724250000003</v>
      </c>
      <c r="GH63" s="50">
        <v>13.217955869999997</v>
      </c>
      <c r="GI63" s="50">
        <v>3.9334845999999994</v>
      </c>
      <c r="GJ63" s="50">
        <v>17.151440469999997</v>
      </c>
      <c r="GK63" s="50">
        <v>11.941084419999997</v>
      </c>
      <c r="GL63" s="50">
        <v>4.5453731899999994</v>
      </c>
      <c r="GM63" s="50">
        <v>16.486457609999999</v>
      </c>
      <c r="GN63" s="50">
        <v>15.104539470000006</v>
      </c>
      <c r="GO63" s="50">
        <v>8.1648307699999982</v>
      </c>
      <c r="GP63" s="50">
        <v>23.269370240000004</v>
      </c>
      <c r="GQ63" s="50">
        <v>15.854077680000001</v>
      </c>
      <c r="GR63" s="50">
        <v>12.659769689999999</v>
      </c>
      <c r="GS63" s="50">
        <v>28.513847370000001</v>
      </c>
      <c r="GT63" s="50">
        <v>17.757043719999988</v>
      </c>
      <c r="GU63" s="50">
        <v>16.478984569999998</v>
      </c>
      <c r="GV63" s="50">
        <v>34.236028289999986</v>
      </c>
      <c r="GW63" s="50">
        <v>23.174569939999998</v>
      </c>
      <c r="GX63" s="50">
        <v>22.683874290000009</v>
      </c>
      <c r="GY63" s="50">
        <v>45.858444230000003</v>
      </c>
      <c r="GZ63" s="50">
        <v>27.211382540000006</v>
      </c>
      <c r="HA63" s="50">
        <v>15.122154999999998</v>
      </c>
      <c r="HB63" s="50">
        <v>42.333537540000002</v>
      </c>
      <c r="HC63" s="50">
        <v>21.155507499999999</v>
      </c>
      <c r="HD63" s="50">
        <v>18.18101467</v>
      </c>
      <c r="HE63" s="50">
        <v>39.336522169999995</v>
      </c>
      <c r="HF63" s="50">
        <v>24.371513989999986</v>
      </c>
      <c r="HG63" s="50">
        <v>16.510485049999996</v>
      </c>
      <c r="HH63" s="50">
        <v>40.881999039999982</v>
      </c>
      <c r="HI63" s="50">
        <v>73.300374280000028</v>
      </c>
      <c r="HJ63" s="50">
        <v>14.040781469999995</v>
      </c>
      <c r="HK63" s="50">
        <v>87.341155750000013</v>
      </c>
      <c r="HL63" s="50">
        <f t="shared" si="33"/>
        <v>261.15055106</v>
      </c>
      <c r="HM63" s="50">
        <f t="shared" si="34"/>
        <v>148.89651459999996</v>
      </c>
      <c r="HN63" s="50">
        <f t="shared" si="35"/>
        <v>410.04706565999993</v>
      </c>
      <c r="HO63" s="50">
        <f t="shared" si="96"/>
        <v>261.13374799999997</v>
      </c>
      <c r="HP63" s="50">
        <v>148.91590600000001</v>
      </c>
      <c r="HQ63" s="50">
        <f>HQ64+HQ65</f>
        <v>410.04965399999998</v>
      </c>
      <c r="HR63" s="50">
        <v>6.7633606299999993</v>
      </c>
      <c r="HS63" s="50">
        <v>8.1749115100000012</v>
      </c>
      <c r="HT63" s="50">
        <v>14.93827214</v>
      </c>
      <c r="HU63" s="50">
        <v>5.854006860000001</v>
      </c>
      <c r="HV63" s="50">
        <v>4.445658550000001</v>
      </c>
      <c r="HW63" s="50">
        <v>10.299665410000001</v>
      </c>
      <c r="HX63" s="50">
        <v>9.2684975099999978</v>
      </c>
      <c r="HY63" s="50">
        <v>8.3304982699999996</v>
      </c>
      <c r="HZ63" s="50">
        <v>17.598995779999999</v>
      </c>
      <c r="IA63" s="50">
        <v>9.8507551100000015</v>
      </c>
      <c r="IB63" s="50">
        <v>4.8376394899999999</v>
      </c>
      <c r="IC63" s="50">
        <v>14.688394600000002</v>
      </c>
      <c r="ID63" s="50">
        <v>11.382284059999998</v>
      </c>
      <c r="IE63" s="50">
        <v>7.0153687799999993</v>
      </c>
      <c r="IF63" s="50">
        <v>18.397652839999992</v>
      </c>
      <c r="IG63" s="50">
        <v>27.209609799999988</v>
      </c>
      <c r="IH63" s="50">
        <v>16.537308369999998</v>
      </c>
      <c r="II63" s="50">
        <v>43.746918169999987</v>
      </c>
      <c r="IJ63" s="50">
        <v>23.891747249999995</v>
      </c>
      <c r="IK63" s="50">
        <v>18.200174350000001</v>
      </c>
      <c r="IL63" s="50">
        <v>42.091921599999992</v>
      </c>
      <c r="IM63" s="50">
        <v>26.210080470000008</v>
      </c>
      <c r="IN63" s="50">
        <v>22.54439945</v>
      </c>
      <c r="IO63" s="50">
        <v>48.754479920000016</v>
      </c>
      <c r="IP63" s="50">
        <v>27.937616720000001</v>
      </c>
      <c r="IQ63" s="50">
        <v>20.028265610000009</v>
      </c>
      <c r="IR63" s="50">
        <v>47.965882329999985</v>
      </c>
      <c r="IS63" s="50">
        <v>26.323983870000006</v>
      </c>
      <c r="IT63" s="50">
        <v>11.91840592</v>
      </c>
      <c r="IU63" s="50">
        <v>38.242389789999997</v>
      </c>
      <c r="IV63" s="50">
        <v>33.977203990000014</v>
      </c>
      <c r="IW63" s="50">
        <v>25.430727409999992</v>
      </c>
      <c r="IX63" s="50">
        <v>59.407931400000002</v>
      </c>
      <c r="IY63" s="50">
        <v>64.429683529999977</v>
      </c>
      <c r="IZ63" s="50">
        <v>29.936483080000002</v>
      </c>
      <c r="JA63" s="50">
        <v>94.366166609999965</v>
      </c>
      <c r="JB63" s="50">
        <f t="shared" si="36"/>
        <v>273.09882979999998</v>
      </c>
      <c r="JC63" s="50">
        <f t="shared" si="37"/>
        <v>177.39984078999998</v>
      </c>
      <c r="JD63" s="50">
        <f t="shared" si="38"/>
        <v>450.49867058999996</v>
      </c>
      <c r="JE63" s="50">
        <f t="shared" si="97"/>
        <v>273.10049399999997</v>
      </c>
      <c r="JF63" s="50">
        <v>177.40483499999999</v>
      </c>
      <c r="JG63" s="50">
        <f>JG64+JG65</f>
        <v>450.50532899999996</v>
      </c>
      <c r="JH63" s="50">
        <v>34.028781940000016</v>
      </c>
      <c r="JI63" s="50">
        <v>6.7312446300000008</v>
      </c>
      <c r="JJ63" s="50">
        <v>40.760026569999994</v>
      </c>
      <c r="JK63" s="50">
        <v>8.1377428400000031</v>
      </c>
      <c r="JL63" s="50">
        <v>6.3835979600000012</v>
      </c>
      <c r="JM63" s="50">
        <v>14.521340800000001</v>
      </c>
      <c r="JN63" s="50">
        <v>11.597211379999999</v>
      </c>
      <c r="JO63" s="50">
        <v>5.1721529100000003</v>
      </c>
      <c r="JP63" s="50">
        <v>16.769364289999992</v>
      </c>
      <c r="JQ63" s="50">
        <v>7.3114799799999997</v>
      </c>
      <c r="JR63" s="50">
        <v>6.6164677199999984</v>
      </c>
      <c r="JS63" s="50">
        <v>13.927947700000001</v>
      </c>
      <c r="JT63" s="50">
        <v>11.805795639999999</v>
      </c>
      <c r="JU63" s="50">
        <v>10.09593978</v>
      </c>
      <c r="JV63" s="50">
        <v>21.901735419999994</v>
      </c>
      <c r="JW63" s="50">
        <v>20.958081749999991</v>
      </c>
      <c r="JX63" s="50">
        <v>8.6460788099999988</v>
      </c>
      <c r="JY63" s="50">
        <v>29.604160559999979</v>
      </c>
      <c r="JZ63" s="50">
        <v>22.713913799999993</v>
      </c>
      <c r="KA63" s="50">
        <v>21.125610579999996</v>
      </c>
      <c r="KB63" s="50">
        <v>43.83952438</v>
      </c>
      <c r="KC63" s="50">
        <v>40.065755909999979</v>
      </c>
      <c r="KD63" s="50">
        <v>12.96095201</v>
      </c>
      <c r="KE63" s="50">
        <v>53.026707919999986</v>
      </c>
      <c r="KF63" s="50">
        <v>27.274364020000007</v>
      </c>
      <c r="KG63" s="50">
        <v>11.49700297</v>
      </c>
      <c r="KH63" s="50">
        <v>38.771366990000018</v>
      </c>
      <c r="KI63" s="50">
        <v>20.777983230000004</v>
      </c>
      <c r="KJ63" s="50">
        <v>15.448475009999999</v>
      </c>
      <c r="KK63" s="50">
        <v>36.226458240000007</v>
      </c>
      <c r="KL63" s="50">
        <v>41.544683860000021</v>
      </c>
      <c r="KM63" s="50">
        <v>17.465503900000002</v>
      </c>
      <c r="KN63" s="50">
        <v>59.010187760000001</v>
      </c>
      <c r="KO63" s="50">
        <v>79.24178812000001</v>
      </c>
      <c r="KP63" s="50">
        <v>25.368933140000003</v>
      </c>
      <c r="KQ63" s="50">
        <v>104.61072125999999</v>
      </c>
      <c r="KR63" s="50">
        <f t="shared" si="48"/>
        <v>325.45758247000003</v>
      </c>
      <c r="KS63" s="50">
        <f t="shared" si="39"/>
        <v>147.51195941999998</v>
      </c>
      <c r="KT63" s="50">
        <f t="shared" si="49"/>
        <v>472.96954188999996</v>
      </c>
      <c r="KU63" s="50">
        <f t="shared" si="98"/>
        <v>325.401162</v>
      </c>
      <c r="KV63" s="50">
        <v>147.51195999999999</v>
      </c>
      <c r="KW63" s="50">
        <f>KW64+KW65</f>
        <v>472.91312199999999</v>
      </c>
      <c r="KX63" s="50">
        <v>36.456642680000002</v>
      </c>
      <c r="KY63" s="50">
        <v>11.140927990000002</v>
      </c>
      <c r="KZ63" s="50">
        <v>47.597570669999996</v>
      </c>
      <c r="LA63" s="50">
        <v>8.5750143700000017</v>
      </c>
      <c r="LB63" s="50">
        <v>4.3379873299999998</v>
      </c>
      <c r="LC63" s="50">
        <v>12.913001699999999</v>
      </c>
      <c r="LD63" s="50">
        <v>10.313943619999998</v>
      </c>
      <c r="LE63" s="50">
        <v>2.8229531899999998</v>
      </c>
      <c r="LF63" s="87">
        <v>13.136896809999998</v>
      </c>
      <c r="LG63" s="50">
        <v>18.743673170000005</v>
      </c>
      <c r="LH63" s="50">
        <v>4.9865958900000003</v>
      </c>
      <c r="LI63" s="175">
        <v>23.730269060000008</v>
      </c>
      <c r="LJ63" s="174">
        <v>17.05969936</v>
      </c>
      <c r="LK63" s="50">
        <v>4.5229584600000026</v>
      </c>
      <c r="LL63" s="174">
        <v>21.582657819999998</v>
      </c>
      <c r="LM63" s="50">
        <v>14.254641530000001</v>
      </c>
      <c r="LN63" s="50">
        <v>7.1940757899999985</v>
      </c>
      <c r="LO63" s="50">
        <v>21.44871732</v>
      </c>
      <c r="LP63" s="50">
        <v>36.244254029999986</v>
      </c>
      <c r="LQ63" s="44">
        <v>12.950573989999999</v>
      </c>
      <c r="LR63" s="44">
        <v>49.194828020000003</v>
      </c>
      <c r="LS63" s="50">
        <v>27.063842220000002</v>
      </c>
      <c r="LT63" s="50">
        <v>14.64832226</v>
      </c>
      <c r="LU63" s="52">
        <v>41.712164479999998</v>
      </c>
      <c r="LV63" s="44">
        <v>46.328335259999974</v>
      </c>
      <c r="LW63" s="44">
        <v>11.967891909999999</v>
      </c>
      <c r="LX63" s="44">
        <v>58.296227169999973</v>
      </c>
      <c r="LY63" s="44">
        <v>55.978639980000004</v>
      </c>
      <c r="LZ63" s="44">
        <v>19.131258479999996</v>
      </c>
      <c r="MA63" s="44">
        <v>75.109898459999982</v>
      </c>
      <c r="MB63" s="44">
        <v>33.669802040000008</v>
      </c>
      <c r="MC63" s="44">
        <v>17.986265900000003</v>
      </c>
      <c r="MD63" s="44">
        <v>51.656067940000007</v>
      </c>
      <c r="ME63" s="44">
        <v>126.28465784000002</v>
      </c>
      <c r="MF63" s="44">
        <v>21.517794100000003</v>
      </c>
      <c r="MG63" s="44">
        <v>147.80245194000003</v>
      </c>
      <c r="MH63" s="50">
        <f t="shared" si="66"/>
        <v>430.97314610000001</v>
      </c>
      <c r="MI63" s="50">
        <f t="shared" si="50"/>
        <v>133.20760529</v>
      </c>
      <c r="MJ63" s="50">
        <f t="shared" si="51"/>
        <v>564.18075138999995</v>
      </c>
      <c r="MK63" s="50">
        <f t="shared" si="99"/>
        <v>430.83256300000005</v>
      </c>
      <c r="ML63" s="50">
        <v>133.207134</v>
      </c>
      <c r="MM63" s="50">
        <f>MM64+MM65</f>
        <v>564.03969700000005</v>
      </c>
      <c r="MN63" s="44">
        <v>23.406207379999998</v>
      </c>
      <c r="MO63" s="44">
        <v>6.6369925499999987</v>
      </c>
      <c r="MP63" s="44">
        <v>30.043199929999997</v>
      </c>
      <c r="MQ63" s="44">
        <v>6.2454086300000036</v>
      </c>
      <c r="MR63" s="44">
        <v>14.070311280000004</v>
      </c>
      <c r="MS63" s="44">
        <v>20.315719909999991</v>
      </c>
      <c r="MT63" s="50">
        <v>9.3379120400000044</v>
      </c>
      <c r="MU63" s="50">
        <v>8.301238360000001</v>
      </c>
      <c r="MV63" s="50">
        <v>17.639150400000005</v>
      </c>
      <c r="MW63" s="44">
        <v>9.1330974200000057</v>
      </c>
      <c r="MX63" s="44">
        <v>5.5282734000000007</v>
      </c>
      <c r="MY63" s="44">
        <v>14.661370819999998</v>
      </c>
      <c r="MZ63" s="44">
        <v>11.409384100000002</v>
      </c>
      <c r="NA63" s="44">
        <v>8.0215164200000011</v>
      </c>
      <c r="NB63" s="44">
        <v>19.430900519999991</v>
      </c>
      <c r="NC63" s="44">
        <v>21.220742960000003</v>
      </c>
      <c r="ND63" s="44">
        <v>8.3182969399999998</v>
      </c>
      <c r="NE63" s="44">
        <v>29.539039899999999</v>
      </c>
      <c r="NF63" s="44">
        <v>52.198219639999976</v>
      </c>
      <c r="NG63" s="44">
        <v>7.2100184399999963</v>
      </c>
      <c r="NH63" s="44">
        <v>59.408238080000004</v>
      </c>
      <c r="NI63" s="44">
        <v>43.550701269999969</v>
      </c>
      <c r="NJ63" s="44">
        <v>20.736551870000003</v>
      </c>
      <c r="NK63" s="44">
        <v>64.287253139999962</v>
      </c>
      <c r="NL63" s="44">
        <v>51.721123579999997</v>
      </c>
      <c r="NM63" s="44">
        <v>7.0264564899999984</v>
      </c>
      <c r="NN63" s="44">
        <v>58.747580069999998</v>
      </c>
      <c r="NO63" s="44">
        <v>47.484975149999997</v>
      </c>
      <c r="NP63" s="44">
        <v>6.0130555799999987</v>
      </c>
      <c r="NQ63" s="44">
        <v>53.498030730000011</v>
      </c>
      <c r="NR63" s="44">
        <v>58.866164890000007</v>
      </c>
      <c r="NS63" s="44">
        <v>9.5506025699999952</v>
      </c>
      <c r="NT63" s="44">
        <v>68.416767460000003</v>
      </c>
      <c r="NU63" s="44">
        <v>115.43888607999997</v>
      </c>
      <c r="NV63" s="44">
        <v>26.674341919999993</v>
      </c>
      <c r="NW63" s="44">
        <v>142.11322800000002</v>
      </c>
      <c r="NX63" s="50">
        <f t="shared" si="117"/>
        <v>450.01282313999997</v>
      </c>
      <c r="NY63" s="50">
        <f t="shared" si="40"/>
        <v>128.08765581999998</v>
      </c>
      <c r="NZ63" s="50">
        <f t="shared" si="41"/>
        <v>578.10047895999992</v>
      </c>
      <c r="OA63" s="50">
        <f t="shared" si="100"/>
        <v>449.90438900000004</v>
      </c>
      <c r="OB63" s="50">
        <v>128.087658</v>
      </c>
      <c r="OC63" s="50">
        <f>OC64+OC65</f>
        <v>577.99204700000007</v>
      </c>
      <c r="OD63" s="44">
        <v>12.855389520000005</v>
      </c>
      <c r="OE63" s="44">
        <v>5.7512012900000009</v>
      </c>
      <c r="OF63" s="44">
        <v>18.60659081</v>
      </c>
      <c r="OG63" s="50">
        <v>15.02357675</v>
      </c>
      <c r="OH63" s="44">
        <v>2.5851372199999996</v>
      </c>
      <c r="OI63" s="44">
        <v>17.60871397</v>
      </c>
      <c r="OJ63" s="44">
        <f t="shared" si="107"/>
        <v>17.086477400000007</v>
      </c>
      <c r="OK63" s="44">
        <v>12.312480509999999</v>
      </c>
      <c r="OL63" s="44">
        <v>29.398957910000007</v>
      </c>
      <c r="OM63" s="44">
        <v>22.658643559999994</v>
      </c>
      <c r="ON63" s="44">
        <v>10.419032289999999</v>
      </c>
      <c r="OO63" s="44">
        <v>33.077675849999999</v>
      </c>
      <c r="OP63" s="44">
        <v>14.620637389999999</v>
      </c>
      <c r="OQ63" s="44">
        <v>5.3634656699999983</v>
      </c>
      <c r="OR63" s="44">
        <v>19.984103059999992</v>
      </c>
      <c r="OS63" s="44">
        <v>32.633187659999997</v>
      </c>
      <c r="OT63" s="44">
        <v>11.928956500000002</v>
      </c>
      <c r="OU63" s="44">
        <v>44.562144160000003</v>
      </c>
      <c r="OV63" s="44">
        <v>47.695242200000017</v>
      </c>
      <c r="OW63" s="44">
        <v>10.94357084</v>
      </c>
      <c r="OX63" s="44">
        <v>58.638813039999988</v>
      </c>
      <c r="OY63" s="95">
        <v>48.185888589999998</v>
      </c>
      <c r="OZ63" s="95">
        <v>18.341763210000003</v>
      </c>
      <c r="PA63" s="95">
        <v>66.527651800000029</v>
      </c>
      <c r="PB63" s="44">
        <v>52.662616489999998</v>
      </c>
      <c r="PC63" s="44">
        <v>7.9285525399999983</v>
      </c>
      <c r="PD63" s="44">
        <v>60.591169030000003</v>
      </c>
      <c r="PE63" s="44">
        <v>43.659350270000012</v>
      </c>
      <c r="PF63" s="44">
        <v>20.351505479999997</v>
      </c>
      <c r="PG63" s="44">
        <v>64.010855750000005</v>
      </c>
      <c r="PH63" s="44">
        <v>49.089603849999982</v>
      </c>
      <c r="PI63" s="44">
        <v>11.705786199999997</v>
      </c>
      <c r="PJ63" s="44">
        <v>60.795390050000002</v>
      </c>
      <c r="PK63" s="44">
        <v>156.71215929999988</v>
      </c>
      <c r="PL63" s="44">
        <v>31.363634700000002</v>
      </c>
      <c r="PM63" s="44">
        <v>188.07579399999995</v>
      </c>
      <c r="PN63" s="50">
        <f t="shared" si="122"/>
        <v>512.88277297999991</v>
      </c>
      <c r="PO63" s="50">
        <f t="shared" si="108"/>
        <v>148.99508644999997</v>
      </c>
      <c r="PP63" s="50">
        <f t="shared" si="116"/>
        <v>661.87785942999994</v>
      </c>
      <c r="PQ63" s="50">
        <f t="shared" si="118"/>
        <v>512.85466899999994</v>
      </c>
      <c r="PR63" s="50">
        <v>148.955423</v>
      </c>
      <c r="PS63" s="50">
        <f>PS64+PS65</f>
        <v>661.81009199999994</v>
      </c>
      <c r="PT63" s="44">
        <v>42.017817730000012</v>
      </c>
      <c r="PU63" s="44">
        <v>11.271434939999999</v>
      </c>
      <c r="PV63" s="44">
        <v>53.289252669999989</v>
      </c>
      <c r="PW63" s="44">
        <v>10.643986290000003</v>
      </c>
      <c r="PX63" s="44">
        <v>16.770687839999997</v>
      </c>
      <c r="PY63" s="44">
        <v>27.414674130000002</v>
      </c>
      <c r="PZ63" s="44">
        <v>20.913136420000001</v>
      </c>
      <c r="QA63" s="44">
        <v>11.05213694</v>
      </c>
      <c r="QB63" s="44">
        <v>31.965273360000001</v>
      </c>
      <c r="QC63" s="44">
        <v>20.315778309999995</v>
      </c>
      <c r="QD63" s="44">
        <v>30.941845780000005</v>
      </c>
      <c r="QE63" s="44">
        <v>51.257624089999993</v>
      </c>
      <c r="QF63" s="50">
        <v>31.896841370000018</v>
      </c>
      <c r="QG63" s="44">
        <v>15.252007869999998</v>
      </c>
      <c r="QH63" s="44">
        <v>47.148849240000018</v>
      </c>
      <c r="QI63" s="50">
        <v>53.349913449999988</v>
      </c>
      <c r="QJ63" s="44">
        <v>22.541500609999996</v>
      </c>
      <c r="QK63" s="44">
        <v>75.891414059999988</v>
      </c>
      <c r="QL63" s="44">
        <v>50.389594709999983</v>
      </c>
      <c r="QM63" s="44">
        <v>15.470872160000001</v>
      </c>
      <c r="QN63" s="44">
        <v>65.860466869999954</v>
      </c>
      <c r="QO63" s="50">
        <v>46.674759020000074</v>
      </c>
      <c r="QP63" s="44">
        <v>33.465816359999998</v>
      </c>
      <c r="QQ63" s="44">
        <v>80.140575380000072</v>
      </c>
      <c r="QR63" s="44">
        <v>50.14220773000001</v>
      </c>
      <c r="QS63" s="44">
        <v>15.95772141</v>
      </c>
      <c r="QT63" s="44">
        <v>66.099929139999972</v>
      </c>
      <c r="QU63" s="50">
        <v>54.652415409999975</v>
      </c>
      <c r="QV63" s="44">
        <v>19.432656540000007</v>
      </c>
      <c r="QW63" s="44">
        <v>74.085071949999985</v>
      </c>
      <c r="QX63" s="50">
        <v>31.302571419999943</v>
      </c>
      <c r="QY63" s="44">
        <v>19.808728730000013</v>
      </c>
      <c r="QZ63" s="44">
        <v>51.111300149999956</v>
      </c>
      <c r="RA63" s="50">
        <v>155.91758097999997</v>
      </c>
      <c r="RB63" s="44">
        <v>63.343514820000003</v>
      </c>
      <c r="RC63" s="44">
        <v>219.26109579999996</v>
      </c>
      <c r="RD63" s="50">
        <f t="shared" si="52"/>
        <v>568.21660283999995</v>
      </c>
      <c r="RE63" s="50">
        <f t="shared" si="53"/>
        <v>275.30892400000005</v>
      </c>
      <c r="RF63" s="50">
        <f t="shared" si="54"/>
        <v>843.52552683999988</v>
      </c>
      <c r="RG63" s="50">
        <f t="shared" si="119"/>
        <v>568.2154579999999</v>
      </c>
      <c r="RH63" s="50">
        <v>275.34858500000001</v>
      </c>
      <c r="RI63" s="50">
        <f>RI64+RI65</f>
        <v>843.56404299999997</v>
      </c>
      <c r="RJ63" s="50">
        <v>33.187239649999995</v>
      </c>
      <c r="RK63" s="50">
        <v>11.48510362</v>
      </c>
      <c r="RL63" s="50">
        <v>44.672343270000006</v>
      </c>
      <c r="RM63" s="50">
        <v>160.88718896999998</v>
      </c>
      <c r="RN63" s="50">
        <v>12.084723239999999</v>
      </c>
      <c r="RO63" s="50">
        <v>172.97191221</v>
      </c>
      <c r="RP63" s="50">
        <v>19.854688219999996</v>
      </c>
      <c r="RQ63" s="50">
        <v>6.7162375299999999</v>
      </c>
      <c r="RR63" s="50">
        <v>26.570925749999997</v>
      </c>
      <c r="RS63" s="50">
        <v>50.454509429999966</v>
      </c>
      <c r="RT63" s="50">
        <v>16.338602029999997</v>
      </c>
      <c r="RU63" s="50">
        <v>66.793111459999963</v>
      </c>
      <c r="RV63" s="50">
        <v>32.658120770000011</v>
      </c>
      <c r="RW63" s="50">
        <v>20.140411009999998</v>
      </c>
      <c r="RX63" s="50">
        <v>52.798531780000012</v>
      </c>
      <c r="RY63" s="50">
        <v>36.097377890000018</v>
      </c>
      <c r="RZ63" s="50">
        <v>20.554403109999999</v>
      </c>
      <c r="SA63" s="50">
        <v>56.651781000000014</v>
      </c>
      <c r="SB63" s="50">
        <v>51.785361309999985</v>
      </c>
      <c r="SC63" s="50">
        <v>29.853303950000008</v>
      </c>
      <c r="SD63" s="50">
        <v>81.638665259999996</v>
      </c>
      <c r="SE63" s="50">
        <v>38.442022909999991</v>
      </c>
      <c r="SF63" s="50">
        <v>30.414522200000004</v>
      </c>
      <c r="SG63" s="50">
        <v>68.856545109999999</v>
      </c>
      <c r="SH63" s="50">
        <v>58.187141870000012</v>
      </c>
      <c r="SI63" s="50">
        <v>26.39049696</v>
      </c>
      <c r="SJ63" s="50">
        <v>84.577638830000012</v>
      </c>
      <c r="SK63" s="50">
        <v>71.205001119999991</v>
      </c>
      <c r="SL63" s="50">
        <v>40.649380090000015</v>
      </c>
      <c r="SM63" s="50">
        <v>111.85438121000001</v>
      </c>
      <c r="SN63" s="50">
        <v>48.155957350000023</v>
      </c>
      <c r="SO63" s="50">
        <v>26.860479990000005</v>
      </c>
      <c r="SP63" s="50">
        <v>75.016437340000024</v>
      </c>
      <c r="SQ63" s="50">
        <v>130.96931099000011</v>
      </c>
      <c r="SR63" s="50">
        <v>49.86506026</v>
      </c>
      <c r="SS63" s="50">
        <v>180.83437125000012</v>
      </c>
      <c r="ST63" s="50">
        <f t="shared" si="55"/>
        <v>731.88392047999992</v>
      </c>
      <c r="SU63" s="50">
        <f t="shared" si="65"/>
        <v>291.35272399000002</v>
      </c>
      <c r="SV63" s="50">
        <f t="shared" si="56"/>
        <v>1023.2366444700001</v>
      </c>
      <c r="SW63" s="50">
        <f t="shared" si="103"/>
        <v>731.88105599999994</v>
      </c>
      <c r="SX63" s="50">
        <v>291.35271999999998</v>
      </c>
      <c r="SY63" s="50">
        <f>SY64+SY65</f>
        <v>1023.2337759999999</v>
      </c>
      <c r="SZ63" s="50">
        <v>53.406509070000006</v>
      </c>
      <c r="TA63" s="50">
        <v>12.335657870000004</v>
      </c>
      <c r="TB63" s="50">
        <v>65.742166939999976</v>
      </c>
      <c r="TC63" s="50">
        <v>19.114619439999998</v>
      </c>
      <c r="TD63" s="50">
        <v>40.396879600000013</v>
      </c>
      <c r="TE63" s="50">
        <v>59.511499040000011</v>
      </c>
      <c r="TF63" s="50">
        <v>104.15331784</v>
      </c>
      <c r="TG63" s="50">
        <v>18.571222970000004</v>
      </c>
      <c r="TH63" s="50">
        <v>122.72454081000001</v>
      </c>
      <c r="TI63" s="50">
        <v>56.782959390000059</v>
      </c>
      <c r="TJ63" s="50">
        <v>24.647235599999998</v>
      </c>
      <c r="TK63" s="50">
        <v>81.430194990000061</v>
      </c>
      <c r="TL63" s="50">
        <f>TN63-TM63</f>
        <v>30.415520289999979</v>
      </c>
      <c r="TM63" s="50">
        <v>28.725833640000008</v>
      </c>
      <c r="TN63" s="50">
        <v>59.141353929999987</v>
      </c>
      <c r="TO63" s="50">
        <v>84.046990780000016</v>
      </c>
      <c r="TP63" s="50">
        <v>32.765580650000004</v>
      </c>
      <c r="TQ63" s="50">
        <v>116.81257143000002</v>
      </c>
      <c r="TR63" s="50">
        <v>60.354542749999936</v>
      </c>
      <c r="TS63" s="50">
        <v>23.073295750000014</v>
      </c>
      <c r="TT63" s="50">
        <v>83.42783849999995</v>
      </c>
      <c r="TU63" s="50">
        <v>49.791311059999984</v>
      </c>
      <c r="TV63" s="50">
        <v>27.011038209999995</v>
      </c>
      <c r="TW63" s="50">
        <v>76.802349269999979</v>
      </c>
      <c r="TX63" s="50">
        <v>67.474637610000002</v>
      </c>
      <c r="TY63" s="50">
        <v>25.142524629999997</v>
      </c>
      <c r="TZ63" s="50">
        <v>92.617162239999999</v>
      </c>
      <c r="UA63" s="50">
        <v>58.316252750000032</v>
      </c>
      <c r="UB63" s="50">
        <v>32.448091669999997</v>
      </c>
      <c r="UC63" s="50">
        <v>90.764344420000029</v>
      </c>
      <c r="UD63" s="50">
        <v>59.284091339999989</v>
      </c>
      <c r="UE63" s="50">
        <v>31.261197649999989</v>
      </c>
      <c r="UF63" s="50">
        <v>90.545288989999975</v>
      </c>
      <c r="UG63" s="50">
        <v>162.60739883999989</v>
      </c>
      <c r="UH63" s="50">
        <v>63.849044619999994</v>
      </c>
      <c r="UI63" s="50">
        <v>226.45644345999989</v>
      </c>
      <c r="UJ63" s="50">
        <f t="shared" si="45"/>
        <v>805.74815115999979</v>
      </c>
      <c r="UK63" s="50">
        <f t="shared" si="15"/>
        <v>360.22760285999993</v>
      </c>
      <c r="UL63" s="50">
        <f t="shared" si="16"/>
        <v>1165.9757540199998</v>
      </c>
      <c r="UM63" s="50">
        <v>126.43678740000001</v>
      </c>
      <c r="UN63" s="50">
        <v>10.77971969</v>
      </c>
      <c r="UO63" s="50">
        <v>137.21650709000002</v>
      </c>
      <c r="UP63" s="50">
        <v>109.02189756000001</v>
      </c>
      <c r="UQ63" s="50">
        <v>17.198791090000004</v>
      </c>
      <c r="UR63" s="50">
        <v>126.22068865000001</v>
      </c>
      <c r="US63" s="50">
        <v>87.387562050000028</v>
      </c>
      <c r="UT63" s="50">
        <v>59.149777070000013</v>
      </c>
      <c r="UU63" s="50">
        <v>146.53733912000004</v>
      </c>
      <c r="UV63" s="50">
        <v>20.436537420000025</v>
      </c>
      <c r="UW63" s="50">
        <v>22.530466809999997</v>
      </c>
      <c r="UX63" s="50">
        <v>42.967004230000022</v>
      </c>
      <c r="UY63" s="50"/>
      <c r="UZ63" s="50"/>
      <c r="VA63" s="50"/>
      <c r="VB63" s="50"/>
      <c r="VC63" s="50"/>
      <c r="VD63" s="50"/>
      <c r="VE63" s="50"/>
      <c r="VF63" s="50"/>
      <c r="VG63" s="50"/>
      <c r="VH63" s="50"/>
      <c r="VI63" s="50"/>
      <c r="VJ63" s="50"/>
      <c r="VK63" s="50"/>
      <c r="VL63" s="50"/>
      <c r="VM63" s="50"/>
      <c r="VN63" s="50"/>
      <c r="VO63" s="50"/>
      <c r="VP63" s="50"/>
      <c r="VQ63" s="50"/>
      <c r="VR63" s="50"/>
      <c r="VS63" s="50"/>
      <c r="VT63" s="50"/>
      <c r="VU63" s="50"/>
      <c r="VV63" s="50"/>
      <c r="VW63" s="276">
        <f t="shared" si="57"/>
        <v>233.45740599999999</v>
      </c>
      <c r="VX63" s="292">
        <f t="shared" si="58"/>
        <v>95.950996000000004</v>
      </c>
      <c r="VY63" s="292">
        <f t="shared" si="59"/>
        <v>329.40840200000002</v>
      </c>
      <c r="VZ63" s="276">
        <f t="shared" si="60"/>
        <v>343.28278399999999</v>
      </c>
      <c r="WA63" s="292">
        <f t="shared" si="61"/>
        <v>109.658755</v>
      </c>
      <c r="WB63" s="292">
        <f t="shared" si="62"/>
        <v>452.94153899999998</v>
      </c>
      <c r="WC63" s="277">
        <f t="shared" si="112"/>
        <v>123.53313699999995</v>
      </c>
      <c r="WD63" s="277">
        <f t="shared" si="104"/>
        <v>37.501513698487855</v>
      </c>
    </row>
    <row r="64" spans="1:602" s="12" customFormat="1" ht="20.5">
      <c r="A64" s="314" t="s">
        <v>165</v>
      </c>
      <c r="B64" s="13">
        <v>5100</v>
      </c>
      <c r="C64" s="47" t="s">
        <v>166</v>
      </c>
      <c r="D64" s="45">
        <v>29.163815231558157</v>
      </c>
      <c r="E64" s="42">
        <v>41.647038150038988</v>
      </c>
      <c r="F64" s="42">
        <v>11.998113271979101</v>
      </c>
      <c r="G64" s="42">
        <v>13.748235638954815</v>
      </c>
      <c r="H64" s="42">
        <v>0.17715037193869132</v>
      </c>
      <c r="I64" s="42">
        <v>1.2995769375245445</v>
      </c>
      <c r="J64" s="42">
        <v>1.0110787502632312</v>
      </c>
      <c r="K64" s="42">
        <v>0.19497741902436527</v>
      </c>
      <c r="L64" s="42">
        <v>1.5288078468534614</v>
      </c>
      <c r="M64" s="42">
        <v>1.4086826056766895</v>
      </c>
      <c r="N64" s="42">
        <v>1.0144094228262788</v>
      </c>
      <c r="O64" s="42">
        <v>0.77053346309924242</v>
      </c>
      <c r="P64" s="42">
        <v>3.7759887536212084</v>
      </c>
      <c r="Q64" s="42">
        <v>1.9862991673354167</v>
      </c>
      <c r="R64" s="42">
        <v>2.1425390293737654</v>
      </c>
      <c r="S64" s="42">
        <v>9.9064820917353895</v>
      </c>
      <c r="T64" s="44" t="s">
        <v>46</v>
      </c>
      <c r="U64" s="44" t="s">
        <v>46</v>
      </c>
      <c r="V64" s="42">
        <v>25.216525859272284</v>
      </c>
      <c r="W64" s="42">
        <v>25.216535477885728</v>
      </c>
      <c r="X64" s="42">
        <v>0.81919994763831749</v>
      </c>
      <c r="Y64" s="42">
        <v>0.58940899596473562</v>
      </c>
      <c r="Z64" s="42">
        <v>1.6702171160058987</v>
      </c>
      <c r="AA64" s="42">
        <v>0.91749871941905647</v>
      </c>
      <c r="AB64" s="42">
        <v>1.9218416514419383</v>
      </c>
      <c r="AC64" s="42">
        <v>2.1925287846967292</v>
      </c>
      <c r="AD64" s="42">
        <v>1.4058713382393955</v>
      </c>
      <c r="AE64" s="42">
        <v>2.1822129640715038</v>
      </c>
      <c r="AF64" s="42">
        <v>1.1222958321220295</v>
      </c>
      <c r="AG64" s="42">
        <v>2.0873358717366437</v>
      </c>
      <c r="AH64" s="42">
        <v>2.780297209463805</v>
      </c>
      <c r="AI64" s="42">
        <v>7.8908472347909235</v>
      </c>
      <c r="AJ64" s="44" t="s">
        <v>46</v>
      </c>
      <c r="AK64" s="44" t="s">
        <v>46</v>
      </c>
      <c r="AL64" s="42">
        <v>25.579555665590973</v>
      </c>
      <c r="AM64" s="42">
        <v>25.579565568778779</v>
      </c>
      <c r="AN64" s="42">
        <v>1.6909323225251991</v>
      </c>
      <c r="AO64" s="42">
        <v>0.36307724486485565</v>
      </c>
      <c r="AP64" s="42">
        <v>2.1978869357601836</v>
      </c>
      <c r="AQ64" s="42">
        <v>2.9908751088496932</v>
      </c>
      <c r="AR64" s="42">
        <v>1.6494360305291378</v>
      </c>
      <c r="AS64" s="42">
        <v>1.0022552518198531</v>
      </c>
      <c r="AT64" s="42">
        <v>2.35607936209811</v>
      </c>
      <c r="AU64" s="42">
        <v>1.3905155206857105</v>
      </c>
      <c r="AV64" s="42">
        <v>1.0943662813529802</v>
      </c>
      <c r="AW64" s="42">
        <v>2.3548884183926102</v>
      </c>
      <c r="AX64" s="42">
        <v>3.7858492552688943</v>
      </c>
      <c r="AY64" s="42">
        <v>9.3362843694685864</v>
      </c>
      <c r="AZ64" s="50">
        <v>0</v>
      </c>
      <c r="BA64" s="50">
        <v>30.212446101615814</v>
      </c>
      <c r="BB64" s="50">
        <v>30.212446101615814</v>
      </c>
      <c r="BC64" s="44">
        <f t="shared" si="21"/>
        <v>30.212461795891887</v>
      </c>
      <c r="BD64" s="52">
        <v>0</v>
      </c>
      <c r="BE64" s="42">
        <v>30.212461795891887</v>
      </c>
      <c r="BF64" s="44">
        <v>0.11922184</v>
      </c>
      <c r="BG64" s="44">
        <v>0.41039356999999999</v>
      </c>
      <c r="BH64" s="44">
        <v>0.52961599999999998</v>
      </c>
      <c r="BI64" s="42">
        <v>0.26910610000000001</v>
      </c>
      <c r="BJ64" s="42">
        <v>0.88093562999999997</v>
      </c>
      <c r="BK64" s="42">
        <v>1.1500410000000001</v>
      </c>
      <c r="BL64" s="44">
        <v>0.53066807000000005</v>
      </c>
      <c r="BM64" s="44">
        <v>0.53564184999999997</v>
      </c>
      <c r="BN64" s="44">
        <v>1.0663100000000001</v>
      </c>
      <c r="BO64" s="44">
        <v>9.5296980000000045E-2</v>
      </c>
      <c r="BP64" s="44">
        <v>0.51582182999999981</v>
      </c>
      <c r="BQ64" s="44">
        <v>0.61111899999999997</v>
      </c>
      <c r="BR64" s="44">
        <v>0.49509882999999993</v>
      </c>
      <c r="BS64" s="44">
        <v>0.67973229999999984</v>
      </c>
      <c r="BT64" s="44">
        <v>1.174831</v>
      </c>
      <c r="BU64" s="44">
        <v>0.73826548999999997</v>
      </c>
      <c r="BV64" s="44">
        <v>0.53050053000000008</v>
      </c>
      <c r="BW64" s="44">
        <v>1.2687660000000001</v>
      </c>
      <c r="BX64" s="44">
        <v>0.69294600000000006</v>
      </c>
      <c r="BY64" s="44">
        <v>1.10925155</v>
      </c>
      <c r="BZ64" s="44">
        <v>1.8021975499999998</v>
      </c>
      <c r="CA64" s="44">
        <v>1.1194601199999998</v>
      </c>
      <c r="CB64" s="44">
        <v>0.46603568999999995</v>
      </c>
      <c r="CC64" s="44">
        <v>1.5854950000000001</v>
      </c>
      <c r="CD64" s="44">
        <v>0.73199383000000007</v>
      </c>
      <c r="CE64" s="50">
        <v>0.7373017799999998</v>
      </c>
      <c r="CF64" s="44">
        <f>CD64+CE64</f>
        <v>1.4692956099999999</v>
      </c>
      <c r="CG64" s="44">
        <v>1.0292047299999998</v>
      </c>
      <c r="CH64" s="50">
        <v>0.46121886000000001</v>
      </c>
      <c r="CI64" s="44">
        <f>CG64+CH64</f>
        <v>1.4904235899999998</v>
      </c>
      <c r="CJ64" s="42">
        <v>0.9550639900000002</v>
      </c>
      <c r="CK64" s="42">
        <v>0.87687029000000005</v>
      </c>
      <c r="CL64" s="44">
        <f>CJ64+CK64</f>
        <v>1.8319342800000002</v>
      </c>
      <c r="CM64" s="42">
        <v>9.3249891500000022</v>
      </c>
      <c r="CN64" s="42">
        <v>5.5298018599999992</v>
      </c>
      <c r="CO64" s="44">
        <f>CM64+CN64</f>
        <v>14.854791010000001</v>
      </c>
      <c r="CP64" s="44">
        <f t="shared" si="24"/>
        <v>16.101315130000003</v>
      </c>
      <c r="CQ64" s="44">
        <f t="shared" si="25"/>
        <v>12.733505739999998</v>
      </c>
      <c r="CR64" s="44">
        <f t="shared" si="26"/>
        <v>28.83482004</v>
      </c>
      <c r="CS64" s="44">
        <f t="shared" si="123"/>
        <v>16.103245999999999</v>
      </c>
      <c r="CT64" s="44">
        <v>12.733506</v>
      </c>
      <c r="CU64" s="42">
        <v>28.836752000000001</v>
      </c>
      <c r="CV64" s="42">
        <v>0.45609490000000003</v>
      </c>
      <c r="CW64" s="42">
        <v>1.1588073999999999</v>
      </c>
      <c r="CX64" s="44">
        <f>CV64+CW64</f>
        <v>1.6149023</v>
      </c>
      <c r="CY64" s="42">
        <v>0.29650488000000003</v>
      </c>
      <c r="CZ64" s="42">
        <v>1.10101951</v>
      </c>
      <c r="DA64" s="44">
        <v>1.3975243900000001</v>
      </c>
      <c r="DB64" s="42">
        <v>0.33948840999999996</v>
      </c>
      <c r="DC64" s="42">
        <v>0.56848094999999987</v>
      </c>
      <c r="DD64" s="44">
        <v>0.90796935999999984</v>
      </c>
      <c r="DE64" s="42">
        <v>0.49651355999999996</v>
      </c>
      <c r="DF64" s="42">
        <v>0.86594116999999993</v>
      </c>
      <c r="DG64" s="44">
        <v>1.3624547299999998</v>
      </c>
      <c r="DH64" s="42">
        <v>0.34503112999999985</v>
      </c>
      <c r="DI64" s="42">
        <v>1.1016186300000002</v>
      </c>
      <c r="DJ64" s="44">
        <v>1.4466497600000001</v>
      </c>
      <c r="DK64" s="42">
        <v>0.88089198999999996</v>
      </c>
      <c r="DL64" s="42">
        <v>1.1508706400000002</v>
      </c>
      <c r="DM64" s="44">
        <v>2.0317626300000002</v>
      </c>
      <c r="DN64" s="42">
        <v>0.35937166999999998</v>
      </c>
      <c r="DO64" s="42">
        <v>3.5054610599999991</v>
      </c>
      <c r="DP64" s="44">
        <v>3.8648327299999989</v>
      </c>
      <c r="DQ64" s="42">
        <v>0.86321164000000006</v>
      </c>
      <c r="DR64" s="42">
        <v>0.13700904999999999</v>
      </c>
      <c r="DS64" s="44">
        <v>1.0002206900000001</v>
      </c>
      <c r="DT64" s="42">
        <v>1.30222814</v>
      </c>
      <c r="DU64" s="42">
        <v>1.6811405100000003</v>
      </c>
      <c r="DV64" s="44">
        <v>2.9833686500000001</v>
      </c>
      <c r="DW64" s="42">
        <v>0.95232806000000014</v>
      </c>
      <c r="DX64" s="42">
        <v>1.4019328100000001</v>
      </c>
      <c r="DY64" s="44">
        <v>2.3542608700000001</v>
      </c>
      <c r="DZ64" s="42">
        <v>0.82395500999999982</v>
      </c>
      <c r="EA64" s="42">
        <v>2.9354006399999992</v>
      </c>
      <c r="EB64" s="44">
        <v>3.7593556499999989</v>
      </c>
      <c r="EC64" s="42">
        <v>5.93091481</v>
      </c>
      <c r="ED64" s="42">
        <v>6.8107587999999994</v>
      </c>
      <c r="EE64" s="44">
        <v>12.741673609999999</v>
      </c>
      <c r="EF64" s="50">
        <f t="shared" si="27"/>
        <v>13.0465342</v>
      </c>
      <c r="EG64" s="73">
        <f t="shared" si="28"/>
        <v>22.418441169999998</v>
      </c>
      <c r="EH64" s="50">
        <f t="shared" si="29"/>
        <v>35.464975370000005</v>
      </c>
      <c r="EI64" s="50">
        <f t="shared" si="94"/>
        <v>13.12085883</v>
      </c>
      <c r="EJ64" s="94">
        <v>22.418441169999998</v>
      </c>
      <c r="EK64" s="50">
        <v>35.539299999999997</v>
      </c>
      <c r="EL64" s="50">
        <v>0.15497149000000002</v>
      </c>
      <c r="EM64" s="50">
        <v>0</v>
      </c>
      <c r="EN64" s="50">
        <v>0.15497149000000002</v>
      </c>
      <c r="EO64" s="50">
        <v>0.26450379999999996</v>
      </c>
      <c r="EP64" s="50">
        <v>5.0877890000000002E-2</v>
      </c>
      <c r="EQ64" s="50">
        <v>0.31538168999999994</v>
      </c>
      <c r="ER64" s="50">
        <v>0.68541090000000005</v>
      </c>
      <c r="ES64" s="50">
        <v>0</v>
      </c>
      <c r="ET64" s="50">
        <v>0.68541090000000005</v>
      </c>
      <c r="EU64" s="50">
        <v>1.5272686200000001</v>
      </c>
      <c r="EV64" s="50">
        <v>7.4735759999999998E-2</v>
      </c>
      <c r="EW64" s="50">
        <v>1.6020043800000001</v>
      </c>
      <c r="EX64" s="50">
        <v>1.0543018400000002</v>
      </c>
      <c r="EY64" s="50">
        <v>1.1725101199999999</v>
      </c>
      <c r="EZ64" s="50">
        <v>2.22681196</v>
      </c>
      <c r="FA64" s="50">
        <v>0.79839130999999997</v>
      </c>
      <c r="FB64" s="50">
        <v>0.54916280999999989</v>
      </c>
      <c r="FC64" s="50">
        <v>1.3475541199999999</v>
      </c>
      <c r="FD64" s="50">
        <v>0.61201274999999999</v>
      </c>
      <c r="FE64" s="50">
        <v>5.8398729999999996E-2</v>
      </c>
      <c r="FF64" s="50">
        <v>0.67041147999999995</v>
      </c>
      <c r="FG64" s="50">
        <v>0.46996834000000004</v>
      </c>
      <c r="FH64" s="50">
        <v>0.13871857999999998</v>
      </c>
      <c r="FI64" s="50">
        <v>0.60868692000000002</v>
      </c>
      <c r="FJ64" s="50">
        <v>1.2306437900000002</v>
      </c>
      <c r="FK64" s="50">
        <v>6.7412820000000012E-2</v>
      </c>
      <c r="FL64" s="50">
        <v>1.2980566100000002</v>
      </c>
      <c r="FM64" s="50">
        <v>1.3149006799999996</v>
      </c>
      <c r="FN64" s="50">
        <v>0.28949461000000004</v>
      </c>
      <c r="FO64" s="50">
        <v>1.6043952899999996</v>
      </c>
      <c r="FP64" s="50">
        <v>1.5375880299999998</v>
      </c>
      <c r="FQ64" s="50">
        <v>0.24073227000000003</v>
      </c>
      <c r="FR64" s="50">
        <v>1.7783202999999999</v>
      </c>
      <c r="FS64" s="50">
        <v>7.3282985099999989</v>
      </c>
      <c r="FT64" s="50">
        <v>0.69263238999999999</v>
      </c>
      <c r="FU64" s="50">
        <v>8.0209308999999998</v>
      </c>
      <c r="FV64" s="50">
        <f t="shared" si="30"/>
        <v>16.97826006</v>
      </c>
      <c r="FW64" s="50">
        <f t="shared" si="31"/>
        <v>3.3346759800000001</v>
      </c>
      <c r="FX64" s="50">
        <f t="shared" si="32"/>
        <v>20.31293604</v>
      </c>
      <c r="FY64" s="50">
        <f t="shared" si="95"/>
        <v>16.978268730000007</v>
      </c>
      <c r="FZ64" s="50">
        <f>FZ63-FZ65</f>
        <v>3.3346742699999936</v>
      </c>
      <c r="GA64" s="50">
        <v>20.312943000000001</v>
      </c>
      <c r="GB64" s="50">
        <v>0.7265079900000001</v>
      </c>
      <c r="GC64" s="50">
        <v>1.7476709999999999E-2</v>
      </c>
      <c r="GD64" s="50">
        <v>0.74398470000000005</v>
      </c>
      <c r="GE64" s="50">
        <v>0.93832244999999992</v>
      </c>
      <c r="GF64" s="50">
        <v>0.10822751000000001</v>
      </c>
      <c r="GG64" s="50">
        <v>1.0465499599999999</v>
      </c>
      <c r="GH64" s="50">
        <v>0.36639047999999996</v>
      </c>
      <c r="GI64" s="50">
        <v>0.36095687999999992</v>
      </c>
      <c r="GJ64" s="50">
        <v>0.72734735999999989</v>
      </c>
      <c r="GK64" s="50">
        <v>0.74679518000000011</v>
      </c>
      <c r="GL64" s="50">
        <v>1.7058412700000001</v>
      </c>
      <c r="GM64" s="50">
        <v>2.45263645</v>
      </c>
      <c r="GN64" s="50">
        <v>0.42319379999999995</v>
      </c>
      <c r="GO64" s="50">
        <v>0.28568580999999993</v>
      </c>
      <c r="GP64" s="50">
        <v>0.70887960999999988</v>
      </c>
      <c r="GQ64" s="50">
        <v>1.8032591599999996</v>
      </c>
      <c r="GR64" s="50">
        <v>0.25937796999999996</v>
      </c>
      <c r="GS64" s="50">
        <v>2.0626371299999997</v>
      </c>
      <c r="GT64" s="50">
        <v>0.55603756000000004</v>
      </c>
      <c r="GU64" s="50">
        <v>0.82220863000000022</v>
      </c>
      <c r="GV64" s="50">
        <v>1.3782461900000003</v>
      </c>
      <c r="GW64" s="50">
        <v>0.9499977300000001</v>
      </c>
      <c r="GX64" s="50">
        <v>0.21344599999999997</v>
      </c>
      <c r="GY64" s="50">
        <v>1.16344373</v>
      </c>
      <c r="GZ64" s="50">
        <v>0.97360460999999987</v>
      </c>
      <c r="HA64" s="50">
        <v>0.44352967000000004</v>
      </c>
      <c r="HB64" s="50">
        <v>1.41713428</v>
      </c>
      <c r="HC64" s="50">
        <v>0.92206560999999987</v>
      </c>
      <c r="HD64" s="50">
        <v>1.2346675900000001</v>
      </c>
      <c r="HE64" s="50">
        <v>2.1567332000000001</v>
      </c>
      <c r="HF64" s="50">
        <v>1.2516222899999998</v>
      </c>
      <c r="HG64" s="50">
        <v>0.39601475000000014</v>
      </c>
      <c r="HH64" s="50">
        <v>1.64763704</v>
      </c>
      <c r="HI64" s="50">
        <v>5.8336358299999995</v>
      </c>
      <c r="HJ64" s="50">
        <v>1.1774175500000004</v>
      </c>
      <c r="HK64" s="50">
        <v>7.0110533799999999</v>
      </c>
      <c r="HL64" s="50">
        <f t="shared" si="33"/>
        <v>15.49143269</v>
      </c>
      <c r="HM64" s="50">
        <f t="shared" si="34"/>
        <v>7.0248503400000004</v>
      </c>
      <c r="HN64" s="50">
        <f t="shared" si="35"/>
        <v>22.516283029999997</v>
      </c>
      <c r="HO64" s="50">
        <f t="shared" si="96"/>
        <v>15.483252000000004</v>
      </c>
      <c r="HP64" s="50">
        <f>HP63-HP65</f>
        <v>7.044241999999997</v>
      </c>
      <c r="HQ64" s="50">
        <v>22.527494000000001</v>
      </c>
      <c r="HR64" s="50">
        <v>0.72916809000000005</v>
      </c>
      <c r="HS64" s="50">
        <v>0.99365722999999995</v>
      </c>
      <c r="HT64" s="50">
        <v>1.7228253200000001</v>
      </c>
      <c r="HU64" s="50">
        <v>0.24938595999999996</v>
      </c>
      <c r="HV64" s="50">
        <v>0.26210569</v>
      </c>
      <c r="HW64" s="50">
        <v>0.51149164999999996</v>
      </c>
      <c r="HX64" s="50">
        <v>0.38070909000000008</v>
      </c>
      <c r="HY64" s="50">
        <v>0.72480828000000008</v>
      </c>
      <c r="HZ64" s="50">
        <v>1.1055173700000001</v>
      </c>
      <c r="IA64" s="50">
        <v>0.95541823999999997</v>
      </c>
      <c r="IB64" s="50">
        <v>1.1328878100000002</v>
      </c>
      <c r="IC64" s="50">
        <v>2.0883060499999999</v>
      </c>
      <c r="ID64" s="50">
        <v>0.89939132999999993</v>
      </c>
      <c r="IE64" s="50">
        <v>0.53275112999999996</v>
      </c>
      <c r="IF64" s="50">
        <v>1.4321424599999997</v>
      </c>
      <c r="IG64" s="50">
        <v>1.30497898</v>
      </c>
      <c r="IH64" s="50">
        <v>1.3774612500000001</v>
      </c>
      <c r="II64" s="50">
        <v>2.6824402300000005</v>
      </c>
      <c r="IJ64" s="50">
        <v>0.91227623000000002</v>
      </c>
      <c r="IK64" s="50">
        <v>0.93351339</v>
      </c>
      <c r="IL64" s="50">
        <v>1.8457896200000001</v>
      </c>
      <c r="IM64" s="50">
        <v>0.93686515000000004</v>
      </c>
      <c r="IN64" s="50">
        <v>0.49013228000000003</v>
      </c>
      <c r="IO64" s="50">
        <v>1.4269974299999999</v>
      </c>
      <c r="IP64" s="50">
        <v>1.3279760600000001</v>
      </c>
      <c r="IQ64" s="50">
        <v>1.4680006400000001</v>
      </c>
      <c r="IR64" s="50">
        <v>2.7959767000000006</v>
      </c>
      <c r="IS64" s="50">
        <v>0.74835905000000014</v>
      </c>
      <c r="IT64" s="50">
        <v>0.78669149999999999</v>
      </c>
      <c r="IU64" s="50">
        <v>1.5350505500000002</v>
      </c>
      <c r="IV64" s="50">
        <v>1.3629421399999999</v>
      </c>
      <c r="IW64" s="50">
        <v>0.66115811000000013</v>
      </c>
      <c r="IX64" s="50">
        <v>2.02410025</v>
      </c>
      <c r="IY64" s="50">
        <v>8.8707900199999994</v>
      </c>
      <c r="IZ64" s="50">
        <v>3.9363632799999992</v>
      </c>
      <c r="JA64" s="50">
        <v>12.807153300000003</v>
      </c>
      <c r="JB64" s="50">
        <f t="shared" si="36"/>
        <v>18.678260339999998</v>
      </c>
      <c r="JC64" s="50">
        <f t="shared" si="37"/>
        <v>13.29953059</v>
      </c>
      <c r="JD64" s="50">
        <f t="shared" si="38"/>
        <v>31.977790930000005</v>
      </c>
      <c r="JE64" s="50">
        <f t="shared" si="97"/>
        <v>18.657455200000005</v>
      </c>
      <c r="JF64" s="50">
        <f>JF63-JF65</f>
        <v>13.304524799999996</v>
      </c>
      <c r="JG64" s="50">
        <v>31.961980000000001</v>
      </c>
      <c r="JH64" s="50">
        <v>0.32267766999999997</v>
      </c>
      <c r="JI64" s="50">
        <v>0.62664270000000011</v>
      </c>
      <c r="JJ64" s="50">
        <v>0.94932037000000002</v>
      </c>
      <c r="JK64" s="50">
        <v>0.14086711999999998</v>
      </c>
      <c r="JL64" s="50">
        <v>0.77698074000000017</v>
      </c>
      <c r="JM64" s="50">
        <v>0.91784786000000007</v>
      </c>
      <c r="JN64" s="50">
        <v>0.41742224</v>
      </c>
      <c r="JO64" s="50">
        <v>0.54957621000000012</v>
      </c>
      <c r="JP64" s="50">
        <v>0.96699845000000006</v>
      </c>
      <c r="JQ64" s="50">
        <v>0.34049360000000001</v>
      </c>
      <c r="JR64" s="50">
        <v>1.12212763</v>
      </c>
      <c r="JS64" s="50">
        <v>1.4626212299999999</v>
      </c>
      <c r="JT64" s="50">
        <v>0.55951826999999998</v>
      </c>
      <c r="JU64" s="50">
        <v>1.34120781</v>
      </c>
      <c r="JV64" s="50">
        <v>1.9007260800000001</v>
      </c>
      <c r="JW64" s="50">
        <v>0.90114896999999994</v>
      </c>
      <c r="JX64" s="50">
        <v>1.35548873</v>
      </c>
      <c r="JY64" s="50">
        <v>2.2566377000000002</v>
      </c>
      <c r="JZ64" s="50">
        <v>0.85967941000000003</v>
      </c>
      <c r="KA64" s="50">
        <v>1.7915804199999998</v>
      </c>
      <c r="KB64" s="50">
        <v>2.6512598299999999</v>
      </c>
      <c r="KC64" s="50">
        <v>0.50084976000000003</v>
      </c>
      <c r="KD64" s="50">
        <v>1.7143588800000003</v>
      </c>
      <c r="KE64" s="50">
        <v>2.2152086400000002</v>
      </c>
      <c r="KF64" s="50">
        <v>0.58115212000000005</v>
      </c>
      <c r="KG64" s="50">
        <v>2.3303829299999999</v>
      </c>
      <c r="KH64" s="50">
        <v>2.9115350499999999</v>
      </c>
      <c r="KI64" s="50">
        <v>1.5985311699999998</v>
      </c>
      <c r="KJ64" s="50">
        <v>0.9589649400000001</v>
      </c>
      <c r="KK64" s="50">
        <v>2.5574961099999998</v>
      </c>
      <c r="KL64" s="50">
        <v>1.4342560000000002</v>
      </c>
      <c r="KM64" s="50">
        <v>1.4396036800000003</v>
      </c>
      <c r="KN64" s="50">
        <v>2.8738596799999998</v>
      </c>
      <c r="KO64" s="50">
        <v>8.8723868400000026</v>
      </c>
      <c r="KP64" s="50">
        <v>6.6940258500000001</v>
      </c>
      <c r="KQ64" s="50">
        <v>15.566412690000002</v>
      </c>
      <c r="KR64" s="50">
        <f t="shared" si="48"/>
        <v>16.528983170000004</v>
      </c>
      <c r="KS64" s="50">
        <f t="shared" si="39"/>
        <v>20.70094052</v>
      </c>
      <c r="KT64" s="50">
        <f t="shared" si="49"/>
        <v>37.22992369</v>
      </c>
      <c r="KU64" s="50">
        <f t="shared" si="98"/>
        <v>16.480955000000002</v>
      </c>
      <c r="KV64" s="50">
        <v>20.700941</v>
      </c>
      <c r="KW64" s="50">
        <v>37.181896000000002</v>
      </c>
      <c r="KX64" s="50">
        <v>0.64569044999999992</v>
      </c>
      <c r="KY64" s="50">
        <v>0.58762330000000007</v>
      </c>
      <c r="KZ64" s="50">
        <v>1.23331375</v>
      </c>
      <c r="LA64" s="50">
        <v>0.52739376000000004</v>
      </c>
      <c r="LB64" s="50">
        <v>1.4658785400000001</v>
      </c>
      <c r="LC64" s="50">
        <v>1.9932723000000001</v>
      </c>
      <c r="LD64" s="50">
        <v>1.0339518700000001</v>
      </c>
      <c r="LE64" s="50">
        <v>1.24687075</v>
      </c>
      <c r="LF64" s="87">
        <v>2.2808226199999999</v>
      </c>
      <c r="LG64" s="50">
        <v>0.74743807999999989</v>
      </c>
      <c r="LH64" s="50">
        <v>1.1245667100000003</v>
      </c>
      <c r="LI64" s="175">
        <v>1.8720047900000001</v>
      </c>
      <c r="LJ64" s="50">
        <v>0.6054553399999999</v>
      </c>
      <c r="LK64" s="175">
        <v>0.30293569000000004</v>
      </c>
      <c r="LL64" s="174">
        <v>0.90839102999999977</v>
      </c>
      <c r="LM64" s="50">
        <v>1.01925332</v>
      </c>
      <c r="LN64" s="50">
        <v>0.74718061999999996</v>
      </c>
      <c r="LO64" s="50">
        <v>1.7664339399999998</v>
      </c>
      <c r="LP64" s="44">
        <v>0.81139202999999993</v>
      </c>
      <c r="LQ64" s="44">
        <v>1.4759760300000002</v>
      </c>
      <c r="LR64" s="44">
        <v>2.2873680599999995</v>
      </c>
      <c r="LS64" s="52">
        <v>0.89738795000000005</v>
      </c>
      <c r="LT64" s="44">
        <v>2.01485118</v>
      </c>
      <c r="LU64" s="49">
        <v>2.9122391300000006</v>
      </c>
      <c r="LV64" s="44">
        <v>2.3447286600000004</v>
      </c>
      <c r="LW64" s="44">
        <v>3.2028153099999987</v>
      </c>
      <c r="LX64" s="44">
        <v>5.5475439700000004</v>
      </c>
      <c r="LY64" s="44">
        <v>1.4287957399999995</v>
      </c>
      <c r="LZ64" s="44">
        <v>2.2300091400000004</v>
      </c>
      <c r="MA64" s="44">
        <v>3.658804879999999</v>
      </c>
      <c r="MB64" s="44">
        <v>2.40977021</v>
      </c>
      <c r="MC64" s="44">
        <v>3.5158889500000008</v>
      </c>
      <c r="MD64" s="44">
        <v>5.9256591600000013</v>
      </c>
      <c r="ME64" s="44">
        <v>10.201890029999996</v>
      </c>
      <c r="MF64" s="44">
        <v>5.7264375000000012</v>
      </c>
      <c r="MG64" s="44">
        <v>15.928327529999994</v>
      </c>
      <c r="MH64" s="50">
        <f t="shared" si="66"/>
        <v>22.673147439999994</v>
      </c>
      <c r="MI64" s="50">
        <f t="shared" si="50"/>
        <v>23.641033720000003</v>
      </c>
      <c r="MJ64" s="50">
        <f t="shared" si="51"/>
        <v>46.31418115999999</v>
      </c>
      <c r="MK64" s="50">
        <f t="shared" si="99"/>
        <v>22.562541279999998</v>
      </c>
      <c r="ML64" s="50">
        <v>23.641033720000003</v>
      </c>
      <c r="MM64" s="50">
        <v>46.203575000000001</v>
      </c>
      <c r="MN64" s="44">
        <v>1.4446310799999997</v>
      </c>
      <c r="MO64" s="44">
        <v>0.64701723000000011</v>
      </c>
      <c r="MP64" s="44">
        <v>2.0916483099999996</v>
      </c>
      <c r="MQ64" s="44">
        <v>1.0930783199999998</v>
      </c>
      <c r="MR64" s="44">
        <v>0.30986638000000005</v>
      </c>
      <c r="MS64" s="44">
        <v>1.4029446999999999</v>
      </c>
      <c r="MT64" s="50">
        <v>0.84629129999999997</v>
      </c>
      <c r="MU64" s="50">
        <v>1.0805041799999999</v>
      </c>
      <c r="MV64" s="50">
        <v>1.9267954799999993</v>
      </c>
      <c r="MW64" s="44">
        <v>1.6229839699999997</v>
      </c>
      <c r="MX64" s="44">
        <v>0.76504131000000009</v>
      </c>
      <c r="MY64" s="44">
        <v>2.388025279999999</v>
      </c>
      <c r="MZ64" s="44">
        <v>1.0323619800000001</v>
      </c>
      <c r="NA64" s="44">
        <v>0.61613038000000009</v>
      </c>
      <c r="NB64" s="44">
        <v>1.6484923600000003</v>
      </c>
      <c r="NC64" s="44">
        <v>1.8531403400000004</v>
      </c>
      <c r="ND64" s="44">
        <v>0.8409436600000002</v>
      </c>
      <c r="NE64" s="44">
        <v>2.694084000000001</v>
      </c>
      <c r="NF64" s="44">
        <v>3.8639836999999995</v>
      </c>
      <c r="NG64" s="44">
        <v>2.1883217199999998</v>
      </c>
      <c r="NH64" s="44">
        <v>6.052305419999997</v>
      </c>
      <c r="NI64" s="44">
        <v>2.5828801299999995</v>
      </c>
      <c r="NJ64" s="44">
        <v>3.04647457</v>
      </c>
      <c r="NK64" s="44">
        <v>5.6293547000000004</v>
      </c>
      <c r="NL64" s="44">
        <v>1.8027796499999997</v>
      </c>
      <c r="NM64" s="44">
        <v>0.5359711399999999</v>
      </c>
      <c r="NN64" s="44">
        <v>2.3387507899999993</v>
      </c>
      <c r="NO64" s="44">
        <v>0.39793782</v>
      </c>
      <c r="NP64" s="44">
        <v>2.4247538500000001</v>
      </c>
      <c r="NQ64" s="44">
        <v>2.8226916700000002</v>
      </c>
      <c r="NR64" s="44">
        <v>2.5513105299999999</v>
      </c>
      <c r="NS64" s="44">
        <v>0.45425634000000009</v>
      </c>
      <c r="NT64" s="44">
        <v>3.0055668699999996</v>
      </c>
      <c r="NU64" s="44">
        <v>11.797231530000001</v>
      </c>
      <c r="NV64" s="44">
        <v>4.9446214699999995</v>
      </c>
      <c r="NW64" s="44">
        <v>16.741853000000003</v>
      </c>
      <c r="NX64" s="50">
        <f t="shared" si="117"/>
        <v>30.888610349999997</v>
      </c>
      <c r="NY64" s="50">
        <f t="shared" si="40"/>
        <v>17.853902230000003</v>
      </c>
      <c r="NZ64" s="50">
        <f t="shared" si="41"/>
        <v>48.742512579999996</v>
      </c>
      <c r="OA64" s="50">
        <f t="shared" si="100"/>
        <v>30.791353770000001</v>
      </c>
      <c r="OB64" s="50">
        <v>17.853902230000003</v>
      </c>
      <c r="OC64" s="50">
        <v>48.645256000000003</v>
      </c>
      <c r="OD64" s="44">
        <v>1.3427474799999999</v>
      </c>
      <c r="OE64" s="44">
        <v>0.26544173999999998</v>
      </c>
      <c r="OF64" s="44">
        <v>1.6081892200000005</v>
      </c>
      <c r="OG64" s="50">
        <v>0.28107632999999999</v>
      </c>
      <c r="OH64" s="44">
        <v>0.85995825999999986</v>
      </c>
      <c r="OI64" s="44">
        <v>1.1410345899999998</v>
      </c>
      <c r="OJ64" s="44">
        <f t="shared" si="107"/>
        <v>1.5134779199999993</v>
      </c>
      <c r="OK64" s="44">
        <v>0.91911271000000017</v>
      </c>
      <c r="OL64" s="44">
        <v>2.4325906299999995</v>
      </c>
      <c r="OM64" s="44">
        <v>1.44461054</v>
      </c>
      <c r="ON64" s="44">
        <v>1.6197998400000002</v>
      </c>
      <c r="OO64" s="44">
        <v>3.0644103799999995</v>
      </c>
      <c r="OP64" s="44">
        <v>1.20936139</v>
      </c>
      <c r="OQ64" s="44">
        <v>0.67261076999999991</v>
      </c>
      <c r="OR64" s="44">
        <v>1.8819721599999999</v>
      </c>
      <c r="OS64" s="44">
        <v>1.2990549199999999</v>
      </c>
      <c r="OT64" s="44">
        <v>0.68806803000000005</v>
      </c>
      <c r="OU64" s="44">
        <v>1.9871229500000001</v>
      </c>
      <c r="OV64" s="44">
        <v>2.2821584800000005</v>
      </c>
      <c r="OW64" s="44">
        <v>1.45473827</v>
      </c>
      <c r="OX64" s="44">
        <v>3.7368967500000005</v>
      </c>
      <c r="OY64" s="95">
        <v>2.3150338699999997</v>
      </c>
      <c r="OZ64" s="95">
        <v>1.6753885400000001</v>
      </c>
      <c r="PA64" s="95">
        <v>3.9904224099999999</v>
      </c>
      <c r="PB64" s="44">
        <v>1.6055290699999993</v>
      </c>
      <c r="PC64" s="44">
        <v>2.3558339699999999</v>
      </c>
      <c r="PD64" s="44">
        <v>3.9613630399999993</v>
      </c>
      <c r="PE64" s="44">
        <v>3.8201873500000008</v>
      </c>
      <c r="PF64" s="44">
        <v>2.75060708</v>
      </c>
      <c r="PG64" s="44">
        <v>6.5707944300000012</v>
      </c>
      <c r="PH64" s="44">
        <v>2.4637176099999998</v>
      </c>
      <c r="PI64" s="44">
        <v>2.4541816100000005</v>
      </c>
      <c r="PJ64" s="44">
        <v>4.9178992199999989</v>
      </c>
      <c r="PK64" s="44">
        <v>18.331925789999996</v>
      </c>
      <c r="PL64" s="44">
        <v>5.8727632099999996</v>
      </c>
      <c r="PM64" s="44">
        <v>24.204688999999998</v>
      </c>
      <c r="PN64" s="50">
        <f t="shared" si="122"/>
        <v>37.908880749999994</v>
      </c>
      <c r="PO64" s="50">
        <f t="shared" si="108"/>
        <v>21.588504029999999</v>
      </c>
      <c r="PP64" s="50">
        <f t="shared" si="116"/>
        <v>59.497384780000004</v>
      </c>
      <c r="PQ64" s="50">
        <f t="shared" si="118"/>
        <v>37.881689969999996</v>
      </c>
      <c r="PR64" s="50">
        <v>21.588504029999999</v>
      </c>
      <c r="PS64" s="50">
        <v>59.470193999999999</v>
      </c>
      <c r="PT64" s="44">
        <v>2.7492145600000009</v>
      </c>
      <c r="PU64" s="44">
        <v>1.34945578</v>
      </c>
      <c r="PV64" s="44">
        <v>4.0986703400000009</v>
      </c>
      <c r="PW64" s="44">
        <v>0.62921784999999997</v>
      </c>
      <c r="PX64" s="44">
        <v>0.96812267000000007</v>
      </c>
      <c r="PY64" s="44">
        <v>1.5973405199999999</v>
      </c>
      <c r="PZ64" s="44">
        <v>0.93631668000000012</v>
      </c>
      <c r="QA64" s="44">
        <v>0.70427030999999995</v>
      </c>
      <c r="QB64" s="44">
        <v>1.6405869900000003</v>
      </c>
      <c r="QC64" s="44">
        <v>3.0013694600000007</v>
      </c>
      <c r="QD64" s="44">
        <v>2.06890851</v>
      </c>
      <c r="QE64" s="44">
        <v>5.0702779700000002</v>
      </c>
      <c r="QF64" s="50">
        <v>1.0419048600000007</v>
      </c>
      <c r="QG64" s="44">
        <v>2.4837478399999995</v>
      </c>
      <c r="QH64" s="44">
        <v>3.5256527000000002</v>
      </c>
      <c r="QI64" s="50">
        <v>1.5324454699999994</v>
      </c>
      <c r="QJ64" s="44">
        <v>2.6167781299999997</v>
      </c>
      <c r="QK64" s="44">
        <v>4.1492235999999991</v>
      </c>
      <c r="QL64" s="44">
        <v>2.30100091</v>
      </c>
      <c r="QM64" s="44">
        <v>1.5747409700000004</v>
      </c>
      <c r="QN64" s="44">
        <v>3.8757418800000005</v>
      </c>
      <c r="QO64" s="50">
        <v>2.1794278699999987</v>
      </c>
      <c r="QP64" s="44">
        <v>2.3030002000000005</v>
      </c>
      <c r="QQ64" s="44">
        <v>4.4824280699999992</v>
      </c>
      <c r="QR64" s="44">
        <v>2.3032164499999994</v>
      </c>
      <c r="QS64" s="44">
        <v>1.9834570299999998</v>
      </c>
      <c r="QT64" s="44">
        <v>4.2866734799999993</v>
      </c>
      <c r="QU64" s="50">
        <v>5.341746790000002</v>
      </c>
      <c r="QV64" s="44">
        <v>3.6992936599999999</v>
      </c>
      <c r="QW64" s="44">
        <v>9.0410404500000023</v>
      </c>
      <c r="QX64" s="50">
        <v>1.12045328</v>
      </c>
      <c r="QY64" s="44">
        <v>3.4263815899999996</v>
      </c>
      <c r="QZ64" s="44">
        <v>4.5468348699999996</v>
      </c>
      <c r="RA64" s="50">
        <v>20.39526995000001</v>
      </c>
      <c r="RB64" s="44">
        <v>17.252663850000008</v>
      </c>
      <c r="RC64" s="44">
        <v>37.647933800000018</v>
      </c>
      <c r="RD64" s="50">
        <f t="shared" si="52"/>
        <v>43.531584130000013</v>
      </c>
      <c r="RE64" s="50">
        <f t="shared" si="53"/>
        <v>40.430820540000006</v>
      </c>
      <c r="RF64" s="50">
        <f t="shared" si="54"/>
        <v>83.962404670000012</v>
      </c>
      <c r="RG64" s="50">
        <f t="shared" si="119"/>
        <v>43.531502000000003</v>
      </c>
      <c r="RH64" s="50">
        <v>40.430819999999997</v>
      </c>
      <c r="RI64" s="50">
        <v>83.962322</v>
      </c>
      <c r="RJ64" s="50">
        <v>2.30256149</v>
      </c>
      <c r="RK64" s="50">
        <v>0.22206545</v>
      </c>
      <c r="RL64" s="50">
        <v>2.5246269399999997</v>
      </c>
      <c r="RM64" s="50">
        <v>0.26123760999999995</v>
      </c>
      <c r="RN64" s="50">
        <v>1.5649860199999999</v>
      </c>
      <c r="RO64" s="50">
        <v>1.8262236300000001</v>
      </c>
      <c r="RP64" s="50">
        <v>0.48631656000000001</v>
      </c>
      <c r="RQ64" s="50">
        <v>1.3760806800000001</v>
      </c>
      <c r="RR64" s="50">
        <v>1.8623972400000002</v>
      </c>
      <c r="RS64" s="50">
        <v>1.9686225799999997</v>
      </c>
      <c r="RT64" s="50">
        <v>1.28899999</v>
      </c>
      <c r="RU64" s="50">
        <v>3.2576225699999997</v>
      </c>
      <c r="RV64" s="50">
        <v>1.2394333599999996</v>
      </c>
      <c r="RW64" s="50">
        <v>3.8608081600000004</v>
      </c>
      <c r="RX64" s="50">
        <v>5.10024152</v>
      </c>
      <c r="RY64" s="50">
        <v>2.0568152199999994</v>
      </c>
      <c r="RZ64" s="50">
        <v>2.3057697799999999</v>
      </c>
      <c r="SA64" s="50">
        <v>4.3625849999999993</v>
      </c>
      <c r="SB64" s="50">
        <v>4.1840915900000013</v>
      </c>
      <c r="SC64" s="50">
        <v>1.0953123100000002</v>
      </c>
      <c r="SD64" s="50">
        <v>5.279403900000001</v>
      </c>
      <c r="SE64" s="50">
        <v>1.5070188400000006</v>
      </c>
      <c r="SF64" s="50">
        <v>0.89902002000000003</v>
      </c>
      <c r="SG64" s="50">
        <v>2.4060388600000007</v>
      </c>
      <c r="SH64" s="50">
        <v>3.1388458899999998</v>
      </c>
      <c r="SI64" s="50">
        <v>0.57955340000000011</v>
      </c>
      <c r="SJ64" s="50">
        <v>3.7183992899999998</v>
      </c>
      <c r="SK64" s="50">
        <v>3.0689445199999996</v>
      </c>
      <c r="SL64" s="50">
        <v>0.73607574999999992</v>
      </c>
      <c r="SM64" s="50">
        <v>3.8050202699999995</v>
      </c>
      <c r="SN64" s="50">
        <v>3.9823325699999996</v>
      </c>
      <c r="SO64" s="50">
        <v>2.1820987399999998</v>
      </c>
      <c r="SP64" s="50">
        <v>6.1644313099999994</v>
      </c>
      <c r="SQ64" s="50">
        <v>20.823531089999996</v>
      </c>
      <c r="SR64" s="50">
        <v>12.314104159999999</v>
      </c>
      <c r="SS64" s="50">
        <v>33.137635249999995</v>
      </c>
      <c r="ST64" s="50">
        <f t="shared" si="55"/>
        <v>45.019751319999997</v>
      </c>
      <c r="SU64" s="50">
        <f t="shared" si="65"/>
        <v>28.424874460000002</v>
      </c>
      <c r="SV64" s="50">
        <f t="shared" si="56"/>
        <v>73.444625779999996</v>
      </c>
      <c r="SW64" s="50">
        <f t="shared" si="103"/>
        <v>45.019754000000006</v>
      </c>
      <c r="SX64" s="50">
        <v>28.424875</v>
      </c>
      <c r="SY64" s="50">
        <v>73.444629000000006</v>
      </c>
      <c r="SZ64" s="50">
        <v>0.57892489000000003</v>
      </c>
      <c r="TA64" s="50">
        <v>0.23964951000000001</v>
      </c>
      <c r="TB64" s="50">
        <v>0.81857440000000015</v>
      </c>
      <c r="TC64" s="50">
        <v>0.32187770000000038</v>
      </c>
      <c r="TD64" s="50">
        <v>1.5433153299999995</v>
      </c>
      <c r="TE64" s="50">
        <v>1.8651930299999999</v>
      </c>
      <c r="TF64" s="50">
        <v>0.72029021000000004</v>
      </c>
      <c r="TG64" s="50">
        <v>2.1883410100000003</v>
      </c>
      <c r="TH64" s="50">
        <v>2.9086312200000002</v>
      </c>
      <c r="TI64" s="50">
        <v>0.73600969000000038</v>
      </c>
      <c r="TJ64" s="50">
        <v>1.2368130299999998</v>
      </c>
      <c r="TK64" s="50">
        <v>1.9728227200000001</v>
      </c>
      <c r="TL64" s="50">
        <f>TN64-TM64</f>
        <v>2.1663100900000014</v>
      </c>
      <c r="TM64" s="50">
        <v>1.5747640300000001</v>
      </c>
      <c r="TN64" s="50">
        <v>3.7410741200000013</v>
      </c>
      <c r="TO64" s="50">
        <v>0.97582833999999785</v>
      </c>
      <c r="TP64" s="50">
        <v>4.5237060700000011</v>
      </c>
      <c r="TQ64" s="50">
        <v>5.499534409999999</v>
      </c>
      <c r="TR64" s="50">
        <v>1.89952655</v>
      </c>
      <c r="TS64" s="50">
        <v>2.3686803699999999</v>
      </c>
      <c r="TT64" s="50">
        <v>4.2682069199999999</v>
      </c>
      <c r="TU64" s="50">
        <v>2.8765305099999998</v>
      </c>
      <c r="TV64" s="50">
        <v>3.5413565400000002</v>
      </c>
      <c r="TW64" s="50">
        <v>6.41788705</v>
      </c>
      <c r="TX64" s="50">
        <v>2.1348440499999994</v>
      </c>
      <c r="TY64" s="50">
        <v>3.7748642299999999</v>
      </c>
      <c r="TZ64" s="50">
        <v>5.9097082799999994</v>
      </c>
      <c r="UA64" s="50">
        <v>3.7533072899999982</v>
      </c>
      <c r="UB64" s="50">
        <v>3.1157222099999999</v>
      </c>
      <c r="UC64" s="50">
        <v>6.8690294999999981</v>
      </c>
      <c r="UD64" s="50">
        <v>1.9139822400000006</v>
      </c>
      <c r="UE64" s="50">
        <v>3.5719457699999997</v>
      </c>
      <c r="UF64" s="50">
        <v>5.4859280100000003</v>
      </c>
      <c r="UG64" s="50">
        <v>15.829375259999994</v>
      </c>
      <c r="UH64" s="50">
        <v>14.532086030000004</v>
      </c>
      <c r="UI64" s="50">
        <v>30.361461289999998</v>
      </c>
      <c r="UJ64" s="50">
        <f t="shared" si="45"/>
        <v>33.906806819999993</v>
      </c>
      <c r="UK64" s="50">
        <f t="shared" si="15"/>
        <v>42.211244130000004</v>
      </c>
      <c r="UL64" s="50">
        <f t="shared" si="16"/>
        <v>76.118050949999997</v>
      </c>
      <c r="UM64" s="50">
        <v>0.43652197999999998</v>
      </c>
      <c r="UN64" s="50">
        <v>1.0835488099999999</v>
      </c>
      <c r="UO64" s="50">
        <v>1.5200707899999999</v>
      </c>
      <c r="UP64" s="50">
        <v>0.26394088999999976</v>
      </c>
      <c r="UQ64" s="50">
        <v>1.56795551</v>
      </c>
      <c r="UR64" s="50">
        <v>1.8318963999999998</v>
      </c>
      <c r="US64" s="50">
        <v>0.74664048999999943</v>
      </c>
      <c r="UT64" s="50">
        <v>2.7549928300000013</v>
      </c>
      <c r="UU64" s="50">
        <v>3.5016333200000007</v>
      </c>
      <c r="UV64" s="50">
        <v>0.77852790999999932</v>
      </c>
      <c r="UW64" s="50">
        <v>5.7208204799999978</v>
      </c>
      <c r="UX64" s="50">
        <v>6.4993483899999971</v>
      </c>
      <c r="UY64" s="50"/>
      <c r="UZ64" s="50"/>
      <c r="VA64" s="50"/>
      <c r="VB64" s="50"/>
      <c r="VC64" s="50"/>
      <c r="VD64" s="50"/>
      <c r="VE64" s="50"/>
      <c r="VF64" s="50"/>
      <c r="VG64" s="50"/>
      <c r="VH64" s="50"/>
      <c r="VI64" s="50"/>
      <c r="VJ64" s="50"/>
      <c r="VK64" s="50"/>
      <c r="VL64" s="50"/>
      <c r="VM64" s="50"/>
      <c r="VN64" s="50"/>
      <c r="VO64" s="50"/>
      <c r="VP64" s="50"/>
      <c r="VQ64" s="50"/>
      <c r="VR64" s="50"/>
      <c r="VS64" s="50"/>
      <c r="VT64" s="50"/>
      <c r="VU64" s="50"/>
      <c r="VV64" s="50"/>
      <c r="VW64" s="276">
        <f t="shared" si="57"/>
        <v>2.3571019999999998</v>
      </c>
      <c r="VX64" s="292">
        <f t="shared" si="58"/>
        <v>5.2081189999999999</v>
      </c>
      <c r="VY64" s="292">
        <f t="shared" si="59"/>
        <v>7.5652210000000002</v>
      </c>
      <c r="VZ64" s="276">
        <f t="shared" si="60"/>
        <v>2.2256309999999999</v>
      </c>
      <c r="WA64" s="292">
        <f t="shared" si="61"/>
        <v>11.127318000000001</v>
      </c>
      <c r="WB64" s="292">
        <f t="shared" si="62"/>
        <v>13.352949000000001</v>
      </c>
      <c r="WC64" s="277">
        <f t="shared" si="112"/>
        <v>5.7877280000000004</v>
      </c>
      <c r="WD64" s="277">
        <f t="shared" si="104"/>
        <v>76.504414081227765</v>
      </c>
    </row>
    <row r="65" spans="1:602" s="12" customFormat="1" ht="20.5">
      <c r="A65" s="314" t="s">
        <v>167</v>
      </c>
      <c r="B65" s="13">
        <v>5200</v>
      </c>
      <c r="C65" s="47" t="s">
        <v>168</v>
      </c>
      <c r="D65" s="45">
        <v>324.57900495728541</v>
      </c>
      <c r="E65" s="42">
        <v>286.84206976625063</v>
      </c>
      <c r="F65" s="42">
        <v>197.36894354613804</v>
      </c>
      <c r="G65" s="42">
        <v>150.92910541203523</v>
      </c>
      <c r="H65" s="42">
        <v>40.578281924974817</v>
      </c>
      <c r="I65" s="42">
        <v>6.2171822015810951</v>
      </c>
      <c r="J65" s="42">
        <v>9.7670319747753283</v>
      </c>
      <c r="K65" s="42">
        <v>12.336560961519856</v>
      </c>
      <c r="L65" s="42">
        <v>19.576777010375583</v>
      </c>
      <c r="M65" s="42">
        <v>18.499141880239723</v>
      </c>
      <c r="N65" s="42">
        <v>22.223225821139323</v>
      </c>
      <c r="O65" s="42">
        <v>27.856701157079357</v>
      </c>
      <c r="P65" s="42">
        <v>33.843121268518679</v>
      </c>
      <c r="Q65" s="42">
        <v>31.200384004644253</v>
      </c>
      <c r="R65" s="42">
        <v>24.101995848060056</v>
      </c>
      <c r="S65" s="42">
        <v>60.966660960950705</v>
      </c>
      <c r="T65" s="44" t="s">
        <v>46</v>
      </c>
      <c r="U65" s="44" t="s">
        <v>46</v>
      </c>
      <c r="V65" s="42">
        <v>307.16706501385875</v>
      </c>
      <c r="W65" s="42">
        <v>307.16384653473801</v>
      </c>
      <c r="X65" s="42">
        <v>6.5338856921702213</v>
      </c>
      <c r="Y65" s="42">
        <v>5.4687494664230707</v>
      </c>
      <c r="Z65" s="42">
        <v>8.7567386639802844</v>
      </c>
      <c r="AA65" s="42">
        <v>9.1778057182372326</v>
      </c>
      <c r="AB65" s="42">
        <v>12.045604464402594</v>
      </c>
      <c r="AC65" s="42">
        <v>24.331228905925407</v>
      </c>
      <c r="AD65" s="42">
        <v>28.079305183237434</v>
      </c>
      <c r="AE65" s="42">
        <v>28.478759369610874</v>
      </c>
      <c r="AF65" s="42">
        <v>45.063482848703195</v>
      </c>
      <c r="AG65" s="42">
        <v>33.875329394824163</v>
      </c>
      <c r="AH65" s="42">
        <v>26.2703001121223</v>
      </c>
      <c r="AI65" s="42">
        <v>43.691763279662609</v>
      </c>
      <c r="AJ65" s="44" t="s">
        <v>46</v>
      </c>
      <c r="AK65" s="44" t="s">
        <v>46</v>
      </c>
      <c r="AL65" s="42">
        <v>271.7729530992994</v>
      </c>
      <c r="AM65" s="42">
        <v>271.78903221950929</v>
      </c>
      <c r="AN65" s="42">
        <v>7.281066983113357</v>
      </c>
      <c r="AO65" s="42">
        <v>8.0917001468403704</v>
      </c>
      <c r="AP65" s="42">
        <v>9.3075529166026385</v>
      </c>
      <c r="AQ65" s="42">
        <v>9.4655223931565562</v>
      </c>
      <c r="AR65" s="42">
        <v>8.8110070517526928</v>
      </c>
      <c r="AS65" s="42">
        <v>22.211848438540475</v>
      </c>
      <c r="AT65" s="42">
        <v>30.276303208291363</v>
      </c>
      <c r="AU65" s="42">
        <v>34.466455270601763</v>
      </c>
      <c r="AV65" s="42">
        <v>26.832895088815661</v>
      </c>
      <c r="AW65" s="42">
        <v>29.994964456662171</v>
      </c>
      <c r="AX65" s="42">
        <v>28.40145047552376</v>
      </c>
      <c r="AY65" s="42">
        <v>44.540597378500976</v>
      </c>
      <c r="AZ65" s="50">
        <v>0</v>
      </c>
      <c r="BA65" s="50">
        <v>259.68136380840178</v>
      </c>
      <c r="BB65" s="50">
        <v>259.68136380840178</v>
      </c>
      <c r="BC65" s="44">
        <f t="shared" si="21"/>
        <v>259.68129948036722</v>
      </c>
      <c r="BD65" s="52">
        <v>0</v>
      </c>
      <c r="BE65" s="42">
        <v>259.68129948036722</v>
      </c>
      <c r="BF65" s="44">
        <v>1.5038914299999999</v>
      </c>
      <c r="BG65" s="44">
        <v>13.67515163</v>
      </c>
      <c r="BH65" s="44">
        <v>15.179043</v>
      </c>
      <c r="BI65" s="42">
        <v>1.4994128600000003</v>
      </c>
      <c r="BJ65" s="42">
        <v>4.2585637700000003</v>
      </c>
      <c r="BK65" s="42">
        <v>5.7579760000000002</v>
      </c>
      <c r="BL65" s="44">
        <v>1.2715716499999992</v>
      </c>
      <c r="BM65" s="44">
        <v>6.2850341399999987</v>
      </c>
      <c r="BN65" s="44">
        <v>7.5566069999999996</v>
      </c>
      <c r="BO65" s="44">
        <v>3.7311318399999993</v>
      </c>
      <c r="BP65" s="44">
        <v>10.489321609999999</v>
      </c>
      <c r="BQ65" s="44">
        <v>14.220452999999999</v>
      </c>
      <c r="BR65" s="44">
        <v>2.8616273300000019</v>
      </c>
      <c r="BS65" s="44">
        <v>6.6678448799999988</v>
      </c>
      <c r="BT65" s="44">
        <v>9.5294720000000002</v>
      </c>
      <c r="BU65" s="44">
        <v>4.8538514300000006</v>
      </c>
      <c r="BV65" s="44">
        <v>13.740550449999999</v>
      </c>
      <c r="BW65" s="44">
        <v>18.594403</v>
      </c>
      <c r="BX65" s="44">
        <v>6.6576911200000035</v>
      </c>
      <c r="BY65" s="44">
        <v>20.416101290000004</v>
      </c>
      <c r="BZ65" s="44">
        <v>27.073792410000003</v>
      </c>
      <c r="CA65" s="44">
        <v>11.608235489999998</v>
      </c>
      <c r="CB65" s="44">
        <v>27.770354840000003</v>
      </c>
      <c r="CC65" s="44">
        <v>39.378591</v>
      </c>
      <c r="CD65" s="44">
        <v>12.397407920000001</v>
      </c>
      <c r="CE65" s="50">
        <v>18.261768690000004</v>
      </c>
      <c r="CF65" s="44">
        <f>CD65+CE65</f>
        <v>30.659176610000003</v>
      </c>
      <c r="CG65" s="44">
        <v>11.914531849999994</v>
      </c>
      <c r="CH65" s="50">
        <v>27.303722719999993</v>
      </c>
      <c r="CI65" s="44">
        <f>CG65+CH65</f>
        <v>39.218254569999985</v>
      </c>
      <c r="CJ65" s="42">
        <v>16.882606849999998</v>
      </c>
      <c r="CK65" s="42">
        <v>14.763053489999999</v>
      </c>
      <c r="CL65" s="44">
        <f>CJ65+CK65</f>
        <v>31.645660339999999</v>
      </c>
      <c r="CM65" s="42">
        <v>33.743058299999987</v>
      </c>
      <c r="CN65" s="42">
        <v>29.643712849999986</v>
      </c>
      <c r="CO65" s="44">
        <f>CM65+CN65</f>
        <v>63.386771149999973</v>
      </c>
      <c r="CP65" s="44">
        <f t="shared" si="24"/>
        <v>108.92501806999999</v>
      </c>
      <c r="CQ65" s="44">
        <f t="shared" si="25"/>
        <v>193.27518035999998</v>
      </c>
      <c r="CR65" s="44">
        <f t="shared" si="26"/>
        <v>302.20020007999995</v>
      </c>
      <c r="CS65" s="44">
        <f t="shared" si="123"/>
        <v>109.01762199999999</v>
      </c>
      <c r="CT65" s="44">
        <v>193.27518000000001</v>
      </c>
      <c r="CU65" s="42">
        <v>302.29280199999999</v>
      </c>
      <c r="CV65" s="42">
        <v>1.5327466199999997</v>
      </c>
      <c r="CW65" s="42">
        <v>15.590195980000001</v>
      </c>
      <c r="CX65" s="44">
        <f>CV65+CW65</f>
        <v>17.122942600000002</v>
      </c>
      <c r="CY65" s="42">
        <v>2.0720981299999988</v>
      </c>
      <c r="CZ65" s="42">
        <v>9.5032595399999948</v>
      </c>
      <c r="DA65" s="44">
        <v>11.575357669999994</v>
      </c>
      <c r="DB65" s="42">
        <v>3.5576671199999987</v>
      </c>
      <c r="DC65" s="42">
        <v>7.2817648199999985</v>
      </c>
      <c r="DD65" s="44">
        <v>10.839431939999997</v>
      </c>
      <c r="DE65" s="42">
        <v>3.6325097900000003</v>
      </c>
      <c r="DF65" s="42">
        <v>8.9072206200000004</v>
      </c>
      <c r="DG65" s="44">
        <v>12.539730410000001</v>
      </c>
      <c r="DH65" s="42">
        <v>11.370981750000007</v>
      </c>
      <c r="DI65" s="42">
        <v>9.6365587399999981</v>
      </c>
      <c r="DJ65" s="44">
        <v>21.007540490000004</v>
      </c>
      <c r="DK65" s="42">
        <v>7.9898803500000009</v>
      </c>
      <c r="DL65" s="42">
        <v>19.070268839999997</v>
      </c>
      <c r="DM65" s="44">
        <v>27.060149189999997</v>
      </c>
      <c r="DN65" s="42">
        <v>15.077764559999995</v>
      </c>
      <c r="DO65" s="42">
        <v>24.929569579999999</v>
      </c>
      <c r="DP65" s="44">
        <v>40.007334139999998</v>
      </c>
      <c r="DQ65" s="42">
        <v>13.130174709999999</v>
      </c>
      <c r="DR65" s="42">
        <v>31.682739130000016</v>
      </c>
      <c r="DS65" s="44">
        <v>44.812913840000014</v>
      </c>
      <c r="DT65" s="42">
        <v>15.431999200000003</v>
      </c>
      <c r="DU65" s="42">
        <v>12.132389439999999</v>
      </c>
      <c r="DV65" s="44">
        <v>27.564388640000004</v>
      </c>
      <c r="DW65" s="42">
        <v>16.590282349999995</v>
      </c>
      <c r="DX65" s="42">
        <v>22.053538210000006</v>
      </c>
      <c r="DY65" s="44">
        <v>38.643820560000002</v>
      </c>
      <c r="DZ65" s="42">
        <v>11.67628779</v>
      </c>
      <c r="EA65" s="42">
        <v>31.880796759999999</v>
      </c>
      <c r="EB65" s="44">
        <v>43.557084549999999</v>
      </c>
      <c r="EC65" s="42">
        <v>44.934248990000015</v>
      </c>
      <c r="ED65" s="42">
        <v>56.250606809999987</v>
      </c>
      <c r="EE65" s="44">
        <v>101.18485580000001</v>
      </c>
      <c r="EF65" s="50">
        <f t="shared" si="27"/>
        <v>146.99664136000001</v>
      </c>
      <c r="EG65" s="73">
        <f t="shared" si="28"/>
        <v>248.91890846999999</v>
      </c>
      <c r="EH65" s="50">
        <f t="shared" si="29"/>
        <v>395.91554983000003</v>
      </c>
      <c r="EI65" s="50">
        <f t="shared" si="94"/>
        <v>146.92962352999999</v>
      </c>
      <c r="EJ65" s="94">
        <v>248.91890846999999</v>
      </c>
      <c r="EK65" s="50">
        <v>395.84853199999998</v>
      </c>
      <c r="EL65" s="50">
        <v>10.71117636</v>
      </c>
      <c r="EM65" s="50">
        <v>6.4972870800000013</v>
      </c>
      <c r="EN65" s="50">
        <v>17.208463440000003</v>
      </c>
      <c r="EO65" s="50">
        <v>6.192767449999999</v>
      </c>
      <c r="EP65" s="50">
        <v>3.054227210000001</v>
      </c>
      <c r="EQ65" s="50">
        <v>9.2469946600000004</v>
      </c>
      <c r="ER65" s="50">
        <v>5.9114460399999968</v>
      </c>
      <c r="ES65" s="50">
        <v>1.5007873799999998</v>
      </c>
      <c r="ET65" s="50">
        <v>7.4122334199999962</v>
      </c>
      <c r="EU65" s="50">
        <v>4.7800785899999996</v>
      </c>
      <c r="EV65" s="50">
        <v>4.1921816300000003</v>
      </c>
      <c r="EW65" s="50">
        <v>8.972260219999999</v>
      </c>
      <c r="EX65" s="50">
        <v>9.1682573699999974</v>
      </c>
      <c r="EY65" s="50">
        <v>6.0640431300000008</v>
      </c>
      <c r="EZ65" s="50">
        <v>15.232300499999997</v>
      </c>
      <c r="FA65" s="50">
        <v>12.668998970000002</v>
      </c>
      <c r="FB65" s="50">
        <v>6.7767476099999993</v>
      </c>
      <c r="FC65" s="50">
        <v>19.445746580000002</v>
      </c>
      <c r="FD65" s="50">
        <v>11.756129059999999</v>
      </c>
      <c r="FE65" s="50">
        <v>16.395142959999998</v>
      </c>
      <c r="FF65" s="50">
        <v>28.151272019999997</v>
      </c>
      <c r="FG65" s="50">
        <v>20.636874329999994</v>
      </c>
      <c r="FH65" s="50">
        <v>26.711751060000005</v>
      </c>
      <c r="FI65" s="50">
        <v>47.348625389999995</v>
      </c>
      <c r="FJ65" s="50">
        <v>19.09282691000001</v>
      </c>
      <c r="FK65" s="50">
        <v>14.02979912</v>
      </c>
      <c r="FL65" s="50">
        <v>33.122626030000006</v>
      </c>
      <c r="FM65" s="50">
        <v>24.071273800000011</v>
      </c>
      <c r="FN65" s="50">
        <v>19.596958589999996</v>
      </c>
      <c r="FO65" s="50">
        <v>43.668232390000007</v>
      </c>
      <c r="FP65" s="50">
        <v>17.812626720000008</v>
      </c>
      <c r="FQ65" s="50">
        <v>17.582097229999999</v>
      </c>
      <c r="FR65" s="50">
        <v>35.394723950000007</v>
      </c>
      <c r="FS65" s="50">
        <v>38.508903669999995</v>
      </c>
      <c r="FT65" s="50">
        <v>9.6788237299999924</v>
      </c>
      <c r="FU65" s="50">
        <v>48.187727399999986</v>
      </c>
      <c r="FV65" s="50">
        <f t="shared" si="30"/>
        <v>181.31135927000003</v>
      </c>
      <c r="FW65" s="50">
        <f t="shared" si="31"/>
        <v>132.07984673000001</v>
      </c>
      <c r="FX65" s="50">
        <f t="shared" si="32"/>
        <v>313.39120599999995</v>
      </c>
      <c r="FY65" s="50">
        <f t="shared" si="95"/>
        <v>181.30993026999997</v>
      </c>
      <c r="FZ65" s="50">
        <v>132.07984673000001</v>
      </c>
      <c r="GA65" s="50">
        <v>313.38977699999998</v>
      </c>
      <c r="GB65" s="50">
        <v>10.982751459999998</v>
      </c>
      <c r="GC65" s="50">
        <v>6.5608025399999992</v>
      </c>
      <c r="GD65" s="50">
        <v>17.543553999999997</v>
      </c>
      <c r="GE65" s="50">
        <v>5.4149197500000001</v>
      </c>
      <c r="GF65" s="50">
        <v>9.8892545400000014</v>
      </c>
      <c r="GG65" s="50">
        <v>15.304174290000002</v>
      </c>
      <c r="GH65" s="50">
        <v>12.851565389999998</v>
      </c>
      <c r="GI65" s="50">
        <v>3.5725277199999996</v>
      </c>
      <c r="GJ65" s="50">
        <v>16.424093109999998</v>
      </c>
      <c r="GK65" s="50">
        <v>11.194289239999998</v>
      </c>
      <c r="GL65" s="50">
        <v>2.8395319199999998</v>
      </c>
      <c r="GM65" s="50">
        <v>14.033821159999999</v>
      </c>
      <c r="GN65" s="50">
        <v>14.681345670000006</v>
      </c>
      <c r="GO65" s="50">
        <v>7.8791449599999988</v>
      </c>
      <c r="GP65" s="50">
        <v>22.560490630000004</v>
      </c>
      <c r="GQ65" s="50">
        <v>14.050818520000002</v>
      </c>
      <c r="GR65" s="50">
        <v>12.40039172</v>
      </c>
      <c r="GS65" s="50">
        <v>26.451210240000002</v>
      </c>
      <c r="GT65" s="50">
        <v>17.201006159999988</v>
      </c>
      <c r="GU65" s="50">
        <v>15.656775939999999</v>
      </c>
      <c r="GV65" s="50">
        <v>32.857782099999987</v>
      </c>
      <c r="GW65" s="50">
        <v>22.224572209999998</v>
      </c>
      <c r="GX65" s="50">
        <v>22.470428290000008</v>
      </c>
      <c r="GY65" s="50">
        <v>44.695000500000006</v>
      </c>
      <c r="GZ65" s="50">
        <v>26.237777930000007</v>
      </c>
      <c r="HA65" s="50">
        <v>14.678625329999997</v>
      </c>
      <c r="HB65" s="50">
        <v>40.916403260000003</v>
      </c>
      <c r="HC65" s="50">
        <v>20.233441889999998</v>
      </c>
      <c r="HD65" s="50">
        <v>16.946347079999999</v>
      </c>
      <c r="HE65" s="50">
        <v>37.179788969999997</v>
      </c>
      <c r="HF65" s="50">
        <v>23.119891699999986</v>
      </c>
      <c r="HG65" s="50">
        <v>16.114470299999997</v>
      </c>
      <c r="HH65" s="50">
        <v>39.234361999999983</v>
      </c>
      <c r="HI65" s="50">
        <v>67.466738450000022</v>
      </c>
      <c r="HJ65" s="50">
        <v>12.863363919999996</v>
      </c>
      <c r="HK65" s="50">
        <v>80.33010237000002</v>
      </c>
      <c r="HL65" s="50">
        <f t="shared" si="33"/>
        <v>245.65911836999999</v>
      </c>
      <c r="HM65" s="50">
        <f t="shared" si="34"/>
        <v>141.87166425999999</v>
      </c>
      <c r="HN65" s="50">
        <f t="shared" si="35"/>
        <v>387.53078262999998</v>
      </c>
      <c r="HO65" s="50">
        <f t="shared" si="96"/>
        <v>245.65049599999998</v>
      </c>
      <c r="HP65" s="50">
        <v>141.87166400000001</v>
      </c>
      <c r="HQ65" s="50">
        <v>387.52215999999999</v>
      </c>
      <c r="HR65" s="50">
        <v>6.0341925400000003</v>
      </c>
      <c r="HS65" s="50">
        <v>7.1812542800000001</v>
      </c>
      <c r="HT65" s="50">
        <v>13.21544682</v>
      </c>
      <c r="HU65" s="50">
        <v>5.6046209000000013</v>
      </c>
      <c r="HV65" s="50">
        <v>4.1835528599999998</v>
      </c>
      <c r="HW65" s="50">
        <v>9.7881737600000012</v>
      </c>
      <c r="HX65" s="50">
        <v>8.8877884199999979</v>
      </c>
      <c r="HY65" s="50">
        <v>7.6056899899999983</v>
      </c>
      <c r="HZ65" s="50">
        <v>16.493478409999998</v>
      </c>
      <c r="IA65" s="50">
        <v>8.8953368700000031</v>
      </c>
      <c r="IB65" s="50">
        <v>3.7047516800000002</v>
      </c>
      <c r="IC65" s="50">
        <v>12.600088550000002</v>
      </c>
      <c r="ID65" s="50">
        <v>10.482892729999996</v>
      </c>
      <c r="IE65" s="50">
        <v>6.4826176499999981</v>
      </c>
      <c r="IF65" s="50">
        <v>16.965510379999991</v>
      </c>
      <c r="IG65" s="50">
        <v>25.904630819999994</v>
      </c>
      <c r="IH65" s="50">
        <v>15.159847119999998</v>
      </c>
      <c r="II65" s="50">
        <v>41.064477939999982</v>
      </c>
      <c r="IJ65" s="50">
        <v>22.979471019999995</v>
      </c>
      <c r="IK65" s="50">
        <v>17.266660959999996</v>
      </c>
      <c r="IL65" s="50">
        <v>40.246131979999994</v>
      </c>
      <c r="IM65" s="50">
        <v>25.273215320000013</v>
      </c>
      <c r="IN65" s="50">
        <v>22.054267169999999</v>
      </c>
      <c r="IO65" s="50">
        <v>47.327482490000016</v>
      </c>
      <c r="IP65" s="50">
        <v>26.609640660000004</v>
      </c>
      <c r="IQ65" s="50">
        <v>18.560264970000009</v>
      </c>
      <c r="IR65" s="50">
        <v>45.169905629999981</v>
      </c>
      <c r="IS65" s="50">
        <v>25.575624820000009</v>
      </c>
      <c r="IT65" s="50">
        <v>11.131714420000002</v>
      </c>
      <c r="IU65" s="50">
        <v>36.707339240000003</v>
      </c>
      <c r="IV65" s="50">
        <v>32.614261850000027</v>
      </c>
      <c r="IW65" s="50">
        <v>24.769569299999993</v>
      </c>
      <c r="IX65" s="50">
        <v>57.383831150000006</v>
      </c>
      <c r="IY65" s="50">
        <v>55.558893509999983</v>
      </c>
      <c r="IZ65" s="50">
        <v>26.000119800000004</v>
      </c>
      <c r="JA65" s="50">
        <v>81.559013309999969</v>
      </c>
      <c r="JB65" s="50">
        <f t="shared" si="36"/>
        <v>254.42056946</v>
      </c>
      <c r="JC65" s="50">
        <f t="shared" si="37"/>
        <v>164.1003102</v>
      </c>
      <c r="JD65" s="50">
        <f t="shared" si="38"/>
        <v>418.52087965999993</v>
      </c>
      <c r="JE65" s="50">
        <f t="shared" si="97"/>
        <v>254.44303879999998</v>
      </c>
      <c r="JF65" s="50">
        <v>164.1003102</v>
      </c>
      <c r="JG65" s="50">
        <v>418.54334899999998</v>
      </c>
      <c r="JH65" s="50">
        <v>33.706104270000012</v>
      </c>
      <c r="JI65" s="50">
        <v>6.1046019300000012</v>
      </c>
      <c r="JJ65" s="50">
        <v>39.810706199999998</v>
      </c>
      <c r="JK65" s="50">
        <v>7.9968757200000029</v>
      </c>
      <c r="JL65" s="50">
        <v>5.6066172199999995</v>
      </c>
      <c r="JM65" s="50">
        <v>13.603492940000001</v>
      </c>
      <c r="JN65" s="50">
        <v>11.179789139999999</v>
      </c>
      <c r="JO65" s="50">
        <v>4.6225766999999998</v>
      </c>
      <c r="JP65" s="50">
        <v>15.802365839999993</v>
      </c>
      <c r="JQ65" s="50">
        <v>6.9709863800000003</v>
      </c>
      <c r="JR65" s="50">
        <v>5.4943400899999997</v>
      </c>
      <c r="JS65" s="50">
        <v>12.465326470000001</v>
      </c>
      <c r="JT65" s="50">
        <v>11.246277369999998</v>
      </c>
      <c r="JU65" s="50">
        <v>8.7547319699999981</v>
      </c>
      <c r="JV65" s="50">
        <v>20.001009339999996</v>
      </c>
      <c r="JW65" s="50">
        <v>20.056932779999993</v>
      </c>
      <c r="JX65" s="50">
        <v>7.2905900799999994</v>
      </c>
      <c r="JY65" s="50">
        <v>27.34752285999998</v>
      </c>
      <c r="JZ65" s="50">
        <v>21.854234389999998</v>
      </c>
      <c r="KA65" s="50">
        <v>19.334030159999998</v>
      </c>
      <c r="KB65" s="50">
        <v>41.188264550000007</v>
      </c>
      <c r="KC65" s="50">
        <v>39.564906149999992</v>
      </c>
      <c r="KD65" s="50">
        <v>11.246593130000001</v>
      </c>
      <c r="KE65" s="50">
        <v>50.811499279999985</v>
      </c>
      <c r="KF65" s="50">
        <v>26.693211900000005</v>
      </c>
      <c r="KG65" s="50">
        <v>9.1666200400000015</v>
      </c>
      <c r="KH65" s="50">
        <v>35.859831940000021</v>
      </c>
      <c r="KI65" s="50">
        <v>19.179452060000003</v>
      </c>
      <c r="KJ65" s="50">
        <v>14.489510070000001</v>
      </c>
      <c r="KK65" s="50">
        <v>33.668962130000011</v>
      </c>
      <c r="KL65" s="50">
        <v>40.110427860000023</v>
      </c>
      <c r="KM65" s="50">
        <v>16.025900219999997</v>
      </c>
      <c r="KN65" s="50">
        <v>56.136328079999998</v>
      </c>
      <c r="KO65" s="50">
        <v>70.369401280000005</v>
      </c>
      <c r="KP65" s="50">
        <v>18.674907290000004</v>
      </c>
      <c r="KQ65" s="50">
        <v>89.044308569999998</v>
      </c>
      <c r="KR65" s="50">
        <f t="shared" si="48"/>
        <v>308.92859929999997</v>
      </c>
      <c r="KS65" s="50">
        <f t="shared" si="39"/>
        <v>126.81101889999999</v>
      </c>
      <c r="KT65" s="50">
        <f t="shared" si="49"/>
        <v>435.7396182</v>
      </c>
      <c r="KU65" s="50">
        <f t="shared" si="98"/>
        <v>308.920207</v>
      </c>
      <c r="KV65" s="50">
        <v>126.811019</v>
      </c>
      <c r="KW65" s="50">
        <v>435.73122599999999</v>
      </c>
      <c r="KX65" s="50">
        <v>35.810952229999998</v>
      </c>
      <c r="KY65" s="50">
        <v>10.553304690000001</v>
      </c>
      <c r="KZ65" s="50">
        <v>46.364256919999995</v>
      </c>
      <c r="LA65" s="50">
        <v>8.0476206099999992</v>
      </c>
      <c r="LB65" s="50">
        <v>2.8721087899999995</v>
      </c>
      <c r="LC65" s="50">
        <v>10.919729399999998</v>
      </c>
      <c r="LD65" s="50">
        <v>9.2799917499999971</v>
      </c>
      <c r="LE65" s="50">
        <v>1.5760824400000002</v>
      </c>
      <c r="LF65" s="87">
        <v>10.856074189999998</v>
      </c>
      <c r="LG65" s="50">
        <v>17.996235090000006</v>
      </c>
      <c r="LH65" s="50">
        <v>3.86202918</v>
      </c>
      <c r="LI65" s="175">
        <v>21.85826427000001</v>
      </c>
      <c r="LJ65" s="50">
        <v>16.454244019999997</v>
      </c>
      <c r="LK65" s="175">
        <v>4.2200227700000026</v>
      </c>
      <c r="LL65" s="174">
        <v>20.674266789999994</v>
      </c>
      <c r="LM65" s="50">
        <v>13.235388210000002</v>
      </c>
      <c r="LN65" s="50">
        <v>6.4468951699999986</v>
      </c>
      <c r="LO65" s="50">
        <v>19.682283379999998</v>
      </c>
      <c r="LP65" s="44">
        <v>35.432861999999986</v>
      </c>
      <c r="LQ65" s="44">
        <v>11.474597959999999</v>
      </c>
      <c r="LR65" s="44">
        <v>46.907459960000004</v>
      </c>
      <c r="LS65" s="52">
        <v>26.166454270000003</v>
      </c>
      <c r="LT65" s="44">
        <v>12.63347108</v>
      </c>
      <c r="LU65" s="49">
        <v>38.799925349999995</v>
      </c>
      <c r="LV65" s="44">
        <v>43.98360659999998</v>
      </c>
      <c r="LW65" s="44">
        <v>8.7650765999999951</v>
      </c>
      <c r="LX65" s="44">
        <v>52.748683199999974</v>
      </c>
      <c r="LY65" s="44">
        <v>54.549844240000013</v>
      </c>
      <c r="LZ65" s="44">
        <v>16.90124934</v>
      </c>
      <c r="MA65" s="44">
        <v>71.451093579999977</v>
      </c>
      <c r="MB65" s="44">
        <v>31.260031829999992</v>
      </c>
      <c r="MC65" s="44">
        <v>14.47037695</v>
      </c>
      <c r="MD65" s="44">
        <v>45.730408779999998</v>
      </c>
      <c r="ME65" s="44">
        <v>116.08276781000002</v>
      </c>
      <c r="MF65" s="44">
        <v>15.7913566</v>
      </c>
      <c r="MG65" s="44">
        <v>131.87412441000004</v>
      </c>
      <c r="MH65" s="50">
        <f t="shared" si="66"/>
        <v>408.29999865999997</v>
      </c>
      <c r="MI65" s="50">
        <f t="shared" si="50"/>
        <v>109.56657156999999</v>
      </c>
      <c r="MJ65" s="50">
        <f t="shared" si="51"/>
        <v>517.86657022999998</v>
      </c>
      <c r="MK65" s="50">
        <f t="shared" si="99"/>
        <v>517.83612200000005</v>
      </c>
      <c r="ML65" s="50"/>
      <c r="MM65" s="50">
        <v>517.83612200000005</v>
      </c>
      <c r="MN65" s="44">
        <v>21.961576299999994</v>
      </c>
      <c r="MO65" s="44">
        <v>5.9899753199999992</v>
      </c>
      <c r="MP65" s="44">
        <v>27.951551619999996</v>
      </c>
      <c r="MQ65" s="44">
        <v>5.1523303099999973</v>
      </c>
      <c r="MR65" s="44">
        <v>13.760444900000003</v>
      </c>
      <c r="MS65" s="44">
        <v>18.912775209999992</v>
      </c>
      <c r="MT65" s="50">
        <v>8.4916207400000037</v>
      </c>
      <c r="MU65" s="50">
        <v>7.22073418</v>
      </c>
      <c r="MV65" s="50">
        <v>15.712354920000006</v>
      </c>
      <c r="MW65" s="44">
        <v>7.5101134499999977</v>
      </c>
      <c r="MX65" s="44">
        <v>4.7632320900000007</v>
      </c>
      <c r="MY65" s="44">
        <v>12.273345539999999</v>
      </c>
      <c r="MZ65" s="44">
        <v>10.377022120000001</v>
      </c>
      <c r="NA65" s="44">
        <v>7.4053860400000007</v>
      </c>
      <c r="NB65" s="50">
        <v>17.782408159999992</v>
      </c>
      <c r="NC65" s="44">
        <v>19.367602619999992</v>
      </c>
      <c r="ND65" s="44">
        <v>7.4773532799999991</v>
      </c>
      <c r="NE65" s="44">
        <v>26.844955899999999</v>
      </c>
      <c r="NF65" s="44">
        <v>48.334235939999978</v>
      </c>
      <c r="NG65" s="44">
        <v>5.0216967199999969</v>
      </c>
      <c r="NH65" s="44">
        <v>53.355932660000015</v>
      </c>
      <c r="NI65" s="44">
        <v>40.967821139999963</v>
      </c>
      <c r="NJ65" s="44">
        <v>17.690077300000009</v>
      </c>
      <c r="NK65" s="44">
        <v>58.657898439999954</v>
      </c>
      <c r="NL65" s="44">
        <v>49.918343929999999</v>
      </c>
      <c r="NM65" s="44">
        <v>6.4904853499999993</v>
      </c>
      <c r="NN65" s="44">
        <v>56.408829279999999</v>
      </c>
      <c r="NO65" s="44">
        <v>47.087037330000008</v>
      </c>
      <c r="NP65" s="44">
        <v>3.58830173</v>
      </c>
      <c r="NQ65" s="44">
        <v>50.675339060000013</v>
      </c>
      <c r="NR65" s="44">
        <v>56.314854360000005</v>
      </c>
      <c r="NS65" s="44">
        <v>9.0963462299999964</v>
      </c>
      <c r="NT65" s="44">
        <v>65.411200590000007</v>
      </c>
      <c r="NU65" s="44">
        <v>103.64165455</v>
      </c>
      <c r="NV65" s="44">
        <v>21.729720449999995</v>
      </c>
      <c r="NW65" s="44">
        <v>125.37137500000003</v>
      </c>
      <c r="NX65" s="50">
        <f t="shared" si="117"/>
        <v>419.12421278999994</v>
      </c>
      <c r="NY65" s="50">
        <f t="shared" si="40"/>
        <v>110.23375358999999</v>
      </c>
      <c r="NZ65" s="50">
        <f t="shared" si="41"/>
        <v>529.35796637999999</v>
      </c>
      <c r="OA65" s="50">
        <f t="shared" si="100"/>
        <v>419.11303741000006</v>
      </c>
      <c r="OB65" s="50">
        <v>110.23375358999999</v>
      </c>
      <c r="OC65" s="50">
        <v>529.34679100000005</v>
      </c>
      <c r="OD65" s="44">
        <v>11.512642040000003</v>
      </c>
      <c r="OE65" s="44">
        <v>5.4857595500000009</v>
      </c>
      <c r="OF65" s="44">
        <v>16.99840159</v>
      </c>
      <c r="OG65" s="50">
        <v>14.742500419999995</v>
      </c>
      <c r="OH65" s="44">
        <v>1.72517896</v>
      </c>
      <c r="OI65" s="44">
        <v>16.467679379999996</v>
      </c>
      <c r="OJ65" s="44">
        <f t="shared" si="107"/>
        <v>15.572999480000002</v>
      </c>
      <c r="OK65" s="44">
        <v>11.393367800000002</v>
      </c>
      <c r="OL65" s="44">
        <v>26.966367280000004</v>
      </c>
      <c r="OM65" s="44">
        <v>21.214033019999999</v>
      </c>
      <c r="ON65" s="44">
        <v>8.7992324500000016</v>
      </c>
      <c r="OO65" s="44">
        <v>30.013265469999997</v>
      </c>
      <c r="OP65" s="44">
        <v>13.411275999999999</v>
      </c>
      <c r="OQ65" s="44">
        <v>4.6908548999999988</v>
      </c>
      <c r="OR65" s="44">
        <v>18.102130900000002</v>
      </c>
      <c r="OS65" s="44">
        <v>31.334132739999994</v>
      </c>
      <c r="OT65" s="44">
        <v>11.24088847</v>
      </c>
      <c r="OU65" s="44">
        <v>42.575021209999981</v>
      </c>
      <c r="OV65" s="44">
        <v>45.413083720000003</v>
      </c>
      <c r="OW65" s="44">
        <v>9.4888325699999996</v>
      </c>
      <c r="OX65" s="44">
        <v>54.901916289999988</v>
      </c>
      <c r="OY65" s="95">
        <v>45.870854719999997</v>
      </c>
      <c r="OZ65" s="95">
        <v>16.66637467</v>
      </c>
      <c r="PA65" s="95">
        <v>62.537229389999986</v>
      </c>
      <c r="PB65" s="44">
        <v>51.057087420000002</v>
      </c>
      <c r="PC65" s="44">
        <v>5.5727185699999993</v>
      </c>
      <c r="PD65" s="44">
        <v>56.629805990000008</v>
      </c>
      <c r="PE65" s="44">
        <v>39.839162920000014</v>
      </c>
      <c r="PF65" s="44">
        <v>17.600898399999998</v>
      </c>
      <c r="PG65" s="44">
        <v>57.440061320000012</v>
      </c>
      <c r="PH65" s="44">
        <v>46.625886239999978</v>
      </c>
      <c r="PI65" s="44">
        <v>9.2516045899999995</v>
      </c>
      <c r="PJ65" s="44">
        <v>55.877490830000006</v>
      </c>
      <c r="PK65" s="44">
        <v>138.38023350999995</v>
      </c>
      <c r="PL65" s="44">
        <v>25.490871490000004</v>
      </c>
      <c r="PM65" s="44">
        <v>163.871105</v>
      </c>
      <c r="PN65" s="50">
        <f t="shared" si="122"/>
        <v>474.97389223000005</v>
      </c>
      <c r="PO65" s="50">
        <f t="shared" si="108"/>
        <v>127.40658242000002</v>
      </c>
      <c r="PP65" s="50">
        <f t="shared" si="116"/>
        <v>602.38047465</v>
      </c>
      <c r="PQ65" s="50">
        <f t="shared" si="118"/>
        <v>474.93331557999994</v>
      </c>
      <c r="PR65" s="50">
        <v>127.40658242000002</v>
      </c>
      <c r="PS65" s="50">
        <v>602.33989799999995</v>
      </c>
      <c r="PT65" s="44">
        <v>39.268603170000006</v>
      </c>
      <c r="PU65" s="44">
        <v>9.9219791599999994</v>
      </c>
      <c r="PV65" s="44">
        <v>49.190582330000005</v>
      </c>
      <c r="PW65" s="44">
        <v>10.014768440000003</v>
      </c>
      <c r="PX65" s="44">
        <v>15.802565169999999</v>
      </c>
      <c r="PY65" s="44">
        <v>25.817333609999999</v>
      </c>
      <c r="PZ65" s="44">
        <v>19.976819740000003</v>
      </c>
      <c r="QA65" s="44">
        <v>10.347866630000002</v>
      </c>
      <c r="QB65" s="44">
        <v>30.324686370000002</v>
      </c>
      <c r="QC65" s="44">
        <v>17.31440885</v>
      </c>
      <c r="QD65" s="44">
        <v>28.872937270000005</v>
      </c>
      <c r="QE65" s="44">
        <v>46.187346119999987</v>
      </c>
      <c r="QF65" s="50">
        <v>30.854936510000005</v>
      </c>
      <c r="QG65" s="44">
        <v>12.768260029999997</v>
      </c>
      <c r="QH65" s="44">
        <v>43.623196540000002</v>
      </c>
      <c r="QI65" s="50">
        <v>51.817467979999996</v>
      </c>
      <c r="QJ65" s="44">
        <v>19.924722479999993</v>
      </c>
      <c r="QK65" s="44">
        <v>71.742190459999989</v>
      </c>
      <c r="QL65" s="44">
        <v>48.088593799999998</v>
      </c>
      <c r="QM65" s="44">
        <v>13.896131190000002</v>
      </c>
      <c r="QN65" s="44">
        <v>61.984724989999997</v>
      </c>
      <c r="QO65" s="50">
        <v>44.495331150000041</v>
      </c>
      <c r="QP65" s="44">
        <v>31.162816159999991</v>
      </c>
      <c r="QQ65" s="44">
        <v>75.658147310000032</v>
      </c>
      <c r="QR65" s="44">
        <v>47.838991280000009</v>
      </c>
      <c r="QS65" s="44">
        <v>13.974264379999999</v>
      </c>
      <c r="QT65" s="44">
        <v>61.813255660000003</v>
      </c>
      <c r="QU65" s="50">
        <v>49.310668619999987</v>
      </c>
      <c r="QV65" s="44">
        <v>15.73336288</v>
      </c>
      <c r="QW65" s="44">
        <v>65.044031499999988</v>
      </c>
      <c r="QX65" s="50">
        <v>30.182118139999965</v>
      </c>
      <c r="QY65" s="44">
        <v>16.382347140000007</v>
      </c>
      <c r="QZ65" s="44">
        <v>46.564465279999972</v>
      </c>
      <c r="RA65" s="50">
        <v>135.52231103</v>
      </c>
      <c r="RB65" s="44">
        <v>46.090850969999984</v>
      </c>
      <c r="RC65" s="44">
        <v>181.61316199999999</v>
      </c>
      <c r="RD65" s="50">
        <f t="shared" si="52"/>
        <v>524.68501871000001</v>
      </c>
      <c r="RE65" s="50">
        <f t="shared" si="53"/>
        <v>234.87810345999998</v>
      </c>
      <c r="RF65" s="50">
        <f t="shared" si="54"/>
        <v>759.56312216999993</v>
      </c>
      <c r="RG65" s="50">
        <f t="shared" si="119"/>
        <v>524.68395599999997</v>
      </c>
      <c r="RH65" s="50">
        <v>234.917765</v>
      </c>
      <c r="RI65" s="50">
        <v>759.601721</v>
      </c>
      <c r="RJ65" s="50">
        <v>30.884678159999993</v>
      </c>
      <c r="RK65" s="50">
        <v>11.263038170000002</v>
      </c>
      <c r="RL65" s="50">
        <v>42.147716330000002</v>
      </c>
      <c r="RM65" s="50">
        <v>160.62595135999999</v>
      </c>
      <c r="RN65" s="50">
        <v>10.519737219999998</v>
      </c>
      <c r="RO65" s="50">
        <v>171.14568857999998</v>
      </c>
      <c r="RP65" s="50">
        <v>19.368371660000001</v>
      </c>
      <c r="RQ65" s="50">
        <v>5.3401568500000005</v>
      </c>
      <c r="RR65" s="50">
        <v>24.708528509999994</v>
      </c>
      <c r="RS65" s="50">
        <v>48.48588685</v>
      </c>
      <c r="RT65" s="50">
        <v>15.04960204</v>
      </c>
      <c r="RU65" s="50">
        <v>63.535488889999996</v>
      </c>
      <c r="RV65" s="50">
        <v>31.41868741</v>
      </c>
      <c r="RW65" s="50">
        <v>16.27960285</v>
      </c>
      <c r="RX65" s="50">
        <v>47.69829026</v>
      </c>
      <c r="RY65" s="50">
        <v>34.040562670000014</v>
      </c>
      <c r="RZ65" s="50">
        <v>18.248633330000004</v>
      </c>
      <c r="SA65" s="50">
        <v>52.289196000000018</v>
      </c>
      <c r="SB65" s="50">
        <v>47.601269720000005</v>
      </c>
      <c r="SC65" s="50">
        <v>28.757991640000004</v>
      </c>
      <c r="SD65" s="50">
        <v>76.359261360000005</v>
      </c>
      <c r="SE65" s="50">
        <v>36.935004069999991</v>
      </c>
      <c r="SF65" s="50">
        <v>29.515502179999999</v>
      </c>
      <c r="SG65" s="50">
        <v>66.450506249999989</v>
      </c>
      <c r="SH65" s="50">
        <v>55.04829598000002</v>
      </c>
      <c r="SI65" s="50">
        <v>25.810943559999998</v>
      </c>
      <c r="SJ65" s="50">
        <v>80.859239540000019</v>
      </c>
      <c r="SK65" s="50">
        <v>68.136056599999989</v>
      </c>
      <c r="SL65" s="50">
        <v>39.913304340000018</v>
      </c>
      <c r="SM65" s="50">
        <v>108.04936094</v>
      </c>
      <c r="SN65" s="50">
        <v>44.173624779999997</v>
      </c>
      <c r="SO65" s="50">
        <v>24.678381250000005</v>
      </c>
      <c r="SP65" s="50">
        <v>68.852006029999998</v>
      </c>
      <c r="SQ65" s="50">
        <v>110.14577990000012</v>
      </c>
      <c r="SR65" s="50">
        <v>37.550956100000001</v>
      </c>
      <c r="SS65" s="50">
        <v>147.69673600000013</v>
      </c>
      <c r="ST65" s="50">
        <f t="shared" si="55"/>
        <v>686.86416916000007</v>
      </c>
      <c r="SU65" s="50">
        <f t="shared" si="65"/>
        <v>262.92784953</v>
      </c>
      <c r="SV65" s="50">
        <f t="shared" si="56"/>
        <v>949.79201869000019</v>
      </c>
      <c r="SW65" s="50">
        <f t="shared" si="103"/>
        <v>686.86130200000002</v>
      </c>
      <c r="SX65" s="50">
        <v>262.92784499999999</v>
      </c>
      <c r="SY65" s="50">
        <v>949.78914699999996</v>
      </c>
      <c r="SZ65" s="50">
        <v>52.827584180000009</v>
      </c>
      <c r="TA65" s="50">
        <v>12.096008360000003</v>
      </c>
      <c r="TB65" s="50">
        <v>64.923592539999973</v>
      </c>
      <c r="TC65" s="50">
        <v>18.792741740000004</v>
      </c>
      <c r="TD65" s="50">
        <v>38.853564270000007</v>
      </c>
      <c r="TE65" s="50">
        <v>57.646306010000011</v>
      </c>
      <c r="TF65" s="50">
        <v>103.43302763</v>
      </c>
      <c r="TG65" s="50">
        <v>16.382881960000002</v>
      </c>
      <c r="TH65" s="50">
        <v>119.81590959</v>
      </c>
      <c r="TI65" s="50">
        <v>56.046949700000042</v>
      </c>
      <c r="TJ65" s="50">
        <v>23.410422569999994</v>
      </c>
      <c r="TK65" s="50">
        <v>79.457372270000036</v>
      </c>
      <c r="TL65" s="50">
        <f t="shared" ref="TL65:TL73" si="130">TN65-TM65</f>
        <v>28.249210199999997</v>
      </c>
      <c r="TM65" s="50">
        <v>27.151069610000004</v>
      </c>
      <c r="TN65" s="50">
        <v>55.400279810000001</v>
      </c>
      <c r="TO65" s="50">
        <v>83.071162439999995</v>
      </c>
      <c r="TP65" s="50">
        <v>28.241874579999998</v>
      </c>
      <c r="TQ65" s="50">
        <v>111.31303702</v>
      </c>
      <c r="TR65" s="50">
        <v>58.455016199999974</v>
      </c>
      <c r="TS65" s="50">
        <v>20.704615380000011</v>
      </c>
      <c r="TT65" s="50">
        <v>79.159631579999981</v>
      </c>
      <c r="TU65" s="50">
        <v>46.914780549999989</v>
      </c>
      <c r="TV65" s="50">
        <v>23.469681670000003</v>
      </c>
      <c r="TW65" s="50">
        <v>70.384462219999989</v>
      </c>
      <c r="TX65" s="50">
        <v>65.339793560000004</v>
      </c>
      <c r="TY65" s="50">
        <v>21.367660399999998</v>
      </c>
      <c r="TZ65" s="50">
        <v>86.707453960000009</v>
      </c>
      <c r="UA65" s="50">
        <v>54.56294545999998</v>
      </c>
      <c r="UB65" s="50">
        <v>29.332369460000006</v>
      </c>
      <c r="UC65" s="50">
        <v>83.89531491999999</v>
      </c>
      <c r="UD65" s="50">
        <v>57.370109100000001</v>
      </c>
      <c r="UE65" s="50">
        <v>27.689251879999993</v>
      </c>
      <c r="UF65" s="50">
        <v>85.059360979999994</v>
      </c>
      <c r="UG65" s="50">
        <v>146.77802357999988</v>
      </c>
      <c r="UH65" s="50">
        <v>49.316958589999984</v>
      </c>
      <c r="UI65" s="50">
        <v>196.09498216999987</v>
      </c>
      <c r="UJ65" s="50">
        <f t="shared" si="45"/>
        <v>771.84134433999975</v>
      </c>
      <c r="UK65" s="50">
        <f t="shared" si="15"/>
        <v>318.01635872999998</v>
      </c>
      <c r="UL65" s="50">
        <f t="shared" si="16"/>
        <v>1089.8577030700001</v>
      </c>
      <c r="UM65" s="50">
        <v>126.00026542000002</v>
      </c>
      <c r="UN65" s="50">
        <v>9.6961708800000004</v>
      </c>
      <c r="UO65" s="50">
        <v>135.69643630000002</v>
      </c>
      <c r="UP65" s="50">
        <v>108.75795667</v>
      </c>
      <c r="UQ65" s="50">
        <v>15.630835580000001</v>
      </c>
      <c r="UR65" s="50">
        <v>124.38879224999999</v>
      </c>
      <c r="US65" s="50">
        <v>86.64092156000001</v>
      </c>
      <c r="UT65" s="50">
        <v>56.394784240000014</v>
      </c>
      <c r="UU65" s="50">
        <v>143.03570580000002</v>
      </c>
      <c r="UV65" s="50">
        <v>19.658009510000003</v>
      </c>
      <c r="UW65" s="50">
        <v>16.809646330000003</v>
      </c>
      <c r="UX65" s="50">
        <v>36.467655840000006</v>
      </c>
      <c r="UY65" s="50"/>
      <c r="UZ65" s="50"/>
      <c r="VA65" s="50"/>
      <c r="VB65" s="50"/>
      <c r="VC65" s="50"/>
      <c r="VD65" s="50"/>
      <c r="VE65" s="50"/>
      <c r="VF65" s="50"/>
      <c r="VG65" s="50"/>
      <c r="VH65" s="50"/>
      <c r="VI65" s="50"/>
      <c r="VJ65" s="50"/>
      <c r="VK65" s="50"/>
      <c r="VL65" s="50"/>
      <c r="VM65" s="50"/>
      <c r="VN65" s="50"/>
      <c r="VO65" s="50"/>
      <c r="VP65" s="50"/>
      <c r="VQ65" s="50"/>
      <c r="VR65" s="50"/>
      <c r="VS65" s="50"/>
      <c r="VT65" s="50"/>
      <c r="VU65" s="50"/>
      <c r="VV65" s="50"/>
      <c r="VW65" s="276">
        <f t="shared" si="57"/>
        <v>231.100303</v>
      </c>
      <c r="VX65" s="292">
        <f t="shared" si="58"/>
        <v>90.742876999999993</v>
      </c>
      <c r="VY65" s="292">
        <f t="shared" si="59"/>
        <v>321.84318000000002</v>
      </c>
      <c r="VZ65" s="276">
        <f t="shared" si="60"/>
        <v>341.05715300000003</v>
      </c>
      <c r="WA65" s="292">
        <f t="shared" si="61"/>
        <v>98.531436999999997</v>
      </c>
      <c r="WB65" s="292">
        <f t="shared" si="62"/>
        <v>439.58859000000001</v>
      </c>
      <c r="WC65" s="277">
        <f t="shared" si="112"/>
        <v>117.74540999999999</v>
      </c>
      <c r="WD65" s="277">
        <f t="shared" si="104"/>
        <v>36.584714953413027</v>
      </c>
    </row>
    <row r="66" spans="1:602" s="12" customFormat="1" ht="21.65" hidden="1" customHeight="1">
      <c r="A66" s="314" t="s">
        <v>169</v>
      </c>
      <c r="B66" s="13">
        <v>5800</v>
      </c>
      <c r="C66" s="47" t="s">
        <v>169</v>
      </c>
      <c r="D66" s="45">
        <v>199.41278934098273</v>
      </c>
      <c r="E66" s="42">
        <v>111.87764440726006</v>
      </c>
      <c r="F66" s="44" t="s">
        <v>46</v>
      </c>
      <c r="G66" s="44" t="s">
        <v>46</v>
      </c>
      <c r="H66" s="44" t="s">
        <v>46</v>
      </c>
      <c r="I66" s="44" t="s">
        <v>46</v>
      </c>
      <c r="J66" s="44" t="s">
        <v>46</v>
      </c>
      <c r="K66" s="44" t="s">
        <v>46</v>
      </c>
      <c r="L66" s="44" t="s">
        <v>46</v>
      </c>
      <c r="M66" s="44" t="s">
        <v>46</v>
      </c>
      <c r="N66" s="44" t="s">
        <v>46</v>
      </c>
      <c r="O66" s="44" t="s">
        <v>46</v>
      </c>
      <c r="P66" s="44" t="s">
        <v>46</v>
      </c>
      <c r="Q66" s="44" t="s">
        <v>46</v>
      </c>
      <c r="R66" s="44" t="s">
        <v>46</v>
      </c>
      <c r="S66" s="44" t="s">
        <v>46</v>
      </c>
      <c r="T66" s="44" t="s">
        <v>46</v>
      </c>
      <c r="U66" s="44" t="s">
        <v>46</v>
      </c>
      <c r="V66" s="44">
        <v>0</v>
      </c>
      <c r="W66" s="44" t="s">
        <v>46</v>
      </c>
      <c r="X66" s="44" t="s">
        <v>46</v>
      </c>
      <c r="Y66" s="44" t="s">
        <v>46</v>
      </c>
      <c r="Z66" s="44" t="s">
        <v>46</v>
      </c>
      <c r="AA66" s="44" t="s">
        <v>46</v>
      </c>
      <c r="AB66" s="44" t="s">
        <v>46</v>
      </c>
      <c r="AC66" s="44" t="s">
        <v>46</v>
      </c>
      <c r="AD66" s="44" t="s">
        <v>46</v>
      </c>
      <c r="AE66" s="44" t="s">
        <v>46</v>
      </c>
      <c r="AF66" s="44" t="s">
        <v>46</v>
      </c>
      <c r="AG66" s="44" t="s">
        <v>46</v>
      </c>
      <c r="AH66" s="44" t="s">
        <v>46</v>
      </c>
      <c r="AI66" s="44" t="s">
        <v>46</v>
      </c>
      <c r="AJ66" s="44" t="s">
        <v>46</v>
      </c>
      <c r="AK66" s="44" t="s">
        <v>46</v>
      </c>
      <c r="AL66" s="44">
        <v>0</v>
      </c>
      <c r="AM66" s="44" t="s">
        <v>46</v>
      </c>
      <c r="AN66" s="44" t="s">
        <v>46</v>
      </c>
      <c r="AO66" s="44" t="s">
        <v>46</v>
      </c>
      <c r="AP66" s="44" t="s">
        <v>46</v>
      </c>
      <c r="AQ66" s="44" t="s">
        <v>46</v>
      </c>
      <c r="AR66" s="44" t="s">
        <v>46</v>
      </c>
      <c r="AS66" s="44" t="s">
        <v>46</v>
      </c>
      <c r="AT66" s="44" t="s">
        <v>46</v>
      </c>
      <c r="AU66" s="44" t="s">
        <v>46</v>
      </c>
      <c r="AV66" s="44" t="s">
        <v>46</v>
      </c>
      <c r="AW66" s="44" t="s">
        <v>46</v>
      </c>
      <c r="AX66" s="44" t="s">
        <v>46</v>
      </c>
      <c r="AY66" s="44" t="s">
        <v>46</v>
      </c>
      <c r="AZ66" s="50" t="s">
        <v>46</v>
      </c>
      <c r="BA66" s="50" t="s">
        <v>46</v>
      </c>
      <c r="BB66" s="50" t="s">
        <v>46</v>
      </c>
      <c r="BC66" s="50" t="s">
        <v>46</v>
      </c>
      <c r="BD66" s="50" t="s">
        <v>46</v>
      </c>
      <c r="BE66" s="50" t="s">
        <v>46</v>
      </c>
      <c r="BF66" s="95" t="s">
        <v>46</v>
      </c>
      <c r="BG66" s="94" t="s">
        <v>46</v>
      </c>
      <c r="BH66" s="95"/>
      <c r="BI66" s="44" t="s">
        <v>46</v>
      </c>
      <c r="BJ66" s="50" t="s">
        <v>46</v>
      </c>
      <c r="BK66" s="44"/>
      <c r="BL66" s="44" t="s">
        <v>46</v>
      </c>
      <c r="BM66" s="50" t="s">
        <v>46</v>
      </c>
      <c r="BN66" s="44"/>
      <c r="BO66" s="44" t="s">
        <v>46</v>
      </c>
      <c r="BP66" s="50" t="s">
        <v>46</v>
      </c>
      <c r="BQ66" s="44"/>
      <c r="BR66" s="44" t="s">
        <v>46</v>
      </c>
      <c r="BS66" s="50" t="s">
        <v>46</v>
      </c>
      <c r="BT66" s="44"/>
      <c r="BU66" s="44" t="s">
        <v>46</v>
      </c>
      <c r="BV66" s="44" t="s">
        <v>46</v>
      </c>
      <c r="BW66" s="44"/>
      <c r="BX66" s="44" t="s">
        <v>46</v>
      </c>
      <c r="BY66" s="50" t="s">
        <v>46</v>
      </c>
      <c r="BZ66" s="44"/>
      <c r="CA66" s="44" t="s">
        <v>46</v>
      </c>
      <c r="CB66" s="50" t="s">
        <v>46</v>
      </c>
      <c r="CC66" s="44"/>
      <c r="CD66" s="44" t="s">
        <v>46</v>
      </c>
      <c r="CE66" s="50" t="s">
        <v>46</v>
      </c>
      <c r="CF66" s="44"/>
      <c r="CG66" s="44" t="s">
        <v>46</v>
      </c>
      <c r="CH66" s="50" t="s">
        <v>46</v>
      </c>
      <c r="CI66" s="44"/>
      <c r="CJ66" s="44" t="s">
        <v>46</v>
      </c>
      <c r="CK66" s="50" t="s">
        <v>46</v>
      </c>
      <c r="CL66" s="44"/>
      <c r="CM66" s="44" t="s">
        <v>46</v>
      </c>
      <c r="CN66" s="50" t="s">
        <v>46</v>
      </c>
      <c r="CO66" s="44"/>
      <c r="CP66" s="44" t="s">
        <v>46</v>
      </c>
      <c r="CQ66" s="50" t="s">
        <v>46</v>
      </c>
      <c r="CR66" s="44"/>
      <c r="CS66" s="50" t="s">
        <v>46</v>
      </c>
      <c r="CT66" s="50" t="s">
        <v>46</v>
      </c>
      <c r="CU66" s="50" t="s">
        <v>46</v>
      </c>
      <c r="CV66" s="44" t="s">
        <v>46</v>
      </c>
      <c r="CW66" s="50" t="s">
        <v>46</v>
      </c>
      <c r="CX66" s="44"/>
      <c r="CY66" s="44" t="s">
        <v>46</v>
      </c>
      <c r="CZ66" s="50" t="s">
        <v>46</v>
      </c>
      <c r="DA66" s="44"/>
      <c r="DB66" s="44" t="s">
        <v>46</v>
      </c>
      <c r="DC66" s="50" t="s">
        <v>46</v>
      </c>
      <c r="DD66" s="44"/>
      <c r="DE66" s="44" t="s">
        <v>46</v>
      </c>
      <c r="DF66" s="50" t="s">
        <v>46</v>
      </c>
      <c r="DG66" s="44"/>
      <c r="DH66" s="44" t="s">
        <v>46</v>
      </c>
      <c r="DI66" s="50" t="s">
        <v>46</v>
      </c>
      <c r="DJ66" s="44"/>
      <c r="DK66" s="44" t="s">
        <v>46</v>
      </c>
      <c r="DL66" s="50" t="s">
        <v>46</v>
      </c>
      <c r="DM66" s="44"/>
      <c r="DN66" s="44" t="s">
        <v>46</v>
      </c>
      <c r="DO66" s="50" t="s">
        <v>46</v>
      </c>
      <c r="DP66" s="44"/>
      <c r="DQ66" s="44" t="s">
        <v>46</v>
      </c>
      <c r="DR66" s="50" t="s">
        <v>46</v>
      </c>
      <c r="DS66" s="44"/>
      <c r="DT66" s="44" t="s">
        <v>46</v>
      </c>
      <c r="DU66" s="50" t="s">
        <v>46</v>
      </c>
      <c r="DV66" s="44"/>
      <c r="DW66" s="44" t="s">
        <v>46</v>
      </c>
      <c r="DX66" s="50" t="s">
        <v>46</v>
      </c>
      <c r="DY66" s="44"/>
      <c r="DZ66" s="44" t="s">
        <v>46</v>
      </c>
      <c r="EA66" s="50" t="s">
        <v>46</v>
      </c>
      <c r="EB66" s="44"/>
      <c r="EC66" s="44" t="s">
        <v>46</v>
      </c>
      <c r="ED66" s="50" t="s">
        <v>46</v>
      </c>
      <c r="EE66" s="44"/>
      <c r="EF66" s="50" t="s">
        <v>46</v>
      </c>
      <c r="EG66" s="50" t="s">
        <v>46</v>
      </c>
      <c r="EH66" s="50" t="s">
        <v>46</v>
      </c>
      <c r="EI66" s="50" t="s">
        <v>46</v>
      </c>
      <c r="EJ66" s="50" t="s">
        <v>46</v>
      </c>
      <c r="EK66" s="50" t="s">
        <v>46</v>
      </c>
      <c r="EL66" s="50" t="s">
        <v>46</v>
      </c>
      <c r="EM66" s="50" t="s">
        <v>46</v>
      </c>
      <c r="EN66" s="50"/>
      <c r="EO66" s="50" t="s">
        <v>46</v>
      </c>
      <c r="EP66" s="50" t="s">
        <v>46</v>
      </c>
      <c r="EQ66" s="50"/>
      <c r="ER66" s="50" t="s">
        <v>46</v>
      </c>
      <c r="ES66" s="50" t="s">
        <v>46</v>
      </c>
      <c r="ET66" s="50"/>
      <c r="EU66" s="50" t="s">
        <v>46</v>
      </c>
      <c r="EV66" s="50" t="s">
        <v>46</v>
      </c>
      <c r="EW66" s="50"/>
      <c r="EX66" s="50" t="s">
        <v>46</v>
      </c>
      <c r="EY66" s="50" t="s">
        <v>46</v>
      </c>
      <c r="EZ66" s="50"/>
      <c r="FA66" s="50" t="s">
        <v>46</v>
      </c>
      <c r="FB66" s="50" t="s">
        <v>46</v>
      </c>
      <c r="FC66" s="50"/>
      <c r="FD66" s="50" t="s">
        <v>46</v>
      </c>
      <c r="FE66" s="50" t="s">
        <v>46</v>
      </c>
      <c r="FF66" s="50"/>
      <c r="FG66" s="50" t="s">
        <v>46</v>
      </c>
      <c r="FH66" s="50" t="s">
        <v>46</v>
      </c>
      <c r="FI66" s="50"/>
      <c r="FJ66" s="50" t="s">
        <v>46</v>
      </c>
      <c r="FK66" s="50" t="s">
        <v>46</v>
      </c>
      <c r="FL66" s="50"/>
      <c r="FM66" s="50" t="s">
        <v>46</v>
      </c>
      <c r="FN66" s="50" t="s">
        <v>46</v>
      </c>
      <c r="FO66" s="50"/>
      <c r="FP66" s="50" t="s">
        <v>46</v>
      </c>
      <c r="FQ66" s="50" t="s">
        <v>46</v>
      </c>
      <c r="FR66" s="50"/>
      <c r="FS66" s="50" t="s">
        <v>46</v>
      </c>
      <c r="FT66" s="50" t="s">
        <v>46</v>
      </c>
      <c r="FU66" s="50"/>
      <c r="FV66" s="50" t="s">
        <v>46</v>
      </c>
      <c r="FW66" s="50" t="s">
        <v>46</v>
      </c>
      <c r="FX66" s="50">
        <f t="shared" si="32"/>
        <v>0</v>
      </c>
      <c r="FY66" s="50" t="s">
        <v>46</v>
      </c>
      <c r="FZ66" s="50" t="s">
        <v>46</v>
      </c>
      <c r="GA66" s="50" t="s">
        <v>46</v>
      </c>
      <c r="GB66" s="50" t="s">
        <v>46</v>
      </c>
      <c r="GC66" s="50" t="s">
        <v>46</v>
      </c>
      <c r="GD66" s="50"/>
      <c r="GE66" s="50" t="s">
        <v>46</v>
      </c>
      <c r="GF66" s="50" t="s">
        <v>46</v>
      </c>
      <c r="GG66" s="50"/>
      <c r="GH66" s="50" t="s">
        <v>46</v>
      </c>
      <c r="GI66" s="50" t="s">
        <v>46</v>
      </c>
      <c r="GJ66" s="50"/>
      <c r="GK66" s="50" t="s">
        <v>46</v>
      </c>
      <c r="GL66" s="50" t="s">
        <v>46</v>
      </c>
      <c r="GM66" s="50"/>
      <c r="GN66" s="50" t="s">
        <v>46</v>
      </c>
      <c r="GO66" s="50" t="s">
        <v>46</v>
      </c>
      <c r="GP66" s="50"/>
      <c r="GQ66" s="50" t="s">
        <v>46</v>
      </c>
      <c r="GR66" s="50" t="s">
        <v>46</v>
      </c>
      <c r="GS66" s="50"/>
      <c r="GT66" s="50" t="s">
        <v>46</v>
      </c>
      <c r="GU66" s="50" t="s">
        <v>46</v>
      </c>
      <c r="GV66" s="50"/>
      <c r="GW66" s="50" t="s">
        <v>46</v>
      </c>
      <c r="GX66" s="50" t="s">
        <v>46</v>
      </c>
      <c r="GY66" s="50"/>
      <c r="GZ66" s="50" t="s">
        <v>46</v>
      </c>
      <c r="HA66" s="50" t="s">
        <v>46</v>
      </c>
      <c r="HB66" s="50"/>
      <c r="HC66" s="50" t="s">
        <v>46</v>
      </c>
      <c r="HD66" s="50" t="s">
        <v>46</v>
      </c>
      <c r="HE66" s="50"/>
      <c r="HF66" s="50" t="s">
        <v>46</v>
      </c>
      <c r="HG66" s="50" t="s">
        <v>46</v>
      </c>
      <c r="HH66" s="50"/>
      <c r="HI66" s="50" t="s">
        <v>46</v>
      </c>
      <c r="HJ66" s="50" t="s">
        <v>46</v>
      </c>
      <c r="HK66" s="50"/>
      <c r="HL66" s="50" t="s">
        <v>46</v>
      </c>
      <c r="HM66" s="50" t="s">
        <v>46</v>
      </c>
      <c r="HN66" s="50" t="s">
        <v>46</v>
      </c>
      <c r="HO66" s="50">
        <f t="shared" si="96"/>
        <v>0</v>
      </c>
      <c r="HP66" s="50"/>
      <c r="HQ66" s="50"/>
      <c r="HR66" s="50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0"/>
      <c r="IV66" s="50"/>
      <c r="IW66" s="50"/>
      <c r="IX66" s="50"/>
      <c r="IY66" s="50"/>
      <c r="IZ66" s="50"/>
      <c r="JA66" s="50"/>
      <c r="JB66" s="50">
        <f t="shared" si="36"/>
        <v>0</v>
      </c>
      <c r="JC66" s="50">
        <f t="shared" si="37"/>
        <v>0</v>
      </c>
      <c r="JD66" s="50">
        <f t="shared" si="38"/>
        <v>0</v>
      </c>
      <c r="JE66" s="50">
        <f t="shared" si="97"/>
        <v>0</v>
      </c>
      <c r="JF66" s="50"/>
      <c r="JG66" s="50"/>
      <c r="JH66" s="50"/>
      <c r="JI66" s="50"/>
      <c r="JJ66" s="50"/>
      <c r="JK66" s="50"/>
      <c r="JL66" s="50"/>
      <c r="JM66" s="50"/>
      <c r="JN66" s="50"/>
      <c r="JO66" s="50"/>
      <c r="JP66" s="50"/>
      <c r="JQ66" s="50"/>
      <c r="JR66" s="50"/>
      <c r="JS66" s="50"/>
      <c r="JT66" s="50"/>
      <c r="JU66" s="50"/>
      <c r="JV66" s="50"/>
      <c r="JW66" s="50"/>
      <c r="JX66" s="50"/>
      <c r="JY66" s="50"/>
      <c r="JZ66" s="50"/>
      <c r="KA66" s="50"/>
      <c r="KB66" s="50"/>
      <c r="KC66" s="50"/>
      <c r="KD66" s="50"/>
      <c r="KE66" s="50"/>
      <c r="KF66" s="50"/>
      <c r="KG66" s="50"/>
      <c r="KH66" s="50"/>
      <c r="KI66" s="50"/>
      <c r="KJ66" s="50"/>
      <c r="KK66" s="50"/>
      <c r="KL66" s="50"/>
      <c r="KM66" s="50"/>
      <c r="KN66" s="50"/>
      <c r="KO66" s="50"/>
      <c r="KP66" s="50"/>
      <c r="KQ66" s="50"/>
      <c r="KR66" s="50">
        <f t="shared" si="48"/>
        <v>0</v>
      </c>
      <c r="KS66" s="50">
        <f t="shared" si="39"/>
        <v>0</v>
      </c>
      <c r="KT66" s="50">
        <f t="shared" si="49"/>
        <v>0</v>
      </c>
      <c r="KU66" s="50">
        <f t="shared" si="98"/>
        <v>0</v>
      </c>
      <c r="KV66" s="50"/>
      <c r="KW66" s="50"/>
      <c r="KX66" s="50"/>
      <c r="KY66" s="50"/>
      <c r="KZ66" s="50"/>
      <c r="LA66" s="50"/>
      <c r="LB66" s="50"/>
      <c r="LC66" s="50"/>
      <c r="LF66" s="50"/>
      <c r="LG66" s="50"/>
      <c r="LH66" s="50"/>
      <c r="LI66" s="50"/>
      <c r="LJ66" s="50"/>
      <c r="LK66" s="50"/>
      <c r="LP66" s="179"/>
      <c r="LQ66" s="179"/>
      <c r="LR66" s="179"/>
      <c r="LS66" s="317"/>
      <c r="LT66" s="179"/>
      <c r="LU66" s="318"/>
      <c r="LV66" s="44"/>
      <c r="LW66" s="44"/>
      <c r="LX66" s="44"/>
      <c r="LY66" s="44"/>
      <c r="LZ66" s="44"/>
      <c r="MA66" s="44"/>
      <c r="MB66" s="44"/>
      <c r="MC66" s="44"/>
      <c r="MD66" s="44"/>
      <c r="ME66" s="44"/>
      <c r="MF66" s="44"/>
      <c r="MG66" s="44"/>
      <c r="MH66" s="50">
        <f t="shared" si="66"/>
        <v>0</v>
      </c>
      <c r="MI66" s="50">
        <f t="shared" si="50"/>
        <v>0</v>
      </c>
      <c r="MJ66" s="50">
        <f t="shared" si="51"/>
        <v>0</v>
      </c>
      <c r="MK66" s="50">
        <f t="shared" si="99"/>
        <v>0</v>
      </c>
      <c r="ML66" s="50"/>
      <c r="MM66" s="50"/>
      <c r="MN66" s="179"/>
      <c r="MO66" s="179"/>
      <c r="MP66" s="179"/>
      <c r="MT66" s="44"/>
      <c r="MU66" s="50"/>
      <c r="MV66" s="50"/>
      <c r="MW66" s="44"/>
      <c r="MX66" s="44"/>
      <c r="MY66" s="44"/>
      <c r="MZ66" s="44"/>
      <c r="NA66" s="44"/>
      <c r="NB66" s="44"/>
      <c r="NC66" s="44"/>
      <c r="ND66" s="44"/>
      <c r="NE66" s="44"/>
      <c r="NF66" s="44"/>
      <c r="NG66" s="44"/>
      <c r="NH66" s="44"/>
      <c r="NI66" s="44"/>
      <c r="NJ66" s="44"/>
      <c r="NK66" s="44"/>
      <c r="NL66" s="44"/>
      <c r="NM66" s="44"/>
      <c r="NN66" s="44"/>
      <c r="NO66" s="44"/>
      <c r="NP66" s="44"/>
      <c r="NQ66" s="44"/>
      <c r="NR66" s="44"/>
      <c r="NS66" s="44"/>
      <c r="NT66" s="44"/>
      <c r="NU66" s="44"/>
      <c r="NV66" s="44"/>
      <c r="NW66" s="44"/>
      <c r="NX66" s="50">
        <f t="shared" si="117"/>
        <v>0</v>
      </c>
      <c r="NY66" s="50">
        <f t="shared" si="40"/>
        <v>0</v>
      </c>
      <c r="NZ66" s="50">
        <f t="shared" si="41"/>
        <v>0</v>
      </c>
      <c r="OA66" s="50">
        <f t="shared" si="100"/>
        <v>0</v>
      </c>
      <c r="OB66" s="50"/>
      <c r="OC66" s="50"/>
      <c r="OD66" s="44"/>
      <c r="OE66" s="44"/>
      <c r="OF66" s="44"/>
      <c r="OG66" s="50"/>
      <c r="OH66" s="44"/>
      <c r="OI66" s="44"/>
      <c r="OJ66" s="44"/>
      <c r="OK66" s="44"/>
      <c r="OL66" s="44"/>
      <c r="OM66" s="44"/>
      <c r="ON66" s="44"/>
      <c r="OO66" s="44"/>
      <c r="OP66" s="44"/>
      <c r="OQ66" s="44"/>
      <c r="OR66" s="44"/>
      <c r="OS66" s="44"/>
      <c r="OT66" s="44"/>
      <c r="OV66" s="44"/>
      <c r="OW66" s="44"/>
      <c r="OX66" s="44"/>
      <c r="OY66" s="44"/>
      <c r="OZ66" s="44"/>
      <c r="PA66" s="44"/>
      <c r="PB66" s="44"/>
      <c r="PC66" s="44"/>
      <c r="PD66" s="44"/>
      <c r="PE66" s="44"/>
      <c r="PF66" s="44"/>
      <c r="PG66" s="44"/>
      <c r="PH66" s="44"/>
      <c r="PI66" s="44"/>
      <c r="PJ66" s="44"/>
      <c r="PK66" s="44"/>
      <c r="PL66" s="44"/>
      <c r="PM66" s="44"/>
      <c r="PN66" s="50"/>
      <c r="PO66" s="50"/>
      <c r="PP66" s="50"/>
      <c r="PQ66" s="50"/>
      <c r="PR66" s="50"/>
      <c r="PS66" s="50"/>
      <c r="PT66" s="44"/>
      <c r="PU66" s="44"/>
      <c r="PV66" s="44"/>
      <c r="PW66" s="44"/>
      <c r="PX66" s="44"/>
      <c r="PY66" s="44"/>
      <c r="PZ66" s="44"/>
      <c r="QA66" s="44"/>
      <c r="QB66" s="44"/>
      <c r="QC66" s="44"/>
      <c r="QD66" s="44"/>
      <c r="QE66" s="44"/>
      <c r="QF66" s="50"/>
      <c r="QG66" s="44"/>
      <c r="QH66" s="44"/>
      <c r="QI66" s="50"/>
      <c r="QJ66" s="44"/>
      <c r="QK66" s="44"/>
      <c r="QL66" s="44"/>
      <c r="QM66" s="44"/>
      <c r="QN66" s="44"/>
      <c r="QO66" s="50">
        <v>0</v>
      </c>
      <c r="QP66" s="44"/>
      <c r="QQ66" s="44"/>
      <c r="QR66" s="44"/>
      <c r="QS66" s="44"/>
      <c r="QT66" s="44"/>
      <c r="QU66" s="50">
        <v>0</v>
      </c>
      <c r="QV66" s="44"/>
      <c r="QW66" s="44"/>
      <c r="QX66" s="50">
        <v>0</v>
      </c>
      <c r="QY66" s="44"/>
      <c r="QZ66" s="44"/>
      <c r="RA66" s="50">
        <v>181.61316199999999</v>
      </c>
      <c r="RB66" s="44"/>
      <c r="RC66" s="44">
        <v>181.61316199999999</v>
      </c>
      <c r="RD66" s="50">
        <f t="shared" si="52"/>
        <v>181.61316199999999</v>
      </c>
      <c r="RE66" s="50">
        <f t="shared" si="53"/>
        <v>0</v>
      </c>
      <c r="RF66" s="50">
        <f t="shared" si="54"/>
        <v>181.61316199999999</v>
      </c>
      <c r="RG66" s="50"/>
      <c r="RH66" s="50"/>
      <c r="RI66" s="50"/>
      <c r="RJ66" s="50"/>
      <c r="RK66" s="50"/>
      <c r="RL66" s="50"/>
      <c r="RM66" s="50"/>
      <c r="RN66" s="50"/>
      <c r="RO66" s="50"/>
      <c r="RP66" s="50"/>
      <c r="RQ66" s="50"/>
      <c r="RR66" s="50"/>
      <c r="RS66" s="50"/>
      <c r="RT66" s="50"/>
      <c r="RU66" s="50"/>
      <c r="RV66" s="50"/>
      <c r="RW66" s="50"/>
      <c r="RX66" s="50"/>
      <c r="RY66" s="50"/>
      <c r="RZ66" s="50"/>
      <c r="SA66" s="50"/>
      <c r="SB66" s="50"/>
      <c r="SC66" s="50"/>
      <c r="SD66" s="50"/>
      <c r="SE66" s="50"/>
      <c r="SF66" s="50"/>
      <c r="SG66" s="50"/>
      <c r="SH66" s="50"/>
      <c r="SI66" s="50"/>
      <c r="SJ66" s="50"/>
      <c r="SK66" s="50"/>
      <c r="SL66" s="50"/>
      <c r="SM66" s="50"/>
      <c r="SN66" s="50"/>
      <c r="SO66" s="50"/>
      <c r="SP66" s="50"/>
      <c r="SQ66" s="50"/>
      <c r="SR66" s="50"/>
      <c r="SS66" s="50"/>
      <c r="ST66" s="50"/>
      <c r="SU66" s="50"/>
      <c r="SV66" s="50"/>
      <c r="SW66" s="50">
        <f t="shared" si="103"/>
        <v>0</v>
      </c>
      <c r="SX66" s="50"/>
      <c r="SY66" s="50"/>
      <c r="SZ66" s="50"/>
      <c r="TA66" s="50"/>
      <c r="TB66" s="50"/>
      <c r="TC66" s="50"/>
      <c r="TD66" s="50"/>
      <c r="TE66" s="50"/>
      <c r="TF66" s="50"/>
      <c r="TG66" s="50"/>
      <c r="TH66" s="50"/>
      <c r="TI66" s="50"/>
      <c r="TJ66" s="50"/>
      <c r="TK66" s="50"/>
      <c r="TL66" s="50">
        <f t="shared" si="130"/>
        <v>0</v>
      </c>
      <c r="TM66" s="50"/>
      <c r="TN66" s="50"/>
      <c r="TO66" s="50">
        <v>0</v>
      </c>
      <c r="TP66" s="50"/>
      <c r="TQ66" s="50"/>
      <c r="TR66" s="50">
        <v>0</v>
      </c>
      <c r="TS66" s="50"/>
      <c r="TT66" s="50"/>
      <c r="TU66" s="50">
        <v>0</v>
      </c>
      <c r="TV66" s="50"/>
      <c r="TW66" s="50"/>
      <c r="TX66" s="50">
        <v>0</v>
      </c>
      <c r="TY66" s="50"/>
      <c r="TZ66" s="50"/>
      <c r="UA66" s="50">
        <v>-29.332369460000006</v>
      </c>
      <c r="UB66" s="50">
        <v>29.332369460000006</v>
      </c>
      <c r="UC66" s="50"/>
      <c r="UD66" s="50">
        <v>57.370109100000001</v>
      </c>
      <c r="UE66" s="50">
        <v>27.689251879999993</v>
      </c>
      <c r="UF66" s="50">
        <v>85.059360979999994</v>
      </c>
      <c r="UG66" s="50">
        <v>-49.316958589999984</v>
      </c>
      <c r="UH66" s="50">
        <v>49.316958589999984</v>
      </c>
      <c r="UI66" s="50"/>
      <c r="UJ66" s="50">
        <f t="shared" si="45"/>
        <v>-21.27921894999999</v>
      </c>
      <c r="UK66" s="50">
        <f t="shared" si="15"/>
        <v>106.33857992999998</v>
      </c>
      <c r="UL66" s="50">
        <f t="shared" si="16"/>
        <v>85.059360979999994</v>
      </c>
      <c r="UM66" s="50">
        <v>-9.6961708800000004</v>
      </c>
      <c r="UN66" s="50">
        <v>9.6961708800000004</v>
      </c>
      <c r="UO66" s="50"/>
      <c r="UP66" s="50">
        <v>0</v>
      </c>
      <c r="UQ66" s="50"/>
      <c r="UR66" s="50"/>
      <c r="US66" s="50">
        <v>0</v>
      </c>
      <c r="UT66" s="50"/>
      <c r="UU66" s="50"/>
      <c r="UV66" s="50">
        <v>0</v>
      </c>
      <c r="UW66" s="50"/>
      <c r="UX66" s="50"/>
      <c r="UY66" s="50"/>
      <c r="UZ66" s="50"/>
      <c r="VA66" s="50"/>
      <c r="VB66" s="50"/>
      <c r="VC66" s="50"/>
      <c r="VD66" s="50"/>
      <c r="VE66" s="50"/>
      <c r="VF66" s="50"/>
      <c r="VG66" s="50"/>
      <c r="VH66" s="50"/>
      <c r="VI66" s="50"/>
      <c r="VJ66" s="50"/>
      <c r="VK66" s="50"/>
      <c r="VL66" s="50"/>
      <c r="VM66" s="50"/>
      <c r="VN66" s="50"/>
      <c r="VO66" s="50"/>
      <c r="VP66" s="50"/>
      <c r="VQ66" s="50"/>
      <c r="VR66" s="50"/>
      <c r="VS66" s="50"/>
      <c r="VT66" s="50"/>
      <c r="VU66" s="50"/>
      <c r="VV66" s="50"/>
      <c r="VW66" s="276">
        <f t="shared" si="57"/>
        <v>0</v>
      </c>
      <c r="VX66" s="292">
        <f t="shared" si="58"/>
        <v>0</v>
      </c>
      <c r="VY66" s="292">
        <f t="shared" si="59"/>
        <v>0</v>
      </c>
      <c r="VZ66" s="276">
        <f t="shared" si="60"/>
        <v>-9.6961709999999997</v>
      </c>
      <c r="WA66" s="292">
        <f t="shared" si="61"/>
        <v>9.6961709999999997</v>
      </c>
      <c r="WB66" s="292">
        <f t="shared" si="62"/>
        <v>0</v>
      </c>
      <c r="WC66" s="277">
        <f t="shared" si="112"/>
        <v>0</v>
      </c>
      <c r="WD66" s="277" t="e">
        <f t="shared" si="104"/>
        <v>#DIV/0!</v>
      </c>
    </row>
    <row r="67" spans="1:602" s="12" customFormat="1" ht="20.5">
      <c r="A67" s="314" t="s">
        <v>171</v>
      </c>
      <c r="B67" s="14" t="s">
        <v>172</v>
      </c>
      <c r="C67" s="46" t="s">
        <v>173</v>
      </c>
      <c r="D67" s="45">
        <v>39.942026510947578</v>
      </c>
      <c r="E67" s="45">
        <v>54.672456332064137</v>
      </c>
      <c r="F67" s="45">
        <v>127.44209196305087</v>
      </c>
      <c r="G67" s="45">
        <v>148.05813142782341</v>
      </c>
      <c r="H67" s="45">
        <v>0.81893226276458297</v>
      </c>
      <c r="I67" s="45">
        <v>3.4059623593491213</v>
      </c>
      <c r="J67" s="45">
        <v>8.2794274790695557</v>
      </c>
      <c r="K67" s="45">
        <v>7.6411225035714088</v>
      </c>
      <c r="L67" s="45">
        <v>7.4658377015497921</v>
      </c>
      <c r="M67" s="45">
        <v>7.619747468711048</v>
      </c>
      <c r="N67" s="45">
        <v>12.51623069874389</v>
      </c>
      <c r="O67" s="45">
        <v>12.807432797764385</v>
      </c>
      <c r="P67" s="45">
        <v>18.149528175707594</v>
      </c>
      <c r="Q67" s="45">
        <v>10.556478292667657</v>
      </c>
      <c r="R67" s="45">
        <v>14.822803768902853</v>
      </c>
      <c r="S67" s="45">
        <v>38.119529271318896</v>
      </c>
      <c r="T67" s="45">
        <v>0.73003604134279954</v>
      </c>
      <c r="U67" s="45">
        <v>141.47299673877799</v>
      </c>
      <c r="V67" s="45">
        <v>142.20303278012079</v>
      </c>
      <c r="W67" s="45">
        <v>142.20303527014647</v>
      </c>
      <c r="X67" s="45">
        <v>22.307856116356767</v>
      </c>
      <c r="Y67" s="45">
        <v>10.587776236333315</v>
      </c>
      <c r="Z67" s="45">
        <v>13.70697787718909</v>
      </c>
      <c r="AA67" s="45">
        <v>16.22508693746763</v>
      </c>
      <c r="AB67" s="45">
        <v>9.9394625244022503</v>
      </c>
      <c r="AC67" s="45">
        <v>5.648367112310118</v>
      </c>
      <c r="AD67" s="45">
        <v>9.2163035497805943</v>
      </c>
      <c r="AE67" s="45">
        <v>9.6525247437407877</v>
      </c>
      <c r="AF67" s="45">
        <v>9.80668152144837</v>
      </c>
      <c r="AG67" s="45">
        <v>15.247625468836262</v>
      </c>
      <c r="AH67" s="45">
        <v>14.351500560611491</v>
      </c>
      <c r="AI67" s="45">
        <v>38.159449860843132</v>
      </c>
      <c r="AJ67" s="45">
        <v>1.74741037330465</v>
      </c>
      <c r="AK67" s="45">
        <v>173.10220203641401</v>
      </c>
      <c r="AL67" s="45">
        <v>174.8496125093198</v>
      </c>
      <c r="AM67" s="45">
        <v>174.84961383259059</v>
      </c>
      <c r="AN67" s="45">
        <v>5.0045731099993747</v>
      </c>
      <c r="AO67" s="45">
        <v>9.5980613656154485</v>
      </c>
      <c r="AP67" s="45">
        <v>9.0074670747463017</v>
      </c>
      <c r="AQ67" s="45">
        <v>12.872670047410089</v>
      </c>
      <c r="AR67" s="45">
        <v>15.787289201541254</v>
      </c>
      <c r="AS67" s="45">
        <v>25.072272411653891</v>
      </c>
      <c r="AT67" s="45">
        <v>12.365853068565347</v>
      </c>
      <c r="AU67" s="45">
        <v>18.9444534464801</v>
      </c>
      <c r="AV67" s="45">
        <v>16.506225064171517</v>
      </c>
      <c r="AW67" s="45">
        <v>18.096418062503915</v>
      </c>
      <c r="AX67" s="45">
        <v>16.774763660992253</v>
      </c>
      <c r="AY67" s="45">
        <v>34.11704828088628</v>
      </c>
      <c r="AZ67" s="45">
        <v>8.908900632324233</v>
      </c>
      <c r="BA67" s="45">
        <v>185.23819416224151</v>
      </c>
      <c r="BB67" s="45">
        <v>194.14709479456573</v>
      </c>
      <c r="BC67" s="45">
        <f t="shared" si="21"/>
        <v>8.9089006323242472</v>
      </c>
      <c r="BD67" s="45">
        <v>185.23819443258716</v>
      </c>
      <c r="BE67" s="45">
        <v>194.14709506491141</v>
      </c>
      <c r="BF67" s="95">
        <f>BF68+BF69+BF70</f>
        <v>0</v>
      </c>
      <c r="BG67" s="94">
        <f>BG68+BG69+BG70</f>
        <v>10.302064</v>
      </c>
      <c r="BH67" s="94">
        <f>BH68+BH69+BH70</f>
        <v>10.302064</v>
      </c>
      <c r="BI67" s="96"/>
      <c r="BJ67" s="94">
        <f>BJ68+BJ69+BJ70</f>
        <v>9.7156666200000021</v>
      </c>
      <c r="BK67" s="94">
        <f>BK68+BK69+BK70</f>
        <v>9.7156666200000021</v>
      </c>
      <c r="BL67" s="94"/>
      <c r="BM67" s="94">
        <f>BM68+BM69+BM70</f>
        <v>12.942215529999999</v>
      </c>
      <c r="BN67" s="94">
        <f>BN68+BN69+BN70</f>
        <v>12.942215529999999</v>
      </c>
      <c r="BO67" s="94">
        <f>BO68+BO69+BO70</f>
        <v>2.8265199999999999</v>
      </c>
      <c r="BP67" s="94">
        <f>BP68+BP69+BP70</f>
        <v>6.7428163599999991</v>
      </c>
      <c r="BQ67" s="94">
        <f>BQ68+BQ69+BQ70</f>
        <v>9.5693363599999994</v>
      </c>
      <c r="BR67" s="94">
        <f t="shared" ref="BR67:CI67" si="131">BR68+BR69+BR70</f>
        <v>0</v>
      </c>
      <c r="BS67" s="94">
        <f t="shared" si="131"/>
        <v>6.6781145999999998</v>
      </c>
      <c r="BT67" s="94">
        <f t="shared" si="131"/>
        <v>6.6781145999999998</v>
      </c>
      <c r="BU67" s="94">
        <f t="shared" si="131"/>
        <v>0.8</v>
      </c>
      <c r="BV67" s="94">
        <f t="shared" si="131"/>
        <v>9.9636753099999993</v>
      </c>
      <c r="BW67" s="94">
        <f t="shared" si="131"/>
        <v>10.76367531</v>
      </c>
      <c r="BX67" s="94">
        <f t="shared" si="131"/>
        <v>6.0499999999999996E-4</v>
      </c>
      <c r="BY67" s="94">
        <f t="shared" si="131"/>
        <v>7.6922201599999998</v>
      </c>
      <c r="BZ67" s="94">
        <f t="shared" si="131"/>
        <v>7.6928251599999999</v>
      </c>
      <c r="CA67" s="94">
        <f t="shared" si="131"/>
        <v>0.996</v>
      </c>
      <c r="CB67" s="94">
        <f t="shared" si="131"/>
        <v>10.820365689999999</v>
      </c>
      <c r="CC67" s="94">
        <f t="shared" si="131"/>
        <v>11.81636569</v>
      </c>
      <c r="CD67" s="94">
        <f t="shared" si="131"/>
        <v>0.84095699999999995</v>
      </c>
      <c r="CE67" s="94">
        <f t="shared" si="131"/>
        <v>7.8864584699999991</v>
      </c>
      <c r="CF67" s="94">
        <f t="shared" si="131"/>
        <v>8.7274154699999986</v>
      </c>
      <c r="CG67" s="94">
        <f t="shared" si="131"/>
        <v>0.37737700000000002</v>
      </c>
      <c r="CH67" s="94">
        <f t="shared" si="131"/>
        <v>10.392512819999999</v>
      </c>
      <c r="CI67" s="94">
        <f t="shared" si="131"/>
        <v>10.76988982</v>
      </c>
      <c r="CJ67" s="50">
        <f t="shared" ref="CJ67:CO67" si="132">CJ68+CJ69+CJ70</f>
        <v>0.84321500000000005</v>
      </c>
      <c r="CK67" s="50">
        <f t="shared" si="132"/>
        <v>16.752343569999997</v>
      </c>
      <c r="CL67" s="50">
        <f t="shared" si="132"/>
        <v>17.595558569999998</v>
      </c>
      <c r="CM67" s="50">
        <f t="shared" si="132"/>
        <v>3.2123628200000001</v>
      </c>
      <c r="CN67" s="50">
        <f t="shared" si="132"/>
        <v>33.13364524</v>
      </c>
      <c r="CO67" s="50">
        <f t="shared" si="132"/>
        <v>36.346008060000003</v>
      </c>
      <c r="CP67" s="50">
        <f t="shared" si="24"/>
        <v>9.8970368200000003</v>
      </c>
      <c r="CQ67" s="50">
        <f t="shared" si="25"/>
        <v>143.02209836999998</v>
      </c>
      <c r="CR67" s="50">
        <f t="shared" si="26"/>
        <v>152.91913518999999</v>
      </c>
      <c r="CS67" s="45">
        <f>CU67-CT67</f>
        <v>11.013318999999996</v>
      </c>
      <c r="CT67" s="45">
        <f>CT68+CT69+CT70</f>
        <v>143.022098</v>
      </c>
      <c r="CU67" s="45">
        <f>CU68+CU69+CU70</f>
        <v>154.035417</v>
      </c>
      <c r="CV67" s="50">
        <f>CV68+CV69+CV70</f>
        <v>5.0000000000000001E-3</v>
      </c>
      <c r="CW67" s="50">
        <f>CW68+CW69+CW70</f>
        <v>3.1550119000000003</v>
      </c>
      <c r="CX67" s="50">
        <f>CX68+CX69+CX70</f>
        <v>3.1600119000000002</v>
      </c>
      <c r="CY67" s="50">
        <v>0</v>
      </c>
      <c r="CZ67" s="50">
        <v>7.8656950800000009</v>
      </c>
      <c r="DA67" s="50">
        <v>7.8656950800000009</v>
      </c>
      <c r="DB67" s="50">
        <v>0</v>
      </c>
      <c r="DC67" s="50">
        <v>8.3367932499999995</v>
      </c>
      <c r="DD67" s="50">
        <v>8.3367932499999995</v>
      </c>
      <c r="DE67" s="50">
        <v>2.535345</v>
      </c>
      <c r="DF67" s="50">
        <v>5.4193434699999994</v>
      </c>
      <c r="DG67" s="50">
        <v>7.9546884699999989</v>
      </c>
      <c r="DH67" s="50">
        <v>1</v>
      </c>
      <c r="DI67" s="50">
        <v>5.8222411999999997</v>
      </c>
      <c r="DJ67" s="50">
        <v>6.8222411999999997</v>
      </c>
      <c r="DK67" s="50">
        <v>0</v>
      </c>
      <c r="DL67" s="50">
        <v>9.3054479499999996</v>
      </c>
      <c r="DM67" s="50">
        <v>9.3054479499999996</v>
      </c>
      <c r="DN67" s="50">
        <v>1.3028E-2</v>
      </c>
      <c r="DO67" s="50">
        <v>7.4179345100000003</v>
      </c>
      <c r="DP67" s="50">
        <v>7.4309625100000005</v>
      </c>
      <c r="DQ67" s="50">
        <v>0.42511149999999998</v>
      </c>
      <c r="DR67" s="50">
        <v>6.3609949500000003</v>
      </c>
      <c r="DS67" s="50">
        <v>6.7861064500000001</v>
      </c>
      <c r="DT67" s="50">
        <v>1.978113</v>
      </c>
      <c r="DU67" s="50">
        <v>5.7592701500000008</v>
      </c>
      <c r="DV67" s="50">
        <v>7.7373831500000003</v>
      </c>
      <c r="DW67" s="50">
        <v>0.33537700000000004</v>
      </c>
      <c r="DX67" s="50">
        <v>4.94416601</v>
      </c>
      <c r="DY67" s="50">
        <v>5.2795430099999994</v>
      </c>
      <c r="DZ67" s="50">
        <v>1.6673640600000001</v>
      </c>
      <c r="EA67" s="50">
        <v>1.7152275200000004</v>
      </c>
      <c r="EB67" s="50">
        <v>3.3825915800000002</v>
      </c>
      <c r="EC67" s="50">
        <v>7.27127721</v>
      </c>
      <c r="ED67" s="50">
        <v>17.397638009999998</v>
      </c>
      <c r="EE67" s="50">
        <v>24.668915219999999</v>
      </c>
      <c r="EF67" s="50">
        <f t="shared" si="27"/>
        <v>15.23061577</v>
      </c>
      <c r="EG67" s="50">
        <f t="shared" si="28"/>
        <v>83.499763999999999</v>
      </c>
      <c r="EH67" s="50">
        <f t="shared" si="29"/>
        <v>98.730379769999999</v>
      </c>
      <c r="EI67" s="50">
        <f>EK67-EJ67</f>
        <v>15.230616000000012</v>
      </c>
      <c r="EJ67" s="50">
        <f>EJ68+EJ69+EJ70</f>
        <v>83.499763999999999</v>
      </c>
      <c r="EK67" s="50">
        <f>EK68+EK69+EK70</f>
        <v>98.730380000000011</v>
      </c>
      <c r="EL67" s="50">
        <v>9.4200999999999993E-2</v>
      </c>
      <c r="EM67" s="50">
        <v>1.3441708700000001</v>
      </c>
      <c r="EN67" s="50">
        <v>1.4383718700000001</v>
      </c>
      <c r="EO67" s="50">
        <v>0</v>
      </c>
      <c r="EP67" s="50">
        <v>2.58590689</v>
      </c>
      <c r="EQ67" s="50">
        <v>2.58590689</v>
      </c>
      <c r="ER67" s="50">
        <v>0</v>
      </c>
      <c r="ES67" s="50">
        <v>7.3058035299999986</v>
      </c>
      <c r="ET67" s="50">
        <v>7.3058035299999986</v>
      </c>
      <c r="EU67" s="50">
        <v>2.4896470000000002</v>
      </c>
      <c r="EV67" s="50">
        <v>11.610662620000001</v>
      </c>
      <c r="EW67" s="50">
        <v>14.100309620000001</v>
      </c>
      <c r="EX67" s="50">
        <v>2.2573918600000002</v>
      </c>
      <c r="EY67" s="50">
        <v>9.6326310000000012E-2</v>
      </c>
      <c r="EZ67" s="50">
        <v>2.3537181699999996</v>
      </c>
      <c r="FA67" s="50">
        <v>0</v>
      </c>
      <c r="FB67" s="50">
        <v>0.19400194000000001</v>
      </c>
      <c r="FC67" s="50">
        <v>0.19400194000000001</v>
      </c>
      <c r="FD67" s="50">
        <v>0</v>
      </c>
      <c r="FE67" s="50">
        <v>0.18923255999999999</v>
      </c>
      <c r="FF67" s="50">
        <v>0.18923255999999999</v>
      </c>
      <c r="FG67" s="50">
        <v>0.37747213000000002</v>
      </c>
      <c r="FH67" s="50">
        <v>0.67508460999999997</v>
      </c>
      <c r="FI67" s="50">
        <v>1.05255674</v>
      </c>
      <c r="FJ67" s="50">
        <v>2</v>
      </c>
      <c r="FK67" s="50">
        <v>0.28730365999999996</v>
      </c>
      <c r="FL67" s="50">
        <v>2.2873036600000001</v>
      </c>
      <c r="FM67" s="50">
        <v>0.14879423999999999</v>
      </c>
      <c r="FN67" s="50">
        <v>1.12501958</v>
      </c>
      <c r="FO67" s="50">
        <v>1.27381382</v>
      </c>
      <c r="FP67" s="50">
        <v>0</v>
      </c>
      <c r="FQ67" s="50">
        <v>0.77415725999999996</v>
      </c>
      <c r="FR67" s="50">
        <v>0.77415725999999996</v>
      </c>
      <c r="FS67" s="50">
        <v>9.8167470100000003</v>
      </c>
      <c r="FT67" s="50">
        <v>3.1378065899999998</v>
      </c>
      <c r="FU67" s="50">
        <v>12.954553600000001</v>
      </c>
      <c r="FV67" s="50">
        <f t="shared" si="30"/>
        <v>17.18425324</v>
      </c>
      <c r="FW67" s="50">
        <f t="shared" si="31"/>
        <v>29.325476419999998</v>
      </c>
      <c r="FX67" s="50">
        <f t="shared" si="32"/>
        <v>46.509729660000005</v>
      </c>
      <c r="FY67" s="50">
        <f>GA67-FZ67</f>
        <v>17.184250999999996</v>
      </c>
      <c r="FZ67" s="50">
        <v>29.325476999999999</v>
      </c>
      <c r="GA67" s="50">
        <f>GA68+GA69+GA70</f>
        <v>46.509727999999996</v>
      </c>
      <c r="GB67" s="50">
        <v>3.5713000000000002E-2</v>
      </c>
      <c r="GC67" s="50">
        <v>0.72292333000000009</v>
      </c>
      <c r="GD67" s="50">
        <v>0.75863633000000008</v>
      </c>
      <c r="GE67" s="50">
        <v>1E-3</v>
      </c>
      <c r="GF67" s="50">
        <v>0.59523056000000008</v>
      </c>
      <c r="GG67" s="50">
        <v>0.59623056000000008</v>
      </c>
      <c r="GH67" s="50">
        <v>1.55069492</v>
      </c>
      <c r="GI67" s="50">
        <v>1.6552465399999998</v>
      </c>
      <c r="GJ67" s="50">
        <v>3.20594146</v>
      </c>
      <c r="GK67" s="50">
        <v>2.4949759999999999</v>
      </c>
      <c r="GL67" s="50">
        <v>4.5578407700000003</v>
      </c>
      <c r="GM67" s="50">
        <v>7.0528167699999997</v>
      </c>
      <c r="GN67" s="50">
        <v>2.3482319700000001</v>
      </c>
      <c r="GO67" s="50">
        <v>10.402515660000001</v>
      </c>
      <c r="GP67" s="50">
        <v>12.750747630000001</v>
      </c>
      <c r="GQ67" s="50">
        <v>1.4275</v>
      </c>
      <c r="GR67" s="50">
        <v>8.03219204</v>
      </c>
      <c r="GS67" s="50">
        <v>9.4596920399999984</v>
      </c>
      <c r="GT67" s="50">
        <v>5.2090999999999998E-2</v>
      </c>
      <c r="GU67" s="50">
        <v>10.164262840000001</v>
      </c>
      <c r="GV67" s="50">
        <v>10.21635384</v>
      </c>
      <c r="GW67" s="50">
        <v>0.20115300000000003</v>
      </c>
      <c r="GX67" s="50">
        <v>10.929567629999999</v>
      </c>
      <c r="GY67" s="50">
        <v>11.130720629999999</v>
      </c>
      <c r="GZ67" s="50">
        <v>2.0452372000000003</v>
      </c>
      <c r="HA67" s="50">
        <v>10.787625419999999</v>
      </c>
      <c r="HB67" s="50">
        <v>12.83286262</v>
      </c>
      <c r="HC67" s="50">
        <v>5.2089999999999997E-2</v>
      </c>
      <c r="HD67" s="50">
        <v>13.280339229999999</v>
      </c>
      <c r="HE67" s="50">
        <v>13.332429229999999</v>
      </c>
      <c r="HF67" s="50">
        <v>0.27894999999999998</v>
      </c>
      <c r="HG67" s="50">
        <v>12.429076640000002</v>
      </c>
      <c r="HH67" s="50">
        <v>12.708026640000002</v>
      </c>
      <c r="HI67" s="50">
        <v>13.0855274</v>
      </c>
      <c r="HJ67" s="50">
        <v>22.77455363</v>
      </c>
      <c r="HK67" s="50">
        <v>35.860081030000003</v>
      </c>
      <c r="HL67" s="50">
        <f t="shared" si="33"/>
        <v>23.573164490000003</v>
      </c>
      <c r="HM67" s="50">
        <f t="shared" si="34"/>
        <v>106.33137429</v>
      </c>
      <c r="HN67" s="50">
        <f t="shared" si="35"/>
        <v>129.90453878</v>
      </c>
      <c r="HO67" s="50">
        <f t="shared" si="96"/>
        <v>21.393309000000002</v>
      </c>
      <c r="HP67" s="50">
        <v>106.33137499999999</v>
      </c>
      <c r="HQ67" s="50">
        <f>HQ68+HQ69+HQ70</f>
        <v>127.724684</v>
      </c>
      <c r="HR67" s="50">
        <v>2.361713</v>
      </c>
      <c r="HS67" s="50">
        <v>7.0610542200000008</v>
      </c>
      <c r="HT67" s="50">
        <v>9.4227672200000008</v>
      </c>
      <c r="HU67" s="50">
        <v>0.81206299999999998</v>
      </c>
      <c r="HV67" s="50">
        <v>9.5952417999999984</v>
      </c>
      <c r="HW67" s="50">
        <v>10.407304799999999</v>
      </c>
      <c r="HX67" s="50">
        <v>0.8</v>
      </c>
      <c r="HY67" s="50">
        <v>13.639478050000001</v>
      </c>
      <c r="HZ67" s="50">
        <v>14.43947805</v>
      </c>
      <c r="IA67" s="50">
        <v>3.2222580000000001</v>
      </c>
      <c r="IB67" s="50">
        <v>15.008647739999999</v>
      </c>
      <c r="IC67" s="50">
        <v>18.230905739999997</v>
      </c>
      <c r="ID67" s="50">
        <v>1.20886307</v>
      </c>
      <c r="IE67" s="50">
        <v>21.095738799999999</v>
      </c>
      <c r="IF67" s="50">
        <v>22.304601870000003</v>
      </c>
      <c r="IG67" s="50">
        <v>1.45728049</v>
      </c>
      <c r="IH67" s="50">
        <v>27.684724890000002</v>
      </c>
      <c r="II67" s="50">
        <v>29.142005380000004</v>
      </c>
      <c r="IJ67" s="50">
        <v>1.0175762099999999</v>
      </c>
      <c r="IK67" s="50">
        <v>26.392330250000001</v>
      </c>
      <c r="IL67" s="50">
        <v>27.409906459999998</v>
      </c>
      <c r="IM67" s="50">
        <v>1.01541886</v>
      </c>
      <c r="IN67" s="50">
        <v>21.859423900000003</v>
      </c>
      <c r="IO67" s="50">
        <v>22.87484276</v>
      </c>
      <c r="IP67" s="50">
        <v>0.90463737</v>
      </c>
      <c r="IQ67" s="50">
        <v>19.828261260000001</v>
      </c>
      <c r="IR67" s="50">
        <v>20.732898630000001</v>
      </c>
      <c r="IS67" s="50">
        <v>2.2199574900000001</v>
      </c>
      <c r="IT67" s="50">
        <v>23.011818369999997</v>
      </c>
      <c r="IU67" s="50">
        <v>25.231775859999999</v>
      </c>
      <c r="IV67" s="50">
        <v>1.5853955399999999</v>
      </c>
      <c r="IW67" s="50">
        <v>27.552593420000001</v>
      </c>
      <c r="IX67" s="50">
        <v>29.137988960000001</v>
      </c>
      <c r="IY67" s="50">
        <v>2.1540089399999998</v>
      </c>
      <c r="IZ67" s="50">
        <v>28.583241670000003</v>
      </c>
      <c r="JA67" s="50">
        <v>30.73725061</v>
      </c>
      <c r="JB67" s="50">
        <f t="shared" si="36"/>
        <v>18.759171970000001</v>
      </c>
      <c r="JC67" s="50">
        <f t="shared" si="37"/>
        <v>241.31255436999999</v>
      </c>
      <c r="JD67" s="50">
        <f t="shared" si="38"/>
        <v>260.07172634</v>
      </c>
      <c r="JE67" s="50">
        <f t="shared" si="97"/>
        <v>18.75917199999995</v>
      </c>
      <c r="JF67" s="50">
        <v>241.31255400000001</v>
      </c>
      <c r="JG67" s="50">
        <f>JG68+JG69+JG70</f>
        <v>260.07172599999996</v>
      </c>
      <c r="JH67" s="50">
        <v>2.350711</v>
      </c>
      <c r="JI67" s="50">
        <v>33.681199219999996</v>
      </c>
      <c r="JJ67" s="50">
        <v>36.03191022</v>
      </c>
      <c r="JK67" s="50">
        <v>0.82693799999999995</v>
      </c>
      <c r="JL67" s="50">
        <v>26.781090789999997</v>
      </c>
      <c r="JM67" s="50">
        <v>27.608028789999999</v>
      </c>
      <c r="JN67" s="50">
        <v>0.95</v>
      </c>
      <c r="JO67" s="50">
        <v>26.62238</v>
      </c>
      <c r="JP67" s="50">
        <v>27.572379999999999</v>
      </c>
      <c r="JQ67" s="50">
        <v>0.97244200000000003</v>
      </c>
      <c r="JR67" s="50">
        <v>21.288215149999999</v>
      </c>
      <c r="JS67" s="50">
        <v>22.26065715</v>
      </c>
      <c r="JT67" s="50">
        <v>2.9282530000000002</v>
      </c>
      <c r="JU67" s="50">
        <v>17.502307509999998</v>
      </c>
      <c r="JV67" s="50">
        <v>20.430560509999999</v>
      </c>
      <c r="JW67" s="50">
        <v>0.85216444999999996</v>
      </c>
      <c r="JX67" s="50">
        <v>19.846067189999996</v>
      </c>
      <c r="JY67" s="50">
        <v>20.698231639999999</v>
      </c>
      <c r="JZ67" s="50">
        <v>0.91720500000000005</v>
      </c>
      <c r="KA67" s="50">
        <v>27.769492039999999</v>
      </c>
      <c r="KB67" s="50">
        <v>28.686697040000002</v>
      </c>
      <c r="KC67" s="50">
        <v>0.91483325000000004</v>
      </c>
      <c r="KD67" s="50">
        <v>19.564793160000001</v>
      </c>
      <c r="KE67" s="50">
        <v>20.479626410000002</v>
      </c>
      <c r="KF67" s="50">
        <v>1.53714515</v>
      </c>
      <c r="KG67" s="50">
        <v>14.487337029999997</v>
      </c>
      <c r="KH67" s="50">
        <v>16.02448218</v>
      </c>
      <c r="KI67" s="50">
        <v>0.89479443000000003</v>
      </c>
      <c r="KJ67" s="50">
        <v>23.591514400000005</v>
      </c>
      <c r="KK67" s="50">
        <v>24.486308830000002</v>
      </c>
      <c r="KL67" s="50">
        <v>2.0013974600000002</v>
      </c>
      <c r="KM67" s="50">
        <v>12.02509278</v>
      </c>
      <c r="KN67" s="50">
        <v>14.026490240000001</v>
      </c>
      <c r="KO67" s="50">
        <v>3.3547101400000003</v>
      </c>
      <c r="KP67" s="50">
        <v>29.371315500000001</v>
      </c>
      <c r="KQ67" s="50">
        <v>32.726025640000003</v>
      </c>
      <c r="KR67" s="50">
        <f t="shared" si="48"/>
        <v>18.50059388</v>
      </c>
      <c r="KS67" s="50">
        <f t="shared" si="39"/>
        <v>272.53080476999992</v>
      </c>
      <c r="KT67" s="50">
        <f t="shared" si="49"/>
        <v>291.03139865000003</v>
      </c>
      <c r="KU67" s="50">
        <f t="shared" si="98"/>
        <v>18.500593999999978</v>
      </c>
      <c r="KV67" s="50">
        <f>+KV68+KV69+KV70</f>
        <v>272.53080399999999</v>
      </c>
      <c r="KW67" s="50">
        <f>KW68+KW69+KW70</f>
        <v>291.03139799999997</v>
      </c>
      <c r="KX67" s="50">
        <v>0.86121199999999998</v>
      </c>
      <c r="KY67" s="50">
        <v>28.732156990000004</v>
      </c>
      <c r="KZ67" s="50">
        <v>29.593368990000002</v>
      </c>
      <c r="LA67" s="50">
        <v>0.8</v>
      </c>
      <c r="LB67" s="50">
        <v>20.61659388</v>
      </c>
      <c r="LC67" s="50">
        <v>21.416593880000001</v>
      </c>
      <c r="LD67" s="50">
        <v>4.9918719999999999</v>
      </c>
      <c r="LE67" s="50">
        <v>17.58888151</v>
      </c>
      <c r="LF67" s="87">
        <v>22.580753509999997</v>
      </c>
      <c r="LG67" s="50">
        <v>1.051558</v>
      </c>
      <c r="LH67" s="50">
        <v>12.63559942</v>
      </c>
      <c r="LI67" s="175">
        <v>13.687157420000002</v>
      </c>
      <c r="LJ67" s="50">
        <v>2.1003441499999997</v>
      </c>
      <c r="LK67" s="175">
        <v>13.646355379999999</v>
      </c>
      <c r="LL67" s="174">
        <v>15.746699529999999</v>
      </c>
      <c r="LM67" s="50">
        <v>0.88062229000000003</v>
      </c>
      <c r="LN67" s="50">
        <v>14.03973525</v>
      </c>
      <c r="LO67" s="50">
        <v>14.920357540000001</v>
      </c>
      <c r="LP67" s="44">
        <v>0.99053934999999993</v>
      </c>
      <c r="LQ67" s="44">
        <v>24.413583420000002</v>
      </c>
      <c r="LR67" s="44">
        <v>25.404122769999997</v>
      </c>
      <c r="LS67" s="52">
        <v>0.82957884999999998</v>
      </c>
      <c r="LT67" s="44">
        <v>14.594614109999998</v>
      </c>
      <c r="LU67" s="49">
        <v>15.424192960000001</v>
      </c>
      <c r="LV67" s="44">
        <v>0.90848048999999997</v>
      </c>
      <c r="LW67" s="44">
        <v>12.80933806</v>
      </c>
      <c r="LX67" s="44">
        <v>13.71781855</v>
      </c>
      <c r="LY67" s="44">
        <v>1.6058943799999998</v>
      </c>
      <c r="LZ67" s="44">
        <v>6.1032080400000002</v>
      </c>
      <c r="MA67" s="44">
        <v>7.7091024199999998</v>
      </c>
      <c r="MB67" s="44">
        <v>1.4198947399999999</v>
      </c>
      <c r="MC67" s="44">
        <v>9.9389864599999989</v>
      </c>
      <c r="MD67" s="44">
        <v>11.358881199999999</v>
      </c>
      <c r="ME67" s="44">
        <v>7.2208428499999995</v>
      </c>
      <c r="MF67" s="44">
        <v>26.972343210000005</v>
      </c>
      <c r="MG67" s="44">
        <v>34.193186060000002</v>
      </c>
      <c r="MH67" s="50">
        <f t="shared" si="66"/>
        <v>23.6608391</v>
      </c>
      <c r="MI67" s="50">
        <f t="shared" si="50"/>
        <v>202.09139572999999</v>
      </c>
      <c r="MJ67" s="50">
        <f t="shared" si="51"/>
        <v>225.75223483000002</v>
      </c>
      <c r="MK67" s="50">
        <f t="shared" si="99"/>
        <v>23.66083900000001</v>
      </c>
      <c r="ML67" s="50">
        <f>+ML68+ML69+ML70</f>
        <v>202.09139500000001</v>
      </c>
      <c r="MM67" s="50">
        <f>MM68+MM69+MM70</f>
        <v>225.75223400000002</v>
      </c>
      <c r="MN67" s="44">
        <v>0.84787299999999999</v>
      </c>
      <c r="MO67" s="44">
        <v>12.85134779</v>
      </c>
      <c r="MP67" s="44">
        <v>13.699220790000002</v>
      </c>
      <c r="MQ67" s="44">
        <v>0.80500000000000005</v>
      </c>
      <c r="MR67" s="44">
        <v>16.141551159999999</v>
      </c>
      <c r="MS67" s="44">
        <v>16.946551159999999</v>
      </c>
      <c r="MT67" s="50">
        <v>0.80500000000000005</v>
      </c>
      <c r="MU67" s="50">
        <v>9.4744069599999996</v>
      </c>
      <c r="MV67" s="50">
        <v>10.279406959999999</v>
      </c>
      <c r="MW67" s="44">
        <v>4.8379405999999996</v>
      </c>
      <c r="MX67" s="44">
        <v>13.64000371</v>
      </c>
      <c r="MY67" s="44">
        <v>18.477944309999998</v>
      </c>
      <c r="MZ67" s="44">
        <v>2.0380401799999999</v>
      </c>
      <c r="NA67" s="44">
        <v>16.783974130000004</v>
      </c>
      <c r="NB67" s="44">
        <v>18.822014310000004</v>
      </c>
      <c r="NC67" s="44">
        <v>13.471813859999999</v>
      </c>
      <c r="ND67" s="44">
        <v>16.079141310000001</v>
      </c>
      <c r="NE67" s="44">
        <v>29.550955170000002</v>
      </c>
      <c r="NF67" s="44">
        <v>21.207882949999998</v>
      </c>
      <c r="NG67" s="44">
        <v>9.2637713399999999</v>
      </c>
      <c r="NH67" s="44">
        <v>30.471654290000004</v>
      </c>
      <c r="NI67" s="44">
        <v>6.3470037300000008</v>
      </c>
      <c r="NJ67" s="44">
        <v>11.97699519</v>
      </c>
      <c r="NK67" s="44">
        <v>18.323998920000001</v>
      </c>
      <c r="NL67" s="44">
        <v>3.9684450500000001</v>
      </c>
      <c r="NM67" s="44">
        <v>12.31375169</v>
      </c>
      <c r="NN67" s="44">
        <v>16.28219674</v>
      </c>
      <c r="NO67" s="44">
        <v>1.7869838499999999</v>
      </c>
      <c r="NP67" s="44">
        <v>13.92231533</v>
      </c>
      <c r="NQ67" s="44">
        <v>15.70929918</v>
      </c>
      <c r="NR67" s="44">
        <v>3.9893791300000001</v>
      </c>
      <c r="NS67" s="44">
        <v>11.483154109999999</v>
      </c>
      <c r="NT67" s="44">
        <v>15.472533239999999</v>
      </c>
      <c r="NU67" s="44">
        <v>8.349087110000001</v>
      </c>
      <c r="NV67" s="44">
        <v>17.350652920000002</v>
      </c>
      <c r="NW67" s="44">
        <v>25.699740029999997</v>
      </c>
      <c r="NX67" s="50">
        <f t="shared" si="117"/>
        <v>68.454449459999992</v>
      </c>
      <c r="NY67" s="50">
        <f t="shared" si="40"/>
        <v>161.28106564000001</v>
      </c>
      <c r="NZ67" s="50">
        <f t="shared" si="41"/>
        <v>229.73551509999996</v>
      </c>
      <c r="OA67" s="50">
        <f t="shared" si="100"/>
        <v>68.454450000000037</v>
      </c>
      <c r="OB67" s="50">
        <f>+OB68+OB69+OB70</f>
        <v>161.28106499999998</v>
      </c>
      <c r="OC67" s="50">
        <f>OC68+OC69+OC70</f>
        <v>229.73551500000002</v>
      </c>
      <c r="OD67" s="44">
        <v>12.499210160000001</v>
      </c>
      <c r="OE67" s="44">
        <v>11.728332170000002</v>
      </c>
      <c r="OF67" s="44">
        <v>24.227542329999999</v>
      </c>
      <c r="OG67" s="50">
        <v>8.2782541700000003</v>
      </c>
      <c r="OH67" s="44">
        <v>6.0810900600000002</v>
      </c>
      <c r="OI67" s="44">
        <v>14.35934423</v>
      </c>
      <c r="OJ67" s="44">
        <f t="shared" si="107"/>
        <v>6.1234924999999976</v>
      </c>
      <c r="OK67" s="44">
        <v>14.067767230000001</v>
      </c>
      <c r="OL67" s="44">
        <v>20.191259729999999</v>
      </c>
      <c r="OM67" s="44">
        <v>9.2082160500000008</v>
      </c>
      <c r="ON67" s="44">
        <v>5.7050617099999998</v>
      </c>
      <c r="OO67" s="44">
        <v>14.91327776</v>
      </c>
      <c r="OP67" s="44">
        <v>1.0194916000000001</v>
      </c>
      <c r="OQ67" s="44">
        <v>4.5019281700000011</v>
      </c>
      <c r="OR67" s="44">
        <v>5.5214197700000005</v>
      </c>
      <c r="OS67" s="44">
        <v>6.3499220800000007</v>
      </c>
      <c r="OT67" s="44">
        <v>5.9425163599999999</v>
      </c>
      <c r="OU67" s="44">
        <v>12.292438440000002</v>
      </c>
      <c r="OV67" s="44">
        <v>24.923569790000002</v>
      </c>
      <c r="OW67" s="44">
        <v>8.014560040000001</v>
      </c>
      <c r="OX67" s="44">
        <v>32.938129830000008</v>
      </c>
      <c r="OY67" s="95">
        <v>4.3165842799999998</v>
      </c>
      <c r="OZ67" s="95">
        <v>5.322623479999999</v>
      </c>
      <c r="PA67" s="95">
        <v>9.6392077599999979</v>
      </c>
      <c r="PB67" s="44">
        <v>1.13068919</v>
      </c>
      <c r="PC67" s="44">
        <v>7.3787136300000009</v>
      </c>
      <c r="PD67" s="44">
        <v>8.5094028200000018</v>
      </c>
      <c r="PE67" s="44">
        <v>25.933626920000002</v>
      </c>
      <c r="PF67" s="44">
        <v>4.2291768300000001</v>
      </c>
      <c r="PG67" s="44">
        <v>30.162803750000005</v>
      </c>
      <c r="PH67" s="44">
        <v>2.8248153399999998</v>
      </c>
      <c r="PI67" s="44">
        <v>7.7539112800000005</v>
      </c>
      <c r="PJ67" s="44">
        <v>10.578726620000001</v>
      </c>
      <c r="PK67" s="44">
        <v>1.28858038</v>
      </c>
      <c r="PL67" s="44">
        <v>12.367298109999998</v>
      </c>
      <c r="PM67" s="44">
        <v>13.655878489999999</v>
      </c>
      <c r="PN67" s="50">
        <f t="shared" si="122"/>
        <v>103.89645246000001</v>
      </c>
      <c r="PO67" s="50">
        <f t="shared" si="108"/>
        <v>93.092979069999998</v>
      </c>
      <c r="PP67" s="50">
        <f t="shared" si="116"/>
        <v>196.98943152999996</v>
      </c>
      <c r="PQ67" s="50">
        <f t="shared" si="118"/>
        <v>103.89645193000003</v>
      </c>
      <c r="PR67" s="50">
        <v>93.092979069999998</v>
      </c>
      <c r="PS67" s="50">
        <f>PS68+PS69+PS70</f>
        <v>196.98943100000002</v>
      </c>
      <c r="PT67" s="44">
        <v>2.9539330000000001</v>
      </c>
      <c r="PU67" s="44">
        <v>14.144507219999998</v>
      </c>
      <c r="PV67" s="44">
        <v>17.098440219999997</v>
      </c>
      <c r="PW67" s="44">
        <v>5.0346000000000002E-2</v>
      </c>
      <c r="PX67" s="44">
        <v>5.3628018299999995</v>
      </c>
      <c r="PY67" s="44">
        <v>5.4131478299999998</v>
      </c>
      <c r="PZ67" s="44"/>
      <c r="QA67" s="44">
        <v>10.19245448</v>
      </c>
      <c r="QB67" s="44">
        <v>10.19245448</v>
      </c>
      <c r="QC67" s="44">
        <v>5.1739330199999998</v>
      </c>
      <c r="QD67" s="44">
        <v>7.7729513499999987</v>
      </c>
      <c r="QE67" s="44">
        <v>12.946884370000001</v>
      </c>
      <c r="QF67" s="50">
        <v>0.26462286000000113</v>
      </c>
      <c r="QG67" s="44">
        <v>11.1201448</v>
      </c>
      <c r="QH67" s="44">
        <v>11.384767660000001</v>
      </c>
      <c r="QI67" s="50">
        <v>12.877163620000005</v>
      </c>
      <c r="QJ67" s="44">
        <v>13.701532749999998</v>
      </c>
      <c r="QK67" s="44">
        <v>26.578696370000003</v>
      </c>
      <c r="QL67" s="44">
        <v>6.0891437599999998</v>
      </c>
      <c r="QM67" s="44">
        <v>23.358690960000001</v>
      </c>
      <c r="QN67" s="44">
        <v>29.447834719999999</v>
      </c>
      <c r="QO67" s="50">
        <v>4.5166880800000015</v>
      </c>
      <c r="QP67" s="44">
        <v>6.3257313999999987</v>
      </c>
      <c r="QQ67" s="44">
        <v>10.84241948</v>
      </c>
      <c r="QR67" s="44">
        <v>0.91024753000000003</v>
      </c>
      <c r="QS67" s="44">
        <v>15.645313600000001</v>
      </c>
      <c r="QT67" s="44">
        <v>16.555561130000001</v>
      </c>
      <c r="QU67" s="50">
        <v>7.1763364900000015</v>
      </c>
      <c r="QV67" s="44">
        <v>5.6668569700000004</v>
      </c>
      <c r="QW67" s="44">
        <v>12.843193460000002</v>
      </c>
      <c r="QX67" s="50">
        <v>1.0702380400000004</v>
      </c>
      <c r="QY67" s="44">
        <v>4.1824825100000007</v>
      </c>
      <c r="QZ67" s="44">
        <v>5.2527205500000012</v>
      </c>
      <c r="RA67" s="50">
        <v>4.1121684100000007</v>
      </c>
      <c r="RB67" s="44">
        <v>7.6704968400000002</v>
      </c>
      <c r="RC67" s="44">
        <v>11.782665250000001</v>
      </c>
      <c r="RD67" s="50">
        <f t="shared" si="52"/>
        <v>45.19482081000001</v>
      </c>
      <c r="RE67" s="50">
        <f t="shared" si="53"/>
        <v>125.14396470999998</v>
      </c>
      <c r="RF67" s="50">
        <f t="shared" si="54"/>
        <v>170.33878552000002</v>
      </c>
      <c r="RG67" s="50">
        <f t="shared" si="119"/>
        <v>45.194820000000036</v>
      </c>
      <c r="RH67" s="50">
        <v>125.14396499999999</v>
      </c>
      <c r="RI67" s="50">
        <f>RI68+RI69+RI70</f>
        <v>170.33878500000003</v>
      </c>
      <c r="RJ67" s="50">
        <v>4.0427152199999998</v>
      </c>
      <c r="RK67" s="50">
        <v>2.7334466400000004</v>
      </c>
      <c r="RL67" s="50">
        <v>6.7761618600000011</v>
      </c>
      <c r="RM67" s="50">
        <v>0.37195663000000001</v>
      </c>
      <c r="RN67" s="50">
        <v>2.9633163900000001</v>
      </c>
      <c r="RO67" s="50">
        <v>3.3352730200000003</v>
      </c>
      <c r="RP67" s="50">
        <v>0.63033594000000004</v>
      </c>
      <c r="RQ67" s="50">
        <v>5.2254531399999999</v>
      </c>
      <c r="RR67" s="50">
        <v>5.8557890800000001</v>
      </c>
      <c r="RS67" s="50">
        <v>5.8416699799999954</v>
      </c>
      <c r="RT67" s="50">
        <v>17.508404380000002</v>
      </c>
      <c r="RU67" s="50">
        <v>23.350074359999997</v>
      </c>
      <c r="RV67" s="50">
        <v>5.1632854900000007</v>
      </c>
      <c r="RW67" s="50">
        <v>4.4436867799999993</v>
      </c>
      <c r="RX67" s="50">
        <v>9.60697227</v>
      </c>
      <c r="RY67" s="50">
        <v>3.5086557700000003</v>
      </c>
      <c r="RZ67" s="50">
        <v>2.9513148499999997</v>
      </c>
      <c r="SA67" s="50">
        <v>6.45997062</v>
      </c>
      <c r="SB67" s="50">
        <v>7.831682749999997</v>
      </c>
      <c r="SC67" s="50">
        <v>12.97050344</v>
      </c>
      <c r="SD67" s="50">
        <v>20.802186189999997</v>
      </c>
      <c r="SE67" s="50">
        <v>23.114333349999995</v>
      </c>
      <c r="SF67" s="50">
        <v>2.6303469699999997</v>
      </c>
      <c r="SG67" s="50">
        <v>25.744680319999993</v>
      </c>
      <c r="SH67" s="50">
        <v>0.69419932000000006</v>
      </c>
      <c r="SI67" s="50">
        <v>7.6648924099999993</v>
      </c>
      <c r="SJ67" s="50">
        <v>8.3590917299999994</v>
      </c>
      <c r="SK67" s="50">
        <v>4.4098127700000003</v>
      </c>
      <c r="SL67" s="50">
        <v>3.1131274600000003</v>
      </c>
      <c r="SM67" s="50">
        <v>7.5229402300000006</v>
      </c>
      <c r="SN67" s="50">
        <v>0.89335640999999999</v>
      </c>
      <c r="SO67" s="50">
        <v>6.9198532199999994</v>
      </c>
      <c r="SP67" s="50">
        <v>7.8132096299999994</v>
      </c>
      <c r="SQ67" s="50">
        <v>0.82839258999999643</v>
      </c>
      <c r="SR67" s="50">
        <v>20.787156809999999</v>
      </c>
      <c r="SS67" s="50">
        <v>21.615549399999995</v>
      </c>
      <c r="ST67" s="50">
        <f t="shared" si="55"/>
        <v>57.330396219999997</v>
      </c>
      <c r="SU67" s="50">
        <f t="shared" si="65"/>
        <v>89.911502490000004</v>
      </c>
      <c r="SV67" s="50">
        <f t="shared" si="56"/>
        <v>147.24189871000002</v>
      </c>
      <c r="SW67" s="50">
        <f t="shared" si="103"/>
        <v>57.330396999999991</v>
      </c>
      <c r="SX67" s="50">
        <v>89.911503999999994</v>
      </c>
      <c r="SY67" s="50">
        <f>SY68+SY69+SY70</f>
        <v>147.24190099999998</v>
      </c>
      <c r="SZ67" s="50">
        <v>2.4610160000000003</v>
      </c>
      <c r="TA67" s="50">
        <v>36.790372159999997</v>
      </c>
      <c r="TB67" s="50">
        <v>39.251388159999998</v>
      </c>
      <c r="TC67" s="50">
        <v>5.8234000000000563E-2</v>
      </c>
      <c r="TD67" s="50">
        <v>14.528969779999999</v>
      </c>
      <c r="TE67" s="50">
        <v>14.587203779999999</v>
      </c>
      <c r="TF67" s="50">
        <v>0.95869400999999987</v>
      </c>
      <c r="TG67" s="50">
        <v>9.0285426199999996</v>
      </c>
      <c r="TH67" s="50">
        <v>9.9872366299999999</v>
      </c>
      <c r="TI67" s="50">
        <v>11.054208139999993</v>
      </c>
      <c r="TJ67" s="50">
        <v>18.375707269999999</v>
      </c>
      <c r="TK67" s="50">
        <v>29.429915409999992</v>
      </c>
      <c r="TL67" s="50">
        <f t="shared" si="130"/>
        <v>1.7744002099999996</v>
      </c>
      <c r="TM67" s="50">
        <v>12.731776399999999</v>
      </c>
      <c r="TN67" s="50">
        <v>14.506176609999999</v>
      </c>
      <c r="TO67" s="50">
        <v>1.1900145800000104</v>
      </c>
      <c r="TP67" s="50">
        <v>34.496066229999997</v>
      </c>
      <c r="TQ67" s="50">
        <v>35.686080810000007</v>
      </c>
      <c r="TR67" s="50">
        <v>8.3181221400000034</v>
      </c>
      <c r="TS67" s="50">
        <v>18.578486479999999</v>
      </c>
      <c r="TT67" s="50">
        <v>26.896608620000002</v>
      </c>
      <c r="TU67" s="50">
        <v>0.79818586000000025</v>
      </c>
      <c r="TV67" s="50">
        <v>24.00014895</v>
      </c>
      <c r="TW67" s="50">
        <v>24.79833481</v>
      </c>
      <c r="TX67" s="50">
        <v>0.51353885000000155</v>
      </c>
      <c r="TY67" s="50">
        <v>13.24833671</v>
      </c>
      <c r="TZ67" s="50">
        <v>13.761875560000002</v>
      </c>
      <c r="UA67" s="50">
        <v>4.6095143799999931</v>
      </c>
      <c r="UB67" s="50">
        <v>40.598109749999999</v>
      </c>
      <c r="UC67" s="50">
        <v>45.207624129999992</v>
      </c>
      <c r="UD67" s="50">
        <v>1.8860778000000025</v>
      </c>
      <c r="UE67" s="50">
        <v>12.379711149999999</v>
      </c>
      <c r="UF67" s="50">
        <v>14.265788950000001</v>
      </c>
      <c r="UG67" s="50">
        <v>3.9424363999999983</v>
      </c>
      <c r="UH67" s="50">
        <v>16.440451460000002</v>
      </c>
      <c r="UI67" s="50">
        <v>20.38288786</v>
      </c>
      <c r="UJ67" s="50">
        <f t="shared" si="45"/>
        <v>37.564442370000002</v>
      </c>
      <c r="UK67" s="50">
        <f t="shared" si="15"/>
        <v>251.19667895999999</v>
      </c>
      <c r="UL67" s="50">
        <f t="shared" si="16"/>
        <v>288.76112132999998</v>
      </c>
      <c r="UM67" s="50">
        <v>3.4921801000000023</v>
      </c>
      <c r="UN67" s="50">
        <v>23.535009339999998</v>
      </c>
      <c r="UO67" s="50">
        <v>27.027189440000001</v>
      </c>
      <c r="UP67" s="50">
        <v>0.21692804999999993</v>
      </c>
      <c r="UQ67" s="50">
        <v>13.62778264</v>
      </c>
      <c r="UR67" s="50">
        <v>13.844710689999999</v>
      </c>
      <c r="US67" s="50">
        <v>0.42764592000000157</v>
      </c>
      <c r="UT67" s="50">
        <v>15.30802628</v>
      </c>
      <c r="UU67" s="50">
        <v>15.735672200000002</v>
      </c>
      <c r="UV67" s="50">
        <f>UV68+UV69+UV70</f>
        <v>10.101234980000001</v>
      </c>
      <c r="UW67" s="50">
        <v>10.138468980000001</v>
      </c>
      <c r="UX67" s="50">
        <f>UX68+UX69+UX70</f>
        <v>20.23970396</v>
      </c>
      <c r="UY67" s="50"/>
      <c r="UZ67" s="50"/>
      <c r="VA67" s="50"/>
      <c r="VB67" s="50"/>
      <c r="VC67" s="50"/>
      <c r="VD67" s="50"/>
      <c r="VE67" s="50"/>
      <c r="VF67" s="50"/>
      <c r="VG67" s="50"/>
      <c r="VH67" s="50"/>
      <c r="VI67" s="50"/>
      <c r="VJ67" s="50"/>
      <c r="VK67" s="50"/>
      <c r="VL67" s="50"/>
      <c r="VM67" s="50"/>
      <c r="VN67" s="50"/>
      <c r="VO67" s="50"/>
      <c r="VP67" s="50"/>
      <c r="VQ67" s="50"/>
      <c r="VR67" s="50"/>
      <c r="VS67" s="50"/>
      <c r="VT67" s="50"/>
      <c r="VU67" s="50"/>
      <c r="VV67" s="50"/>
      <c r="VW67" s="276">
        <f t="shared" si="57"/>
        <v>14.532152</v>
      </c>
      <c r="VX67" s="292">
        <f t="shared" si="58"/>
        <v>78.723591999999996</v>
      </c>
      <c r="VY67" s="292">
        <f t="shared" si="59"/>
        <v>93.255744000000007</v>
      </c>
      <c r="VZ67" s="276">
        <f t="shared" si="60"/>
        <v>14.237989000000001</v>
      </c>
      <c r="WA67" s="292">
        <f t="shared" si="61"/>
        <v>62.609287000000002</v>
      </c>
      <c r="WB67" s="292">
        <f t="shared" si="62"/>
        <v>76.847275999999994</v>
      </c>
      <c r="WC67" s="277">
        <f t="shared" si="112"/>
        <v>-16.408468000000013</v>
      </c>
      <c r="WD67" s="277">
        <f t="shared" si="104"/>
        <v>-17.595128510261006</v>
      </c>
    </row>
    <row r="68" spans="1:602" s="12" customFormat="1" ht="20.5" hidden="1">
      <c r="A68" s="319" t="s">
        <v>208</v>
      </c>
      <c r="B68" s="14"/>
      <c r="C68" s="93" t="s">
        <v>209</v>
      </c>
      <c r="D68" s="50" t="s">
        <v>46</v>
      </c>
      <c r="E68" s="50" t="s">
        <v>46</v>
      </c>
      <c r="F68" s="50" t="s">
        <v>46</v>
      </c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42"/>
      <c r="BF68" s="95"/>
      <c r="BG68" s="95"/>
      <c r="BH68" s="95">
        <f>BF68+BG68</f>
        <v>0</v>
      </c>
      <c r="BI68" s="316"/>
      <c r="BJ68" s="316"/>
      <c r="BK68" s="95">
        <f>BI68+BJ68</f>
        <v>0</v>
      </c>
      <c r="BL68" s="95"/>
      <c r="BM68" s="95"/>
      <c r="BN68" s="95">
        <f>BL68+BM68</f>
        <v>0</v>
      </c>
      <c r="BO68" s="95"/>
      <c r="BP68" s="95"/>
      <c r="BQ68" s="95">
        <f>BO68+BP68</f>
        <v>0</v>
      </c>
      <c r="BR68" s="95"/>
      <c r="BS68" s="95"/>
      <c r="BT68" s="95">
        <f>BR68+BS68</f>
        <v>0</v>
      </c>
      <c r="BU68" s="95"/>
      <c r="BV68" s="95"/>
      <c r="BW68" s="95">
        <f>BU68+BV68</f>
        <v>0</v>
      </c>
      <c r="BX68" s="95"/>
      <c r="BY68" s="95"/>
      <c r="BZ68" s="95">
        <f>BX68+BY68</f>
        <v>0</v>
      </c>
      <c r="CA68" s="95"/>
      <c r="CB68" s="95"/>
      <c r="CC68" s="95">
        <f>CA68+CB68</f>
        <v>0</v>
      </c>
      <c r="CD68" s="95"/>
      <c r="CE68" s="95"/>
      <c r="CF68" s="95">
        <f>CD68+CE68</f>
        <v>0</v>
      </c>
      <c r="CG68" s="95"/>
      <c r="CH68" s="95"/>
      <c r="CI68" s="95">
        <f>CG68+CH68</f>
        <v>0</v>
      </c>
      <c r="CJ68" s="314"/>
      <c r="CK68" s="314"/>
      <c r="CL68" s="44">
        <f>CJ68+CK68</f>
        <v>0</v>
      </c>
      <c r="CM68" s="314"/>
      <c r="CN68" s="314"/>
      <c r="CO68" s="44">
        <f>CM68+CN68</f>
        <v>0</v>
      </c>
      <c r="CP68" s="50">
        <f t="shared" si="24"/>
        <v>0</v>
      </c>
      <c r="CQ68" s="50">
        <f t="shared" si="25"/>
        <v>0</v>
      </c>
      <c r="CR68" s="50">
        <f t="shared" si="26"/>
        <v>0</v>
      </c>
      <c r="CS68" s="50">
        <f>CU68-CT68</f>
        <v>1.116282</v>
      </c>
      <c r="CT68" s="50"/>
      <c r="CU68" s="42">
        <v>1.116282</v>
      </c>
      <c r="CV68" s="314"/>
      <c r="CW68" s="314"/>
      <c r="CX68" s="44">
        <f>CV68+CW68</f>
        <v>0</v>
      </c>
      <c r="CY68" s="314"/>
      <c r="CZ68" s="314"/>
      <c r="DA68" s="44">
        <v>0</v>
      </c>
      <c r="DB68" s="42"/>
      <c r="DC68" s="314"/>
      <c r="DD68" s="44">
        <v>0</v>
      </c>
      <c r="DE68" s="42"/>
      <c r="DF68" s="314"/>
      <c r="DG68" s="44">
        <v>0</v>
      </c>
      <c r="DH68" s="42"/>
      <c r="DI68" s="314"/>
      <c r="DJ68" s="44">
        <v>0</v>
      </c>
      <c r="DK68" s="42"/>
      <c r="DL68" s="314"/>
      <c r="DM68" s="44">
        <v>0</v>
      </c>
      <c r="DN68" s="42"/>
      <c r="DO68" s="314"/>
      <c r="DP68" s="44">
        <v>0</v>
      </c>
      <c r="DQ68" s="42"/>
      <c r="DR68" s="314"/>
      <c r="DS68" s="44">
        <v>0</v>
      </c>
      <c r="DT68" s="42"/>
      <c r="DU68" s="314"/>
      <c r="DV68" s="44">
        <v>0</v>
      </c>
      <c r="DW68" s="42"/>
      <c r="DX68" s="314"/>
      <c r="DY68" s="44">
        <v>0</v>
      </c>
      <c r="DZ68" s="42"/>
      <c r="EA68" s="314"/>
      <c r="EB68" s="44">
        <v>0</v>
      </c>
      <c r="EC68" s="42"/>
      <c r="ED68" s="314"/>
      <c r="EE68" s="44">
        <v>0</v>
      </c>
      <c r="EF68" s="50">
        <f t="shared" si="27"/>
        <v>0</v>
      </c>
      <c r="EG68" s="50">
        <f t="shared" si="28"/>
        <v>0</v>
      </c>
      <c r="EH68" s="50">
        <f t="shared" si="29"/>
        <v>0</v>
      </c>
      <c r="EI68" s="50">
        <f>EK68-EJ68</f>
        <v>0</v>
      </c>
      <c r="EJ68" s="50"/>
      <c r="EK68" s="50"/>
      <c r="EL68" s="50"/>
      <c r="EM68" s="50"/>
      <c r="EN68" s="50">
        <v>0</v>
      </c>
      <c r="EO68" s="50"/>
      <c r="EP68" s="50"/>
      <c r="EQ68" s="50">
        <v>0</v>
      </c>
      <c r="ER68" s="50"/>
      <c r="ES68" s="50"/>
      <c r="ET68" s="50">
        <v>0</v>
      </c>
      <c r="EU68" s="50">
        <v>0</v>
      </c>
      <c r="EV68" s="50">
        <v>0</v>
      </c>
      <c r="EW68" s="50">
        <v>0</v>
      </c>
      <c r="EX68" s="50">
        <v>0</v>
      </c>
      <c r="EY68" s="50">
        <v>0</v>
      </c>
      <c r="EZ68" s="50">
        <v>0</v>
      </c>
      <c r="FA68" s="50">
        <v>0</v>
      </c>
      <c r="FB68" s="50">
        <v>0</v>
      </c>
      <c r="FC68" s="50">
        <v>0</v>
      </c>
      <c r="FD68" s="50">
        <v>0</v>
      </c>
      <c r="FE68" s="50">
        <v>0</v>
      </c>
      <c r="FF68" s="50">
        <v>0</v>
      </c>
      <c r="FG68" s="50">
        <v>0</v>
      </c>
      <c r="FH68" s="50">
        <v>0</v>
      </c>
      <c r="FI68" s="50">
        <v>0</v>
      </c>
      <c r="FJ68" s="50">
        <v>0</v>
      </c>
      <c r="FK68" s="50">
        <v>0</v>
      </c>
      <c r="FL68" s="50">
        <v>0</v>
      </c>
      <c r="FM68" s="50"/>
      <c r="FN68" s="50"/>
      <c r="FO68" s="50"/>
      <c r="FP68" s="50">
        <v>0</v>
      </c>
      <c r="FQ68" s="50"/>
      <c r="FR68" s="50"/>
      <c r="FS68" s="50"/>
      <c r="FT68" s="50"/>
      <c r="FU68" s="50"/>
      <c r="FV68" s="50">
        <f t="shared" si="30"/>
        <v>0</v>
      </c>
      <c r="FW68" s="50">
        <f t="shared" si="31"/>
        <v>0</v>
      </c>
      <c r="FX68" s="50">
        <f t="shared" si="32"/>
        <v>0</v>
      </c>
      <c r="FY68" s="50">
        <f>GA68-FZ68</f>
        <v>0.76010599999999995</v>
      </c>
      <c r="FZ68" s="50"/>
      <c r="GA68" s="50">
        <v>0.76010599999999995</v>
      </c>
      <c r="GB68" s="50">
        <v>0</v>
      </c>
      <c r="GC68" s="50"/>
      <c r="GD68" s="50"/>
      <c r="GE68" s="50">
        <v>0</v>
      </c>
      <c r="GF68" s="50">
        <v>0</v>
      </c>
      <c r="GG68" s="50">
        <v>0</v>
      </c>
      <c r="GH68" s="50">
        <v>0</v>
      </c>
      <c r="GI68" s="50">
        <v>0</v>
      </c>
      <c r="GJ68" s="50">
        <v>0</v>
      </c>
      <c r="GK68" s="50">
        <v>0.02</v>
      </c>
      <c r="GL68" s="50">
        <v>0</v>
      </c>
      <c r="GM68" s="50">
        <v>0.02</v>
      </c>
      <c r="GN68" s="50">
        <v>4.2999999999999997E-2</v>
      </c>
      <c r="GO68" s="50">
        <v>0</v>
      </c>
      <c r="GP68" s="50">
        <v>4.2999999999999997E-2</v>
      </c>
      <c r="GQ68" s="50">
        <v>0</v>
      </c>
      <c r="GR68" s="50">
        <v>0</v>
      </c>
      <c r="GS68" s="50">
        <v>0</v>
      </c>
      <c r="GT68" s="50">
        <v>0</v>
      </c>
      <c r="GU68" s="50">
        <v>0</v>
      </c>
      <c r="GV68" s="50">
        <v>0</v>
      </c>
      <c r="GW68" s="50">
        <v>6.6600000000000006E-2</v>
      </c>
      <c r="GX68" s="50">
        <v>0</v>
      </c>
      <c r="GY68" s="50">
        <v>6.6600000000000006E-2</v>
      </c>
      <c r="GZ68" s="50">
        <v>0</v>
      </c>
      <c r="HA68" s="50">
        <v>0</v>
      </c>
      <c r="HB68" s="50">
        <v>0</v>
      </c>
      <c r="HC68" s="50">
        <v>0</v>
      </c>
      <c r="HD68" s="50">
        <v>0</v>
      </c>
      <c r="HE68" s="50">
        <v>0</v>
      </c>
      <c r="HF68" s="50">
        <v>0</v>
      </c>
      <c r="HG68" s="50">
        <v>0</v>
      </c>
      <c r="HH68" s="50">
        <v>0</v>
      </c>
      <c r="HI68" s="50">
        <v>8.1900000000000001E-2</v>
      </c>
      <c r="HJ68" s="50">
        <v>0</v>
      </c>
      <c r="HK68" s="50">
        <v>8.1900000000000001E-2</v>
      </c>
      <c r="HL68" s="50">
        <f t="shared" si="33"/>
        <v>0.21149999999999999</v>
      </c>
      <c r="HM68" s="50">
        <f t="shared" si="34"/>
        <v>0</v>
      </c>
      <c r="HN68" s="50">
        <f t="shared" si="35"/>
        <v>0.21149999999999999</v>
      </c>
      <c r="HO68" s="50">
        <f t="shared" si="96"/>
        <v>0.21149999999999999</v>
      </c>
      <c r="HP68" s="50"/>
      <c r="HQ68" s="50">
        <v>0.21149999999999999</v>
      </c>
      <c r="HR68" s="50">
        <v>0</v>
      </c>
      <c r="HS68" s="50">
        <v>0</v>
      </c>
      <c r="HT68" s="50">
        <v>0</v>
      </c>
      <c r="HU68" s="50">
        <v>1.0562999999999999E-2</v>
      </c>
      <c r="HV68" s="50">
        <v>0</v>
      </c>
      <c r="HW68" s="50">
        <v>1.0562999999999999E-2</v>
      </c>
      <c r="HX68" s="50">
        <v>0</v>
      </c>
      <c r="HY68" s="50">
        <v>0</v>
      </c>
      <c r="HZ68" s="50">
        <v>0</v>
      </c>
      <c r="IA68" s="50">
        <v>4.7933999999999997E-2</v>
      </c>
      <c r="IB68" s="50">
        <v>0</v>
      </c>
      <c r="IC68" s="50">
        <v>4.7933999999999997E-2</v>
      </c>
      <c r="ID68" s="50">
        <v>3.4866000000000001E-2</v>
      </c>
      <c r="IE68" s="50">
        <v>0</v>
      </c>
      <c r="IF68" s="50">
        <v>3.4866000000000001E-2</v>
      </c>
      <c r="IG68" s="50">
        <v>0</v>
      </c>
      <c r="IH68" s="50">
        <v>0</v>
      </c>
      <c r="II68" s="50">
        <v>0</v>
      </c>
      <c r="IJ68" s="50">
        <v>6.4487000000000003E-2</v>
      </c>
      <c r="IK68" s="50">
        <v>0</v>
      </c>
      <c r="IL68" s="50">
        <v>6.4487000000000003E-2</v>
      </c>
      <c r="IM68" s="50">
        <v>0</v>
      </c>
      <c r="IN68" s="50">
        <v>0</v>
      </c>
      <c r="IO68" s="50">
        <v>0</v>
      </c>
      <c r="IP68" s="50">
        <v>0</v>
      </c>
      <c r="IQ68" s="50">
        <v>0</v>
      </c>
      <c r="IR68" s="50">
        <v>0</v>
      </c>
      <c r="IS68" s="50">
        <v>0.17697299999999999</v>
      </c>
      <c r="IT68" s="50">
        <v>0</v>
      </c>
      <c r="IU68" s="50">
        <v>0.17697299999999999</v>
      </c>
      <c r="IV68" s="50">
        <v>9.6558000000000005E-2</v>
      </c>
      <c r="IW68" s="50">
        <v>0</v>
      </c>
      <c r="IX68" s="50">
        <v>9.6558000000000005E-2</v>
      </c>
      <c r="IY68" s="50">
        <v>4.6018999999999997E-2</v>
      </c>
      <c r="IZ68" s="50">
        <v>0</v>
      </c>
      <c r="JA68" s="50">
        <v>4.6018999999999997E-2</v>
      </c>
      <c r="JB68" s="50">
        <f t="shared" si="36"/>
        <v>0.47739999999999999</v>
      </c>
      <c r="JC68" s="50">
        <f t="shared" si="37"/>
        <v>0</v>
      </c>
      <c r="JD68" s="50">
        <f t="shared" si="38"/>
        <v>0.47739999999999999</v>
      </c>
      <c r="JE68" s="50">
        <f t="shared" si="97"/>
        <v>0.47739999999999999</v>
      </c>
      <c r="JF68" s="50"/>
      <c r="JG68" s="50">
        <v>0.47739999999999999</v>
      </c>
      <c r="JH68" s="50">
        <v>0</v>
      </c>
      <c r="JI68" s="50">
        <v>0</v>
      </c>
      <c r="JJ68" s="50">
        <v>0</v>
      </c>
      <c r="JK68" s="50">
        <v>0</v>
      </c>
      <c r="JL68" s="50">
        <v>0</v>
      </c>
      <c r="JM68" s="50">
        <v>0</v>
      </c>
      <c r="JN68" s="50">
        <v>0</v>
      </c>
      <c r="JO68" s="50">
        <v>0</v>
      </c>
      <c r="JP68" s="50">
        <v>0</v>
      </c>
      <c r="JQ68" s="50">
        <v>2.8799999999999999E-2</v>
      </c>
      <c r="JR68" s="50">
        <v>0</v>
      </c>
      <c r="JS68" s="50">
        <v>2.8799999999999999E-2</v>
      </c>
      <c r="JT68" s="50">
        <v>0</v>
      </c>
      <c r="JU68" s="50">
        <v>0</v>
      </c>
      <c r="JV68" s="50">
        <v>0</v>
      </c>
      <c r="JW68" s="50">
        <v>0</v>
      </c>
      <c r="JX68" s="50">
        <v>0</v>
      </c>
      <c r="JY68" s="50">
        <v>0</v>
      </c>
      <c r="JZ68" s="50">
        <v>0</v>
      </c>
      <c r="KA68" s="50">
        <v>0</v>
      </c>
      <c r="KB68" s="50">
        <v>0</v>
      </c>
      <c r="KC68" s="50">
        <v>0</v>
      </c>
      <c r="KD68" s="50">
        <v>0</v>
      </c>
      <c r="KE68" s="50">
        <v>0</v>
      </c>
      <c r="KF68" s="50">
        <v>0</v>
      </c>
      <c r="KG68" s="50">
        <v>0</v>
      </c>
      <c r="KH68" s="50">
        <v>0</v>
      </c>
      <c r="KI68" s="50">
        <v>0</v>
      </c>
      <c r="KJ68" s="50">
        <v>0</v>
      </c>
      <c r="KK68" s="50">
        <v>0</v>
      </c>
      <c r="KL68" s="50">
        <v>0</v>
      </c>
      <c r="KM68" s="50">
        <v>0</v>
      </c>
      <c r="KN68" s="50">
        <v>0</v>
      </c>
      <c r="KO68" s="50">
        <v>0</v>
      </c>
      <c r="KP68" s="50">
        <v>0</v>
      </c>
      <c r="KQ68" s="50">
        <v>0</v>
      </c>
      <c r="KR68" s="50">
        <f t="shared" si="48"/>
        <v>2.8799999999999999E-2</v>
      </c>
      <c r="KS68" s="50">
        <f t="shared" si="39"/>
        <v>0</v>
      </c>
      <c r="KT68" s="50">
        <f t="shared" si="49"/>
        <v>2.8799999999999999E-2</v>
      </c>
      <c r="KU68" s="50">
        <f t="shared" si="98"/>
        <v>2.8799999999999999E-2</v>
      </c>
      <c r="KV68" s="50"/>
      <c r="KW68" s="50">
        <v>2.8799999999999999E-2</v>
      </c>
      <c r="KX68" s="50">
        <v>0</v>
      </c>
      <c r="KY68" s="50">
        <v>0</v>
      </c>
      <c r="KZ68" s="50">
        <v>0</v>
      </c>
      <c r="LA68" s="50"/>
      <c r="LC68" s="50">
        <v>0</v>
      </c>
      <c r="LD68" s="50">
        <v>0</v>
      </c>
      <c r="LF68" s="50"/>
      <c r="LG68" s="50">
        <v>2.8799999999999999E-2</v>
      </c>
      <c r="LH68" s="50"/>
      <c r="LI68" s="50">
        <v>2.8799999999999999E-2</v>
      </c>
      <c r="LJ68" s="50">
        <v>0</v>
      </c>
      <c r="LK68" s="50"/>
      <c r="LM68" s="50">
        <v>0</v>
      </c>
      <c r="LO68" s="50"/>
      <c r="LP68" s="183"/>
      <c r="LQ68" s="44"/>
      <c r="LR68" s="44">
        <v>0</v>
      </c>
      <c r="LT68" s="44"/>
      <c r="LU68" s="49">
        <v>0</v>
      </c>
      <c r="LV68" s="44">
        <v>6.4915E-2</v>
      </c>
      <c r="LW68" s="44">
        <v>0</v>
      </c>
      <c r="LX68" s="44">
        <v>6.4915E-2</v>
      </c>
      <c r="LY68" s="44">
        <v>0</v>
      </c>
      <c r="LZ68" s="44">
        <v>0</v>
      </c>
      <c r="MA68" s="44">
        <v>0</v>
      </c>
      <c r="ME68" s="44"/>
      <c r="MF68" s="44"/>
      <c r="MG68" s="44"/>
      <c r="MH68" s="50">
        <f t="shared" si="66"/>
        <v>9.3714999999999993E-2</v>
      </c>
      <c r="MI68" s="50">
        <f t="shared" si="50"/>
        <v>0</v>
      </c>
      <c r="MJ68" s="50">
        <f t="shared" si="51"/>
        <v>9.3714999999999993E-2</v>
      </c>
      <c r="MK68" s="50">
        <f t="shared" si="99"/>
        <v>9.3715000000000007E-2</v>
      </c>
      <c r="ML68" s="50"/>
      <c r="MM68" s="50">
        <v>9.3715000000000007E-2</v>
      </c>
      <c r="MN68" s="44">
        <v>4.2873000000000001E-2</v>
      </c>
      <c r="MO68" s="44">
        <v>0</v>
      </c>
      <c r="MP68" s="44">
        <v>4.2873000000000001E-2</v>
      </c>
      <c r="MQ68" s="44">
        <v>0</v>
      </c>
      <c r="MR68" s="44">
        <v>0</v>
      </c>
      <c r="MS68" s="44">
        <v>0</v>
      </c>
      <c r="MT68" s="44">
        <v>0</v>
      </c>
      <c r="MU68" s="50"/>
      <c r="MV68" s="50"/>
      <c r="MW68" s="44">
        <v>2.0315E-2</v>
      </c>
      <c r="MX68" s="44">
        <v>0</v>
      </c>
      <c r="MY68" s="44">
        <v>2.0315E-2</v>
      </c>
      <c r="MZ68" s="44">
        <v>0.155727</v>
      </c>
      <c r="NA68" s="44">
        <v>0</v>
      </c>
      <c r="NB68" s="44">
        <v>0.155727</v>
      </c>
      <c r="NC68" s="44">
        <v>0</v>
      </c>
      <c r="ND68" s="44">
        <v>0</v>
      </c>
      <c r="NE68" s="44">
        <v>0</v>
      </c>
      <c r="NF68" s="44">
        <v>0.26308700000000002</v>
      </c>
      <c r="NG68" s="44">
        <v>0</v>
      </c>
      <c r="NH68" s="44">
        <v>0.26308700000000002</v>
      </c>
      <c r="NI68" s="44">
        <v>0</v>
      </c>
      <c r="NJ68" s="44">
        <v>0</v>
      </c>
      <c r="NK68" s="44">
        <v>0</v>
      </c>
      <c r="NL68" s="44">
        <v>8.3250000000000005E-2</v>
      </c>
      <c r="NM68" s="44">
        <v>0</v>
      </c>
      <c r="NN68" s="44">
        <v>8.3250000000000005E-2</v>
      </c>
      <c r="NO68" s="44">
        <v>1.1663E-2</v>
      </c>
      <c r="NP68" s="44">
        <v>0</v>
      </c>
      <c r="NQ68" s="44">
        <v>1.1663E-2</v>
      </c>
      <c r="NR68" s="44">
        <v>-4.7190000000000003E-2</v>
      </c>
      <c r="NS68" s="44">
        <v>0</v>
      </c>
      <c r="NT68" s="44">
        <v>-4.7190000000000003E-2</v>
      </c>
      <c r="NU68" s="44">
        <v>0</v>
      </c>
      <c r="NV68" s="44">
        <v>0</v>
      </c>
      <c r="NW68" s="44">
        <v>0</v>
      </c>
      <c r="NX68" s="50">
        <f t="shared" si="117"/>
        <v>0.52972500000000011</v>
      </c>
      <c r="NY68" s="50">
        <f t="shared" si="40"/>
        <v>0</v>
      </c>
      <c r="NZ68" s="50">
        <f t="shared" si="41"/>
        <v>0.52972500000000011</v>
      </c>
      <c r="OA68" s="50">
        <f t="shared" si="100"/>
        <v>0.529725</v>
      </c>
      <c r="OB68" s="50"/>
      <c r="OC68" s="50">
        <v>0.529725</v>
      </c>
      <c r="OD68" s="44">
        <v>0</v>
      </c>
      <c r="OE68" s="44">
        <v>0</v>
      </c>
      <c r="OF68" s="44">
        <v>0</v>
      </c>
      <c r="OG68" s="50">
        <v>0</v>
      </c>
      <c r="OH68" s="44">
        <v>0</v>
      </c>
      <c r="OI68" s="44">
        <v>0</v>
      </c>
      <c r="OJ68" s="44">
        <f t="shared" si="107"/>
        <v>0</v>
      </c>
      <c r="OK68" s="44"/>
      <c r="OL68" s="44"/>
      <c r="OM68" s="44">
        <v>0.22873099999999999</v>
      </c>
      <c r="ON68" s="44"/>
      <c r="OO68" s="44">
        <v>0.22873099999999999</v>
      </c>
      <c r="OP68" s="44"/>
      <c r="OQ68" s="44"/>
      <c r="OR68" s="44"/>
      <c r="OS68" s="44">
        <v>1.4156999999999999E-2</v>
      </c>
      <c r="OT68" s="44"/>
      <c r="OU68" s="44">
        <v>1.4156999999999999E-2</v>
      </c>
      <c r="OV68" s="44">
        <v>0.46</v>
      </c>
      <c r="OW68" s="44"/>
      <c r="OX68" s="44">
        <v>0.46</v>
      </c>
      <c r="OY68" s="95">
        <v>1.4156999999999999E-2</v>
      </c>
      <c r="OZ68" s="44"/>
      <c r="PA68" s="95">
        <v>1.4156999999999999E-2</v>
      </c>
      <c r="PB68" s="44"/>
      <c r="PC68" s="44"/>
      <c r="PD68" s="44"/>
      <c r="PE68" s="44">
        <v>0.442386</v>
      </c>
      <c r="PF68" s="44"/>
      <c r="PG68" s="44">
        <v>0.442386</v>
      </c>
      <c r="PH68" s="44">
        <v>-5.2067000000000002E-2</v>
      </c>
      <c r="PI68" s="44"/>
      <c r="PJ68" s="44">
        <v>-5.2067000000000002E-2</v>
      </c>
      <c r="PK68" s="44">
        <v>4.9667829999999996E-2</v>
      </c>
      <c r="PL68" s="44"/>
      <c r="PM68" s="44">
        <v>4.9667829999999996E-2</v>
      </c>
      <c r="PN68" s="50">
        <f t="shared" si="122"/>
        <v>1.1570318299999998</v>
      </c>
      <c r="PO68" s="50">
        <f t="shared" si="108"/>
        <v>0</v>
      </c>
      <c r="PP68" s="50">
        <f t="shared" si="116"/>
        <v>1.1570318299999998</v>
      </c>
      <c r="PQ68" s="50">
        <f t="shared" si="118"/>
        <v>1.171189</v>
      </c>
      <c r="PR68" s="50">
        <v>0</v>
      </c>
      <c r="PS68" s="50">
        <v>1.171189</v>
      </c>
      <c r="PT68" s="44">
        <v>7.1999999999999998E-3</v>
      </c>
      <c r="PU68" s="44"/>
      <c r="PV68" s="44">
        <v>7.1999999999999998E-3</v>
      </c>
      <c r="PW68" s="44"/>
      <c r="PX68" s="44"/>
      <c r="PY68" s="44"/>
      <c r="PZ68" s="44"/>
      <c r="QA68" s="44"/>
      <c r="QB68" s="44"/>
      <c r="QC68" s="44"/>
      <c r="QD68" s="44"/>
      <c r="QE68" s="44"/>
      <c r="QF68" s="44"/>
      <c r="QG68" s="44"/>
      <c r="QH68" s="44"/>
      <c r="QI68" s="50">
        <v>7.1999999999999998E-3</v>
      </c>
      <c r="QJ68" s="44"/>
      <c r="QK68" s="44">
        <v>7.1999999999999998E-3</v>
      </c>
      <c r="QL68" s="44">
        <v>4.7613999999999997E-2</v>
      </c>
      <c r="QM68" s="44"/>
      <c r="QN68" s="44">
        <v>4.7613999999999997E-2</v>
      </c>
      <c r="QO68" s="50">
        <v>0.26627400000000001</v>
      </c>
      <c r="QP68" s="44"/>
      <c r="QQ68" s="44">
        <v>0.26627400000000001</v>
      </c>
      <c r="QR68" s="44"/>
      <c r="QS68" s="44"/>
      <c r="QT68" s="44"/>
      <c r="QU68" s="50">
        <v>0.38766800000000001</v>
      </c>
      <c r="QV68" s="44"/>
      <c r="QW68" s="44">
        <v>0.38766800000000001</v>
      </c>
      <c r="QX68" s="50">
        <v>2.7830000000000001E-2</v>
      </c>
      <c r="QY68" s="44"/>
      <c r="QZ68" s="44">
        <v>2.7830000000000001E-2</v>
      </c>
      <c r="RA68" s="50">
        <v>4.4527999999999998E-2</v>
      </c>
      <c r="RB68" s="44"/>
      <c r="RC68" s="44">
        <v>4.4527999999999998E-2</v>
      </c>
      <c r="RD68" s="50">
        <f t="shared" si="52"/>
        <v>0.78831400000000007</v>
      </c>
      <c r="RE68" s="50">
        <f t="shared" si="53"/>
        <v>0</v>
      </c>
      <c r="RF68" s="50">
        <f t="shared" si="54"/>
        <v>0.78831400000000007</v>
      </c>
      <c r="RG68" s="50">
        <f t="shared" si="119"/>
        <v>0.78831399999999996</v>
      </c>
      <c r="RH68" s="50"/>
      <c r="RI68" s="50">
        <v>0.78831399999999996</v>
      </c>
      <c r="RJ68" s="50">
        <v>8.0707000000000001E-2</v>
      </c>
      <c r="RK68" s="50"/>
      <c r="RL68" s="50">
        <v>8.0707000000000001E-2</v>
      </c>
      <c r="RM68" s="50"/>
      <c r="RN68" s="50"/>
      <c r="RO68" s="50"/>
      <c r="RP68" s="50">
        <v>6.6607E-2</v>
      </c>
      <c r="RQ68" s="50"/>
      <c r="RR68" s="50">
        <v>6.6607E-2</v>
      </c>
      <c r="RS68" s="50">
        <v>2.5999999999999999E-2</v>
      </c>
      <c r="RT68" s="50"/>
      <c r="RU68" s="50">
        <v>2.5999999999999999E-2</v>
      </c>
      <c r="RV68" s="50">
        <v>0</v>
      </c>
      <c r="RW68" s="50"/>
      <c r="RX68" s="50"/>
      <c r="RY68" s="50">
        <v>0</v>
      </c>
      <c r="RZ68" s="50"/>
      <c r="SA68" s="50"/>
      <c r="SB68" s="50">
        <v>1.8876E-2</v>
      </c>
      <c r="SC68" s="50"/>
      <c r="SD68" s="50">
        <v>1.8876E-2</v>
      </c>
      <c r="SE68" s="50">
        <v>2.5999999999999999E-2</v>
      </c>
      <c r="SF68" s="50"/>
      <c r="SG68" s="50">
        <v>2.5999999999999999E-2</v>
      </c>
      <c r="SH68" s="50">
        <v>0</v>
      </c>
      <c r="SI68" s="50"/>
      <c r="SJ68" s="50"/>
      <c r="SK68" s="50">
        <v>2.8799999999999999E-2</v>
      </c>
      <c r="SL68" s="50"/>
      <c r="SM68" s="50">
        <v>2.8799999999999999E-2</v>
      </c>
      <c r="SN68" s="50">
        <v>0</v>
      </c>
      <c r="SO68" s="50"/>
      <c r="SP68" s="50"/>
      <c r="SQ68" s="50">
        <v>0.104865</v>
      </c>
      <c r="SR68" s="50"/>
      <c r="SS68" s="50">
        <v>0.104865</v>
      </c>
      <c r="ST68" s="50">
        <f t="shared" si="55"/>
        <v>0.35185499999999997</v>
      </c>
      <c r="SU68" s="50">
        <f t="shared" si="65"/>
        <v>0</v>
      </c>
      <c r="SV68" s="50">
        <f t="shared" si="56"/>
        <v>0.35185499999999997</v>
      </c>
      <c r="SW68" s="50">
        <f t="shared" si="103"/>
        <v>0.35185499999999997</v>
      </c>
      <c r="SX68" s="50"/>
      <c r="SY68" s="50">
        <v>0.35185499999999997</v>
      </c>
      <c r="SZ68" s="50">
        <v>1.5473000000000001E-2</v>
      </c>
      <c r="TA68" s="50"/>
      <c r="TB68" s="50">
        <v>1.5473000000000001E-2</v>
      </c>
      <c r="TC68" s="50">
        <v>0</v>
      </c>
      <c r="TD68" s="50"/>
      <c r="TE68" s="50"/>
      <c r="TF68" s="50">
        <v>2.545E-2</v>
      </c>
      <c r="TG68" s="50"/>
      <c r="TH68" s="50">
        <v>2.545E-2</v>
      </c>
      <c r="TI68" s="50">
        <v>0</v>
      </c>
      <c r="TJ68" s="50"/>
      <c r="TK68" s="50"/>
      <c r="TL68" s="50">
        <f t="shared" si="130"/>
        <v>0</v>
      </c>
      <c r="TM68" s="50"/>
      <c r="TN68" s="50"/>
      <c r="TO68" s="50">
        <v>0</v>
      </c>
      <c r="TP68" s="50"/>
      <c r="TQ68" s="50"/>
      <c r="TR68" s="50">
        <v>1.8876E-2</v>
      </c>
      <c r="TS68" s="50"/>
      <c r="TT68" s="50">
        <v>1.8876E-2</v>
      </c>
      <c r="TU68" s="50">
        <v>2.545E-2</v>
      </c>
      <c r="TV68" s="50"/>
      <c r="TW68" s="50">
        <v>2.545E-2</v>
      </c>
      <c r="TX68" s="50">
        <v>0</v>
      </c>
      <c r="TY68" s="50"/>
      <c r="TZ68" s="50"/>
      <c r="UA68" s="50">
        <v>0.12141099999999999</v>
      </c>
      <c r="UB68" s="50"/>
      <c r="UC68" s="50">
        <v>0.12141099999999999</v>
      </c>
      <c r="UD68" s="50">
        <v>2.5451000000000001E-2</v>
      </c>
      <c r="UE68" s="50"/>
      <c r="UF68" s="50">
        <v>2.5451000000000001E-2</v>
      </c>
      <c r="UG68" s="50">
        <v>-2.9499999999999999E-3</v>
      </c>
      <c r="UH68" s="50"/>
      <c r="UI68" s="50">
        <v>-2.9499999999999999E-3</v>
      </c>
      <c r="UJ68" s="50">
        <f t="shared" si="45"/>
        <v>0.229161</v>
      </c>
      <c r="UK68" s="50">
        <f t="shared" si="15"/>
        <v>0</v>
      </c>
      <c r="UL68" s="50">
        <f t="shared" si="16"/>
        <v>0.229161</v>
      </c>
      <c r="UM68" s="50">
        <v>0.20594199999999999</v>
      </c>
      <c r="UN68" s="50"/>
      <c r="UO68" s="50">
        <v>0.20594199999999999</v>
      </c>
      <c r="UP68" s="50">
        <v>0</v>
      </c>
      <c r="UQ68" s="50"/>
      <c r="UR68" s="50"/>
      <c r="US68" s="50">
        <v>0</v>
      </c>
      <c r="UT68" s="50"/>
      <c r="UU68" s="50"/>
      <c r="UV68" s="50">
        <v>1.6631E-2</v>
      </c>
      <c r="UW68" s="50"/>
      <c r="UX68" s="50">
        <v>1.6631E-2</v>
      </c>
      <c r="UY68" s="50"/>
      <c r="UZ68" s="50"/>
      <c r="VA68" s="50"/>
      <c r="VB68" s="50"/>
      <c r="VC68" s="50"/>
      <c r="VD68" s="50"/>
      <c r="VE68" s="50"/>
      <c r="VF68" s="50"/>
      <c r="VG68" s="50"/>
      <c r="VH68" s="50"/>
      <c r="VI68" s="50"/>
      <c r="VJ68" s="50"/>
      <c r="VK68" s="50"/>
      <c r="VL68" s="50"/>
      <c r="VM68" s="50"/>
      <c r="VN68" s="50"/>
      <c r="VO68" s="50"/>
      <c r="VP68" s="50"/>
      <c r="VQ68" s="50"/>
      <c r="VR68" s="50"/>
      <c r="VS68" s="50"/>
      <c r="VT68" s="50"/>
      <c r="VU68" s="50"/>
      <c r="VV68" s="50"/>
      <c r="VW68" s="276">
        <f t="shared" si="57"/>
        <v>4.0923000000000001E-2</v>
      </c>
      <c r="VX68" s="292">
        <f t="shared" si="58"/>
        <v>0</v>
      </c>
      <c r="VY68" s="292">
        <f t="shared" si="59"/>
        <v>4.0923000000000001E-2</v>
      </c>
      <c r="VZ68" s="276">
        <f t="shared" si="60"/>
        <v>0.22257299999999999</v>
      </c>
      <c r="WA68" s="292">
        <f t="shared" si="61"/>
        <v>0</v>
      </c>
      <c r="WB68" s="292">
        <f t="shared" si="62"/>
        <v>0.22257299999999999</v>
      </c>
      <c r="WC68" s="277">
        <f t="shared" si="112"/>
        <v>0.18164999999999998</v>
      </c>
      <c r="WD68" s="277">
        <f t="shared" si="104"/>
        <v>443.88241331280699</v>
      </c>
    </row>
    <row r="69" spans="1:602" s="12" customFormat="1" ht="20.5">
      <c r="A69" s="319" t="s">
        <v>210</v>
      </c>
      <c r="B69" s="14" t="s">
        <v>217</v>
      </c>
      <c r="C69" s="93" t="s">
        <v>212</v>
      </c>
      <c r="D69" s="50" t="s">
        <v>46</v>
      </c>
      <c r="E69" s="50" t="s">
        <v>46</v>
      </c>
      <c r="F69" s="50" t="s">
        <v>46</v>
      </c>
      <c r="G69" s="45">
        <v>148.05813142782341</v>
      </c>
      <c r="H69" s="45">
        <v>0.81893226276458297</v>
      </c>
      <c r="I69" s="45">
        <v>3.4059623593491213</v>
      </c>
      <c r="J69" s="45">
        <v>8.2794274790695557</v>
      </c>
      <c r="K69" s="45">
        <v>7.6411225035714088</v>
      </c>
      <c r="L69" s="45">
        <v>7.4658377015497921</v>
      </c>
      <c r="M69" s="45">
        <v>7.619747468711048</v>
      </c>
      <c r="N69" s="45">
        <v>12.51623069874389</v>
      </c>
      <c r="O69" s="45">
        <v>12.807432797764385</v>
      </c>
      <c r="P69" s="45">
        <v>18.149528175707594</v>
      </c>
      <c r="Q69" s="45">
        <v>10.556478292667657</v>
      </c>
      <c r="R69" s="45">
        <v>14.822803768902853</v>
      </c>
      <c r="S69" s="45">
        <v>38.119529271318896</v>
      </c>
      <c r="T69" s="50">
        <v>-141.47299673877799</v>
      </c>
      <c r="U69" s="50">
        <v>141.47299673877799</v>
      </c>
      <c r="V69" s="50">
        <v>0</v>
      </c>
      <c r="W69" s="45">
        <v>142.20303527014647</v>
      </c>
      <c r="X69" s="50">
        <v>15.03584579769</v>
      </c>
      <c r="Y69" s="50">
        <v>10.394759349699999</v>
      </c>
      <c r="Z69" s="50">
        <v>13.348620497320001</v>
      </c>
      <c r="AA69" s="50">
        <v>9.7107216805899998</v>
      </c>
      <c r="AB69" s="50">
        <v>8.3688525108099991</v>
      </c>
      <c r="AC69" s="50">
        <v>4.5695273077500005</v>
      </c>
      <c r="AD69" s="50">
        <v>7.3909318245200009</v>
      </c>
      <c r="AE69" s="50">
        <v>9.4476678988699998</v>
      </c>
      <c r="AF69" s="50">
        <v>9.4258091160500008</v>
      </c>
      <c r="AG69" s="50">
        <v>10.76663219049</v>
      </c>
      <c r="AH69" s="50">
        <v>12.165431585479997</v>
      </c>
      <c r="AI69" s="50">
        <v>25.581442763560002</v>
      </c>
      <c r="AJ69" s="50">
        <v>1.74741037330465</v>
      </c>
      <c r="AK69" s="50">
        <v>134.45883214950399</v>
      </c>
      <c r="AL69" s="50">
        <f>AJ69+AK69</f>
        <v>136.20624252280865</v>
      </c>
      <c r="AM69" s="50">
        <v>136.20624394567059</v>
      </c>
      <c r="AN69" s="45">
        <v>3.1711747300000002</v>
      </c>
      <c r="AO69" s="45">
        <v>8.1190818499999988</v>
      </c>
      <c r="AP69" s="45">
        <v>8.4755054100000002</v>
      </c>
      <c r="AQ69" s="45">
        <v>11.448798120000003</v>
      </c>
      <c r="AR69" s="45">
        <v>13.77469769</v>
      </c>
      <c r="AS69" s="45">
        <v>22.170230009999997</v>
      </c>
      <c r="AT69" s="45">
        <v>8.4815859200000023</v>
      </c>
      <c r="AU69" s="45">
        <v>13.694271920000002</v>
      </c>
      <c r="AV69" s="45">
        <v>16.486236529999996</v>
      </c>
      <c r="AW69" s="45">
        <v>13.341506800000001</v>
      </c>
      <c r="AX69" s="45">
        <v>16.203766019999996</v>
      </c>
      <c r="AY69" s="45">
        <v>25.835583289999999</v>
      </c>
      <c r="AZ69" s="50">
        <v>8.8943488399999993</v>
      </c>
      <c r="BA69" s="50">
        <v>152.30808944999995</v>
      </c>
      <c r="BB69" s="50">
        <v>161.20243828999995</v>
      </c>
      <c r="BC69" s="50">
        <f t="shared" si="21"/>
        <v>8.8943489223169081</v>
      </c>
      <c r="BD69" s="50">
        <v>152.30809016454089</v>
      </c>
      <c r="BE69" s="42">
        <v>161.20243908685779</v>
      </c>
      <c r="BF69" s="95"/>
      <c r="BG69" s="95">
        <v>10.302064</v>
      </c>
      <c r="BH69" s="95">
        <f>BF69+BG69</f>
        <v>10.302064</v>
      </c>
      <c r="BI69" s="95"/>
      <c r="BJ69" s="95">
        <v>9.4567768800000014</v>
      </c>
      <c r="BK69" s="95">
        <f>BI69+BJ69</f>
        <v>9.4567768800000014</v>
      </c>
      <c r="BL69" s="95"/>
      <c r="BM69" s="95">
        <v>8.7266790699999994</v>
      </c>
      <c r="BN69" s="95">
        <f>BL69+BM69</f>
        <v>8.7266790699999994</v>
      </c>
      <c r="BO69" s="95">
        <v>2.7555779999999999</v>
      </c>
      <c r="BP69" s="95">
        <v>6.5456330599999992</v>
      </c>
      <c r="BQ69" s="95">
        <f>BO69+BP69</f>
        <v>9.30121106</v>
      </c>
      <c r="BR69" s="95"/>
      <c r="BS69" s="95">
        <v>6.3298454099999999</v>
      </c>
      <c r="BT69" s="95">
        <f>BR69+BS69</f>
        <v>6.3298454099999999</v>
      </c>
      <c r="BU69" s="95">
        <v>0.8</v>
      </c>
      <c r="BV69" s="95">
        <v>7.03995675</v>
      </c>
      <c r="BW69" s="95">
        <f>BU69+BV69</f>
        <v>7.8399567499999998</v>
      </c>
      <c r="BX69" s="95"/>
      <c r="BY69" s="95">
        <v>7.6855835599999995</v>
      </c>
      <c r="BZ69" s="95">
        <f>BX69+BY69</f>
        <v>7.6855835599999995</v>
      </c>
      <c r="CA69" s="95">
        <v>0.996</v>
      </c>
      <c r="CB69" s="95">
        <v>8.0619658899999997</v>
      </c>
      <c r="CC69" s="95">
        <f>CA69+CB69</f>
        <v>9.0579658900000002</v>
      </c>
      <c r="CD69" s="95">
        <v>0.84095699999999995</v>
      </c>
      <c r="CE69" s="95">
        <v>7.6655802699999995</v>
      </c>
      <c r="CF69" s="95">
        <f>CD69+CE69</f>
        <v>8.506537269999999</v>
      </c>
      <c r="CG69" s="95">
        <v>0.361572</v>
      </c>
      <c r="CH69" s="95">
        <v>9.1984985399999992</v>
      </c>
      <c r="CI69" s="95">
        <f>CG69+CH69</f>
        <v>9.5600705399999999</v>
      </c>
      <c r="CJ69" s="44">
        <v>0.84321500000000005</v>
      </c>
      <c r="CK69" s="44">
        <v>10.631150459999999</v>
      </c>
      <c r="CL69" s="44">
        <f>CJ69+CK69</f>
        <v>11.47436546</v>
      </c>
      <c r="CM69" s="44">
        <v>1.9373868200000002</v>
      </c>
      <c r="CN69" s="44">
        <v>19.682516529999997</v>
      </c>
      <c r="CO69" s="44">
        <f>CM69+CN69</f>
        <v>21.619903349999998</v>
      </c>
      <c r="CP69" s="50">
        <f t="shared" si="24"/>
        <v>8.5347088199999988</v>
      </c>
      <c r="CQ69" s="50">
        <f t="shared" si="25"/>
        <v>111.32625042000001</v>
      </c>
      <c r="CR69" s="50">
        <f t="shared" si="26"/>
        <v>119.86095923999999</v>
      </c>
      <c r="CS69" s="50">
        <f>CU69-CT69</f>
        <v>8.5347090000000065</v>
      </c>
      <c r="CT69" s="50">
        <v>111.32625</v>
      </c>
      <c r="CU69" s="42">
        <f>8.534709+111.32625</f>
        <v>119.86095900000001</v>
      </c>
      <c r="CV69" s="44"/>
      <c r="CW69" s="44">
        <v>2.9198011100000003</v>
      </c>
      <c r="CX69" s="44">
        <f>CV69+CW69</f>
        <v>2.9198011100000003</v>
      </c>
      <c r="CY69" s="44">
        <v>0</v>
      </c>
      <c r="CZ69" s="44">
        <v>7.2996193100000006</v>
      </c>
      <c r="DA69" s="44">
        <v>7.2996193100000006</v>
      </c>
      <c r="DB69" s="44">
        <v>0</v>
      </c>
      <c r="DC69" s="44">
        <v>7.4198449799999997</v>
      </c>
      <c r="DD69" s="44">
        <v>7.4198449799999997</v>
      </c>
      <c r="DE69" s="44">
        <v>2.4421170000000001</v>
      </c>
      <c r="DF69" s="44">
        <v>2.7257323799999997</v>
      </c>
      <c r="DG69" s="44">
        <v>5.1678493799999998</v>
      </c>
      <c r="DH69" s="44">
        <v>1</v>
      </c>
      <c r="DI69" s="44">
        <v>4.9719600100000001</v>
      </c>
      <c r="DJ69" s="44">
        <v>5.9719600100000001</v>
      </c>
      <c r="DK69" s="44">
        <v>0</v>
      </c>
      <c r="DL69" s="44">
        <v>3.5871121000000001</v>
      </c>
      <c r="DM69" s="44">
        <v>3.5871121000000001</v>
      </c>
      <c r="DN69" s="44">
        <v>0</v>
      </c>
      <c r="DO69" s="44">
        <v>5.2071244200000004</v>
      </c>
      <c r="DP69" s="44">
        <v>5.2071244200000004</v>
      </c>
      <c r="DQ69" s="44">
        <v>0.4148115</v>
      </c>
      <c r="DR69" s="44">
        <v>3.5939509299999997</v>
      </c>
      <c r="DS69" s="44">
        <v>4.00876243</v>
      </c>
      <c r="DT69" s="44">
        <v>1.941373</v>
      </c>
      <c r="DU69" s="44">
        <v>3.2226427400000004</v>
      </c>
      <c r="DV69" s="44">
        <v>5.16401574</v>
      </c>
      <c r="DW69" s="44">
        <v>0.30437700000000001</v>
      </c>
      <c r="DX69" s="44">
        <v>4.7223927899999998</v>
      </c>
      <c r="DY69" s="44">
        <v>5.0267697899999995</v>
      </c>
      <c r="DZ69" s="44">
        <v>0.18046606000000001</v>
      </c>
      <c r="EA69" s="44">
        <v>5.4438441100000006</v>
      </c>
      <c r="EB69" s="44">
        <v>5.6243101700000002</v>
      </c>
      <c r="EC69" s="44">
        <v>6.9405232100000003</v>
      </c>
      <c r="ED69" s="44">
        <v>14.268859239999998</v>
      </c>
      <c r="EE69" s="44">
        <v>21.20938245</v>
      </c>
      <c r="EF69" s="50">
        <f t="shared" si="27"/>
        <v>13.223667769999999</v>
      </c>
      <c r="EG69" s="50">
        <f t="shared" si="28"/>
        <v>65.38288412</v>
      </c>
      <c r="EH69" s="50">
        <f t="shared" si="29"/>
        <v>78.606551889999992</v>
      </c>
      <c r="EI69" s="50">
        <f>EK69-EJ69</f>
        <v>13.223667880000008</v>
      </c>
      <c r="EJ69" s="50">
        <v>65.38288412</v>
      </c>
      <c r="EK69" s="50">
        <f>13.223668+65.382884</f>
        <v>78.606552000000008</v>
      </c>
      <c r="EL69" s="50">
        <v>0</v>
      </c>
      <c r="EM69" s="50">
        <v>1.2306559000000001</v>
      </c>
      <c r="EN69" s="50">
        <v>1.2306559000000001</v>
      </c>
      <c r="EO69" s="50">
        <v>0</v>
      </c>
      <c r="EP69" s="50">
        <v>2.3953453100000002</v>
      </c>
      <c r="EQ69" s="50">
        <v>2.3953453100000002</v>
      </c>
      <c r="ER69" s="50">
        <v>0</v>
      </c>
      <c r="ES69" s="50">
        <v>4.5200711099999991</v>
      </c>
      <c r="ET69" s="50">
        <v>4.5200711099999991</v>
      </c>
      <c r="EU69" s="50">
        <v>2.325072</v>
      </c>
      <c r="EV69" s="50">
        <v>1.2440402399999999</v>
      </c>
      <c r="EW69" s="50">
        <v>3.5691122399999999</v>
      </c>
      <c r="EX69" s="50">
        <v>2.00155086</v>
      </c>
      <c r="EY69" s="50">
        <v>9.6326310000000012E-2</v>
      </c>
      <c r="EZ69" s="50">
        <v>2.0978771699999998</v>
      </c>
      <c r="FA69" s="50">
        <v>0</v>
      </c>
      <c r="FB69" s="50">
        <v>0.19400194000000001</v>
      </c>
      <c r="FC69" s="50">
        <v>0.19400194000000001</v>
      </c>
      <c r="FD69" s="50">
        <v>0</v>
      </c>
      <c r="FE69" s="50">
        <v>0.18923255999999999</v>
      </c>
      <c r="FF69" s="50">
        <v>0.18923255999999999</v>
      </c>
      <c r="FG69" s="50">
        <v>0.32573813000000001</v>
      </c>
      <c r="FH69" s="50">
        <v>0.67508460999999997</v>
      </c>
      <c r="FI69" s="50">
        <v>1.00082274</v>
      </c>
      <c r="FJ69" s="50">
        <v>2</v>
      </c>
      <c r="FK69" s="50">
        <v>0.28730365999999996</v>
      </c>
      <c r="FL69" s="50">
        <v>2.2873036600000001</v>
      </c>
      <c r="FM69" s="50">
        <v>1.4361239999999999E-2</v>
      </c>
      <c r="FN69" s="50">
        <v>1.12501958</v>
      </c>
      <c r="FO69" s="50">
        <v>1.13938082</v>
      </c>
      <c r="FP69" s="50">
        <v>0</v>
      </c>
      <c r="FQ69" s="50">
        <v>0.77415725999999996</v>
      </c>
      <c r="FR69" s="50">
        <v>0.77415725999999996</v>
      </c>
      <c r="FS69" s="50">
        <v>9.8006840099999994</v>
      </c>
      <c r="FT69" s="50">
        <v>3.1378065899999998</v>
      </c>
      <c r="FU69" s="50">
        <v>12.9384906</v>
      </c>
      <c r="FV69" s="50">
        <f t="shared" si="30"/>
        <v>16.467406240000003</v>
      </c>
      <c r="FW69" s="50">
        <f t="shared" si="31"/>
        <v>15.869045069999999</v>
      </c>
      <c r="FX69" s="50">
        <f t="shared" si="32"/>
        <v>32.336451309999994</v>
      </c>
      <c r="FY69" s="50">
        <f>GA69-FZ69</f>
        <v>15.719145000000001</v>
      </c>
      <c r="FZ69" s="50">
        <v>15.869045</v>
      </c>
      <c r="GA69" s="50">
        <v>31.588190000000001</v>
      </c>
      <c r="GB69" s="50"/>
      <c r="GC69" s="94">
        <v>0.72292333000000009</v>
      </c>
      <c r="GD69" s="50">
        <v>0.72292333000000009</v>
      </c>
      <c r="GE69" s="50">
        <v>0</v>
      </c>
      <c r="GF69" s="50">
        <v>0.57217587000000003</v>
      </c>
      <c r="GG69" s="50">
        <v>0.57217587000000003</v>
      </c>
      <c r="GH69" s="50">
        <v>1.55019492</v>
      </c>
      <c r="GI69" s="50">
        <v>1.6552465399999998</v>
      </c>
      <c r="GJ69" s="50">
        <v>3.2054414599999999</v>
      </c>
      <c r="GK69" s="50">
        <v>2.3758849999999998</v>
      </c>
      <c r="GL69" s="50">
        <v>4.5578407700000003</v>
      </c>
      <c r="GM69" s="50">
        <v>6.9337257700000006</v>
      </c>
      <c r="GN69" s="50">
        <v>2.3047319699999997</v>
      </c>
      <c r="GO69" s="50">
        <v>10.402515660000001</v>
      </c>
      <c r="GP69" s="50">
        <v>12.707247630000001</v>
      </c>
      <c r="GQ69" s="50">
        <v>1.427</v>
      </c>
      <c r="GR69" s="50">
        <v>8.0305620399999995</v>
      </c>
      <c r="GS69" s="50">
        <v>9.4575620399999991</v>
      </c>
      <c r="GT69" s="50">
        <v>0</v>
      </c>
      <c r="GU69" s="50">
        <v>9.4442628400000004</v>
      </c>
      <c r="GV69" s="50">
        <v>9.4442628400000004</v>
      </c>
      <c r="GW69" s="50">
        <v>0.13405300000000001</v>
      </c>
      <c r="GX69" s="50">
        <v>10.900440489999999</v>
      </c>
      <c r="GY69" s="50">
        <v>11.034493489999999</v>
      </c>
      <c r="GZ69" s="50">
        <v>2.0447372000000001</v>
      </c>
      <c r="HA69" s="50">
        <v>10.663863859999999</v>
      </c>
      <c r="HB69" s="50">
        <v>12.708601059999999</v>
      </c>
      <c r="HC69" s="50">
        <v>0</v>
      </c>
      <c r="HD69" s="50">
        <v>11.085911939999999</v>
      </c>
      <c r="HE69" s="50">
        <v>11.085911939999999</v>
      </c>
      <c r="HF69" s="50">
        <v>0</v>
      </c>
      <c r="HG69" s="50">
        <v>8.882151480000001</v>
      </c>
      <c r="HH69" s="50">
        <v>8.882151480000001</v>
      </c>
      <c r="HI69" s="50">
        <v>9.1607133100000002</v>
      </c>
      <c r="HJ69" s="50">
        <v>12.371939859999999</v>
      </c>
      <c r="HK69" s="50">
        <v>21.53265317</v>
      </c>
      <c r="HL69" s="50">
        <f t="shared" si="33"/>
        <v>18.997315399999998</v>
      </c>
      <c r="HM69" s="50">
        <f t="shared" si="34"/>
        <v>89.289834679999998</v>
      </c>
      <c r="HN69" s="50">
        <f t="shared" si="35"/>
        <v>108.28715008000002</v>
      </c>
      <c r="HO69" s="50">
        <f t="shared" si="96"/>
        <v>18.997315999999998</v>
      </c>
      <c r="HP69" s="50">
        <v>89.289834999999997</v>
      </c>
      <c r="HQ69" s="50">
        <v>108.28715099999999</v>
      </c>
      <c r="HR69" s="50">
        <v>2.35</v>
      </c>
      <c r="HS69" s="50">
        <v>5.8601430900000011</v>
      </c>
      <c r="HT69" s="50">
        <v>8.2101430900000008</v>
      </c>
      <c r="HU69" s="50">
        <v>0.8</v>
      </c>
      <c r="HV69" s="50">
        <v>9.5168090200000002</v>
      </c>
      <c r="HW69" s="50">
        <v>10.316809019999999</v>
      </c>
      <c r="HX69" s="50">
        <v>0.8</v>
      </c>
      <c r="HY69" s="50">
        <v>11.669555839999999</v>
      </c>
      <c r="HZ69" s="50">
        <v>12.46955584</v>
      </c>
      <c r="IA69" s="50">
        <v>3.0212330000000001</v>
      </c>
      <c r="IB69" s="50">
        <v>10.605833279999999</v>
      </c>
      <c r="IC69" s="50">
        <v>13.627066279999999</v>
      </c>
      <c r="ID69" s="50">
        <v>1.17399707</v>
      </c>
      <c r="IE69" s="50">
        <v>14.131795519999999</v>
      </c>
      <c r="IF69" s="50">
        <v>15.305792589999999</v>
      </c>
      <c r="IG69" s="50">
        <v>1.45728049</v>
      </c>
      <c r="IH69" s="50">
        <v>16.55120642</v>
      </c>
      <c r="II69" s="50">
        <v>18.008486909999998</v>
      </c>
      <c r="IJ69" s="50">
        <v>0.85399820999999998</v>
      </c>
      <c r="IK69" s="50">
        <v>22.51381336</v>
      </c>
      <c r="IL69" s="50">
        <v>23.367811569999997</v>
      </c>
      <c r="IM69" s="50">
        <v>1.01541886</v>
      </c>
      <c r="IN69" s="50">
        <v>17.202060370000002</v>
      </c>
      <c r="IO69" s="50">
        <v>18.217479230000002</v>
      </c>
      <c r="IP69" s="50">
        <v>0.90463737</v>
      </c>
      <c r="IQ69" s="50">
        <v>16.990926870000003</v>
      </c>
      <c r="IR69" s="50">
        <v>17.895564240000002</v>
      </c>
      <c r="IS69" s="50">
        <v>2.0171054900000001</v>
      </c>
      <c r="IT69" s="50">
        <v>19.655330289999998</v>
      </c>
      <c r="IU69" s="50">
        <v>21.672435780000001</v>
      </c>
      <c r="IV69" s="50">
        <v>1.2334305400000001</v>
      </c>
      <c r="IW69" s="50">
        <v>20.69404493</v>
      </c>
      <c r="IX69" s="50">
        <v>21.927475469999997</v>
      </c>
      <c r="IY69" s="50">
        <v>2.10879394</v>
      </c>
      <c r="IZ69" s="50">
        <v>23.985888850000002</v>
      </c>
      <c r="JA69" s="50">
        <v>26.09468279</v>
      </c>
      <c r="JB69" s="50">
        <f t="shared" si="36"/>
        <v>17.735894970000004</v>
      </c>
      <c r="JC69" s="50">
        <f t="shared" si="37"/>
        <v>189.37740783999999</v>
      </c>
      <c r="JD69" s="50">
        <f t="shared" si="38"/>
        <v>207.11330280999999</v>
      </c>
      <c r="JE69" s="50">
        <f t="shared" si="97"/>
        <v>17.735893999999973</v>
      </c>
      <c r="JF69" s="50">
        <v>189.377408</v>
      </c>
      <c r="JG69" s="50">
        <f>16.863704+189.377407+0.872191</f>
        <v>207.11330199999998</v>
      </c>
      <c r="JH69" s="50">
        <v>2.35</v>
      </c>
      <c r="JI69" s="50">
        <v>24.553115120000001</v>
      </c>
      <c r="JJ69" s="50">
        <v>26.903115120000002</v>
      </c>
      <c r="JK69" s="50">
        <v>0.8</v>
      </c>
      <c r="JL69" s="50">
        <v>21.710664889999997</v>
      </c>
      <c r="JM69" s="50">
        <v>22.510664889999997</v>
      </c>
      <c r="JN69" s="50">
        <v>0.95</v>
      </c>
      <c r="JO69" s="50">
        <v>24.73092321</v>
      </c>
      <c r="JP69" s="50">
        <v>25.68092321</v>
      </c>
      <c r="JQ69" s="50">
        <v>0.8</v>
      </c>
      <c r="JR69" s="50">
        <v>11.131649579999999</v>
      </c>
      <c r="JS69" s="50">
        <v>11.93164958</v>
      </c>
      <c r="JT69" s="50">
        <v>2.9282530000000002</v>
      </c>
      <c r="JU69" s="50">
        <v>13.899728489999998</v>
      </c>
      <c r="JV69" s="50">
        <v>16.827981489999999</v>
      </c>
      <c r="JW69" s="50">
        <v>0.85216444999999996</v>
      </c>
      <c r="JX69" s="50">
        <v>16.430500939999998</v>
      </c>
      <c r="JY69" s="50">
        <v>17.282665390000002</v>
      </c>
      <c r="JZ69" s="50">
        <v>0.80111600000000005</v>
      </c>
      <c r="KA69" s="50">
        <v>21.372454670000003</v>
      </c>
      <c r="KB69" s="50">
        <v>22.17357067</v>
      </c>
      <c r="KC69" s="50">
        <v>0.91483325000000004</v>
      </c>
      <c r="KD69" s="50">
        <v>15.60840505</v>
      </c>
      <c r="KE69" s="50">
        <v>16.523238299999999</v>
      </c>
      <c r="KF69" s="50">
        <v>1.53714515</v>
      </c>
      <c r="KG69" s="50">
        <v>11.713847919999997</v>
      </c>
      <c r="KH69" s="50">
        <v>13.250993069999998</v>
      </c>
      <c r="KI69" s="50">
        <v>0.85693743</v>
      </c>
      <c r="KJ69" s="50">
        <v>17.274581450000003</v>
      </c>
      <c r="KK69" s="50">
        <v>18.131518880000002</v>
      </c>
      <c r="KL69" s="50">
        <v>2.0085974599999998</v>
      </c>
      <c r="KM69" s="50">
        <v>11.569635079999999</v>
      </c>
      <c r="KN69" s="50">
        <v>13.57823254</v>
      </c>
      <c r="KO69" s="50">
        <v>3.3547101400000003</v>
      </c>
      <c r="KP69" s="50">
        <v>25.978083909999999</v>
      </c>
      <c r="KQ69" s="50">
        <v>29.33279405</v>
      </c>
      <c r="KR69" s="50">
        <f t="shared" si="48"/>
        <v>18.153756880000003</v>
      </c>
      <c r="KS69" s="50">
        <f t="shared" si="39"/>
        <v>215.97359031000002</v>
      </c>
      <c r="KT69" s="50">
        <f t="shared" si="49"/>
        <v>234.12734718999999</v>
      </c>
      <c r="KU69" s="50">
        <f t="shared" si="98"/>
        <v>18.153756999999985</v>
      </c>
      <c r="KV69" s="50">
        <v>215.97359</v>
      </c>
      <c r="KW69" s="50">
        <f>215.97359+18.153757</f>
        <v>234.12734699999999</v>
      </c>
      <c r="KX69" s="50">
        <v>0.8</v>
      </c>
      <c r="KY69" s="50">
        <v>27.791494200000002</v>
      </c>
      <c r="KZ69" s="50">
        <v>28.591494200000003</v>
      </c>
      <c r="LA69" s="50">
        <v>0.8</v>
      </c>
      <c r="LB69" s="50">
        <v>13.494165889999998</v>
      </c>
      <c r="LC69" s="50">
        <v>14.294165889999999</v>
      </c>
      <c r="LD69" s="50">
        <v>4.9918719999999999</v>
      </c>
      <c r="LE69" s="50">
        <v>16.366505790000001</v>
      </c>
      <c r="LF69" s="87">
        <v>21.358377789999999</v>
      </c>
      <c r="LG69" s="50">
        <v>0.87102599999999997</v>
      </c>
      <c r="LH69" s="50">
        <v>10.189627130000002</v>
      </c>
      <c r="LI69" s="175">
        <v>11.06065313</v>
      </c>
      <c r="LJ69" s="174">
        <v>2.11034415</v>
      </c>
      <c r="LK69" s="175">
        <v>9.8458633599999992</v>
      </c>
      <c r="LL69" s="174">
        <v>11.95620751</v>
      </c>
      <c r="LM69" s="50">
        <v>0.88062229000000003</v>
      </c>
      <c r="LN69" s="50">
        <v>12.243368700000001</v>
      </c>
      <c r="LO69" s="50">
        <v>13.123990989999999</v>
      </c>
      <c r="LP69" s="44">
        <v>0.80201135000000001</v>
      </c>
      <c r="LQ69" s="44">
        <v>21.606130060000002</v>
      </c>
      <c r="LR69" s="44">
        <v>22.408141409999995</v>
      </c>
      <c r="LS69" s="52">
        <v>0.82957884999999998</v>
      </c>
      <c r="LT69" s="44">
        <v>12.150423809999999</v>
      </c>
      <c r="LU69" s="49">
        <v>12.98000266</v>
      </c>
      <c r="LV69" s="44">
        <v>0.84356549000000003</v>
      </c>
      <c r="LW69" s="44">
        <v>11.331562040000001</v>
      </c>
      <c r="LX69" s="44">
        <v>12.175127530000001</v>
      </c>
      <c r="LY69" s="44">
        <v>0.87189338000000005</v>
      </c>
      <c r="LZ69" s="44">
        <v>5.3800332099999997</v>
      </c>
      <c r="MA69" s="44">
        <v>6.2519265900000001</v>
      </c>
      <c r="MB69" s="44">
        <v>1.3397947400000001</v>
      </c>
      <c r="MC69" s="44">
        <v>9.3219205299999999</v>
      </c>
      <c r="MD69" s="44">
        <v>10.66171527</v>
      </c>
      <c r="ME69" s="44">
        <v>7.2754522100000001</v>
      </c>
      <c r="MF69" s="44">
        <v>22.862518660000003</v>
      </c>
      <c r="MG69" s="44">
        <v>30.13797087</v>
      </c>
      <c r="MH69" s="50">
        <f t="shared" si="66"/>
        <v>22.41616046</v>
      </c>
      <c r="MI69" s="50">
        <f t="shared" si="50"/>
        <v>172.58361338</v>
      </c>
      <c r="MJ69" s="50">
        <f t="shared" si="51"/>
        <v>194.99977384000002</v>
      </c>
      <c r="MK69" s="50">
        <f t="shared" si="99"/>
        <v>22.416160999999988</v>
      </c>
      <c r="ML69" s="50">
        <v>172.58361300000001</v>
      </c>
      <c r="MM69" s="50">
        <f>172.583613+22.416161</f>
        <v>194.999774</v>
      </c>
      <c r="MN69" s="44">
        <v>0.8</v>
      </c>
      <c r="MO69" s="44">
        <v>9.9746666000000008</v>
      </c>
      <c r="MP69" s="44">
        <v>10.774666600000002</v>
      </c>
      <c r="MQ69" s="44">
        <v>0.80500000000000005</v>
      </c>
      <c r="MR69" s="44">
        <v>14.867000689999999</v>
      </c>
      <c r="MS69" s="44">
        <v>15.672000689999999</v>
      </c>
      <c r="MT69" s="44">
        <v>0.80500000000000005</v>
      </c>
      <c r="MU69" s="50">
        <v>8.7114860899999993</v>
      </c>
      <c r="MV69" s="50">
        <v>9.516486089999999</v>
      </c>
      <c r="MW69" s="44">
        <v>4.7382442999999999</v>
      </c>
      <c r="MX69" s="44">
        <v>11.460476419999999</v>
      </c>
      <c r="MY69" s="44">
        <v>16.198720719999997</v>
      </c>
      <c r="MZ69" s="44">
        <v>1.8684841799999998</v>
      </c>
      <c r="NA69" s="44">
        <v>16.09570046</v>
      </c>
      <c r="NB69" s="44">
        <v>17.964184639999999</v>
      </c>
      <c r="NC69" s="44">
        <v>12.16618836</v>
      </c>
      <c r="ND69" s="44">
        <v>14.19249089</v>
      </c>
      <c r="NE69" s="44">
        <v>26.358679250000002</v>
      </c>
      <c r="NF69" s="44">
        <v>20.843497929999998</v>
      </c>
      <c r="NG69" s="44">
        <v>6.9023037600000006</v>
      </c>
      <c r="NH69" s="44">
        <v>27.74580169</v>
      </c>
      <c r="NI69" s="44">
        <v>3.4552187400000003</v>
      </c>
      <c r="NJ69" s="44">
        <v>8.474700519999999</v>
      </c>
      <c r="NK69" s="44">
        <v>11.92991926</v>
      </c>
      <c r="NL69" s="44">
        <v>3.8851950500000001</v>
      </c>
      <c r="NM69" s="44">
        <v>11.2135205</v>
      </c>
      <c r="NN69" s="44">
        <v>15.098715550000001</v>
      </c>
      <c r="NO69" s="44">
        <v>1.7264928499999999</v>
      </c>
      <c r="NP69" s="44">
        <v>10.13228443</v>
      </c>
      <c r="NQ69" s="44">
        <v>11.85877728</v>
      </c>
      <c r="NR69" s="44">
        <v>3.6040681299999999</v>
      </c>
      <c r="NS69" s="44">
        <v>9.9199513599999989</v>
      </c>
      <c r="NT69" s="44">
        <v>13.524019489999999</v>
      </c>
      <c r="NU69" s="44">
        <v>7.5667336699999996</v>
      </c>
      <c r="NV69" s="44">
        <v>14.776358480000001</v>
      </c>
      <c r="NW69" s="44">
        <v>22.343092149999997</v>
      </c>
      <c r="NX69" s="50">
        <f t="shared" si="117"/>
        <v>62.264123209999994</v>
      </c>
      <c r="NY69" s="50">
        <f t="shared" si="40"/>
        <v>136.7209402</v>
      </c>
      <c r="NZ69" s="50">
        <f t="shared" si="41"/>
        <v>198.98506340999998</v>
      </c>
      <c r="OA69" s="50">
        <f t="shared" si="100"/>
        <v>62.26412400000001</v>
      </c>
      <c r="OB69" s="50">
        <v>136.72093899999999</v>
      </c>
      <c r="OC69" s="50">
        <f>136.720939+62.264124</f>
        <v>198.985063</v>
      </c>
      <c r="OD69" s="44">
        <v>5.5132101599999999</v>
      </c>
      <c r="OE69" s="44">
        <v>8.7290056000000007</v>
      </c>
      <c r="OF69" s="44">
        <v>14.242215760000001</v>
      </c>
      <c r="OG69" s="50">
        <v>3.7017353700000002</v>
      </c>
      <c r="OH69" s="44">
        <v>5.3742333600000007</v>
      </c>
      <c r="OI69" s="44">
        <v>9.0759687299999996</v>
      </c>
      <c r="OJ69" s="44">
        <f t="shared" si="107"/>
        <v>0</v>
      </c>
      <c r="OK69" s="44">
        <v>13.29254422</v>
      </c>
      <c r="OL69" s="44">
        <v>13.29254422</v>
      </c>
      <c r="OM69" s="44">
        <v>8.0255660500000001</v>
      </c>
      <c r="ON69" s="44">
        <v>5.0388863099999996</v>
      </c>
      <c r="OO69" s="44">
        <v>13.064452359999999</v>
      </c>
      <c r="OP69" s="44">
        <v>1.0194916000000001</v>
      </c>
      <c r="OQ69" s="44">
        <v>2.2889182899999998</v>
      </c>
      <c r="OR69" s="44">
        <v>3.3084098899999996</v>
      </c>
      <c r="OS69" s="44">
        <v>6.3357650800000007</v>
      </c>
      <c r="OT69" s="44">
        <v>5.5174058500000012</v>
      </c>
      <c r="OU69" s="44">
        <v>11.853170930000001</v>
      </c>
      <c r="OV69" s="44">
        <v>23.595037789999999</v>
      </c>
      <c r="OW69" s="44">
        <v>7.5726119300000008</v>
      </c>
      <c r="OX69" s="44">
        <v>31.16764972</v>
      </c>
      <c r="OY69" s="95">
        <v>4.2063372799999996</v>
      </c>
      <c r="OZ69" s="95">
        <v>4.2923046199999995</v>
      </c>
      <c r="PA69" s="95">
        <v>8.4986418999999991</v>
      </c>
      <c r="PB69" s="44">
        <v>1.12404719</v>
      </c>
      <c r="PC69" s="44">
        <v>7.3222936800000005</v>
      </c>
      <c r="PD69" s="44">
        <v>8.4463408700000002</v>
      </c>
      <c r="PE69" s="44">
        <v>21.47851292</v>
      </c>
      <c r="PF69" s="44">
        <v>3.81977609</v>
      </c>
      <c r="PG69" s="44">
        <v>25.298289010000001</v>
      </c>
      <c r="PH69" s="44">
        <v>1.6414086399999999</v>
      </c>
      <c r="PI69" s="44">
        <v>6.3306670800000004</v>
      </c>
      <c r="PJ69" s="44">
        <v>7.9720757200000003</v>
      </c>
      <c r="PK69" s="44">
        <v>0.70428535999999986</v>
      </c>
      <c r="PL69" s="44">
        <v>10.004194569999999</v>
      </c>
      <c r="PM69" s="44">
        <v>10.708479929999999</v>
      </c>
      <c r="PN69" s="50">
        <f t="shared" si="122"/>
        <v>77.345397439999985</v>
      </c>
      <c r="PO69" s="50">
        <f t="shared" si="108"/>
        <v>79.582841600000009</v>
      </c>
      <c r="PP69" s="50">
        <f t="shared" si="116"/>
        <v>156.92823903999999</v>
      </c>
      <c r="PQ69" s="50">
        <f t="shared" si="118"/>
        <v>77.345396400000013</v>
      </c>
      <c r="PR69" s="50">
        <v>79.582841600000009</v>
      </c>
      <c r="PS69" s="50">
        <f>79.582841+ 77.345397</f>
        <v>156.92823800000002</v>
      </c>
      <c r="PT69" s="44">
        <v>2.9407329999999998</v>
      </c>
      <c r="PU69" s="44">
        <v>13.821484969999997</v>
      </c>
      <c r="PV69" s="44">
        <v>16.762217969999998</v>
      </c>
      <c r="PW69" s="44">
        <v>0</v>
      </c>
      <c r="PX69" s="44">
        <v>5.1270317899999993</v>
      </c>
      <c r="PY69" s="44">
        <v>5.1270317899999993</v>
      </c>
      <c r="PZ69" s="44"/>
      <c r="QA69" s="44">
        <v>9.9498272100000005</v>
      </c>
      <c r="QB69" s="44">
        <v>9.9498272100000005</v>
      </c>
      <c r="QC69" s="44">
        <v>4.7884320200000001</v>
      </c>
      <c r="QD69" s="44">
        <v>7.3337911799999986</v>
      </c>
      <c r="QE69" s="44">
        <v>12.122223199999999</v>
      </c>
      <c r="QF69" s="50">
        <v>0.26462286000000113</v>
      </c>
      <c r="QG69" s="44">
        <v>11.01807844</v>
      </c>
      <c r="QH69" s="44">
        <v>11.282701300000001</v>
      </c>
      <c r="QI69" s="50">
        <v>8.4814142200000031</v>
      </c>
      <c r="QJ69" s="44">
        <v>13.469671199999999</v>
      </c>
      <c r="QK69" s="44">
        <v>21.951085420000002</v>
      </c>
      <c r="QL69" s="44">
        <v>5.8995477599999999</v>
      </c>
      <c r="QM69" s="44">
        <v>23.306738959999997</v>
      </c>
      <c r="QN69" s="44">
        <v>29.206286720000001</v>
      </c>
      <c r="QO69" s="50">
        <v>3.6207160799999984</v>
      </c>
      <c r="QP69" s="44">
        <v>5.8139004499999993</v>
      </c>
      <c r="QQ69" s="44">
        <v>9.4346165299999978</v>
      </c>
      <c r="QR69" s="44">
        <v>0.83164833999999999</v>
      </c>
      <c r="QS69" s="44">
        <v>14.734169510000001</v>
      </c>
      <c r="QT69" s="44">
        <v>15.565817850000002</v>
      </c>
      <c r="QU69" s="50">
        <v>5.7766834900000008</v>
      </c>
      <c r="QV69" s="44">
        <v>5.522079820000001</v>
      </c>
      <c r="QW69" s="44">
        <v>11.298763310000002</v>
      </c>
      <c r="QX69" s="50">
        <v>0.46309240000000074</v>
      </c>
      <c r="QY69" s="44">
        <v>4.1724115099999999</v>
      </c>
      <c r="QZ69" s="44">
        <v>4.6355039100000006</v>
      </c>
      <c r="RA69" s="50">
        <v>3.4758015999999978</v>
      </c>
      <c r="RB69" s="44">
        <v>7.3864757600000006</v>
      </c>
      <c r="RC69" s="44">
        <v>10.862277359999998</v>
      </c>
      <c r="RD69" s="50">
        <f t="shared" si="52"/>
        <v>36.542691770000005</v>
      </c>
      <c r="RE69" s="50">
        <f t="shared" si="53"/>
        <v>121.65566080000001</v>
      </c>
      <c r="RF69" s="50">
        <f t="shared" si="54"/>
        <v>158.19835257000003</v>
      </c>
      <c r="RG69" s="50">
        <f t="shared" si="119"/>
        <v>36.542691000000005</v>
      </c>
      <c r="RH69" s="50">
        <v>121.65566</v>
      </c>
      <c r="RI69" s="50">
        <f>121.65566+36.542691</f>
        <v>158.198351</v>
      </c>
      <c r="RJ69" s="50">
        <v>3.2952272000000002</v>
      </c>
      <c r="RK69" s="50">
        <v>2.6588466400000006</v>
      </c>
      <c r="RL69" s="50">
        <v>5.9540738400000004</v>
      </c>
      <c r="RM69" s="50">
        <v>0.32658262999999998</v>
      </c>
      <c r="RN69" s="50">
        <v>2.8561713900000001</v>
      </c>
      <c r="RO69" s="50">
        <v>3.1827540200000004</v>
      </c>
      <c r="RP69" s="50">
        <v>0.13931494</v>
      </c>
      <c r="RQ69" s="50">
        <v>4.9004817599999999</v>
      </c>
      <c r="RR69" s="50">
        <v>5.0397967000000001</v>
      </c>
      <c r="RS69" s="50">
        <v>5.7638409799999977</v>
      </c>
      <c r="RT69" s="50">
        <v>13.506763079999999</v>
      </c>
      <c r="RU69" s="50">
        <v>19.270604059999997</v>
      </c>
      <c r="RV69" s="50">
        <v>0.11482168999999942</v>
      </c>
      <c r="RW69" s="50">
        <v>4.4423807800000006</v>
      </c>
      <c r="RX69" s="50">
        <v>4.55720247</v>
      </c>
      <c r="RY69" s="50">
        <v>3.5086557700000003</v>
      </c>
      <c r="RZ69" s="50">
        <v>2.9369108499999999</v>
      </c>
      <c r="SA69" s="50">
        <v>6.4455666200000001</v>
      </c>
      <c r="SB69" s="50">
        <v>7.4380037500000036</v>
      </c>
      <c r="SC69" s="50">
        <v>11.889122369999999</v>
      </c>
      <c r="SD69" s="50">
        <v>19.327126120000003</v>
      </c>
      <c r="SE69" s="50">
        <v>23.088333349999999</v>
      </c>
      <c r="SF69" s="50">
        <v>2.09356338</v>
      </c>
      <c r="SG69" s="50">
        <v>25.181896729999998</v>
      </c>
      <c r="SH69" s="50">
        <v>0.5630953200000004</v>
      </c>
      <c r="SI69" s="50">
        <v>7.3482191999999991</v>
      </c>
      <c r="SJ69" s="50">
        <v>7.9113145199999995</v>
      </c>
      <c r="SK69" s="50">
        <v>4.0935327700000004</v>
      </c>
      <c r="SL69" s="50">
        <v>2.9818766100000005</v>
      </c>
      <c r="SM69" s="50">
        <v>7.07540938</v>
      </c>
      <c r="SN69" s="50">
        <v>0.31040420999999974</v>
      </c>
      <c r="SO69" s="50">
        <v>6.8829213299999994</v>
      </c>
      <c r="SP69" s="50">
        <v>7.1933255399999991</v>
      </c>
      <c r="SQ69" s="50">
        <v>0.32519632999999715</v>
      </c>
      <c r="SR69" s="50">
        <v>20.506610159999997</v>
      </c>
      <c r="SS69" s="50">
        <v>20.831806489999995</v>
      </c>
      <c r="ST69" s="50">
        <f t="shared" si="55"/>
        <v>48.967008940000007</v>
      </c>
      <c r="SU69" s="50">
        <f t="shared" si="65"/>
        <v>83.003867549999995</v>
      </c>
      <c r="SV69" s="50">
        <f t="shared" si="56"/>
        <v>131.97087648999999</v>
      </c>
      <c r="SW69" s="50">
        <f t="shared" si="103"/>
        <v>42.059375000000003</v>
      </c>
      <c r="SX69" s="50">
        <v>89.911503999999994</v>
      </c>
      <c r="SY69" s="50">
        <v>131.970879</v>
      </c>
      <c r="SZ69" s="50">
        <v>2.3135430000000001</v>
      </c>
      <c r="TA69" s="50">
        <v>36.683248159999998</v>
      </c>
      <c r="TB69" s="50">
        <v>38.996791160000001</v>
      </c>
      <c r="TC69" s="50">
        <v>3.6137999999999337E-2</v>
      </c>
      <c r="TD69" s="50">
        <v>13.798879790000001</v>
      </c>
      <c r="TE69" s="50">
        <v>13.83501779</v>
      </c>
      <c r="TF69" s="50">
        <v>0.9332440099999999</v>
      </c>
      <c r="TG69" s="50">
        <v>7.3240383500000013</v>
      </c>
      <c r="TH69" s="50">
        <v>8.2572823600000014</v>
      </c>
      <c r="TI69" s="50">
        <v>7.0587481399999987</v>
      </c>
      <c r="TJ69" s="50">
        <v>18.375707269999999</v>
      </c>
      <c r="TK69" s="50">
        <v>25.434455409999998</v>
      </c>
      <c r="TL69" s="50">
        <f t="shared" si="130"/>
        <v>1.1885012099999983</v>
      </c>
      <c r="TM69" s="50">
        <v>12.606167510000001</v>
      </c>
      <c r="TN69" s="50">
        <v>13.794668719999999</v>
      </c>
      <c r="TO69" s="50">
        <v>1.1900145799999962</v>
      </c>
      <c r="TP69" s="50">
        <v>34.41767943</v>
      </c>
      <c r="TQ69" s="50">
        <v>35.607694009999996</v>
      </c>
      <c r="TR69" s="50">
        <v>8.1969961400000031</v>
      </c>
      <c r="TS69" s="50">
        <v>17.828727489999999</v>
      </c>
      <c r="TT69" s="50">
        <v>26.025723630000002</v>
      </c>
      <c r="TU69" s="50">
        <v>0.36365286000000197</v>
      </c>
      <c r="TV69" s="50">
        <v>22.79482831</v>
      </c>
      <c r="TW69" s="50">
        <v>23.158481170000002</v>
      </c>
      <c r="TX69" s="50">
        <v>0.51353884999999977</v>
      </c>
      <c r="TY69" s="50">
        <v>11.552765340000001</v>
      </c>
      <c r="TZ69" s="50">
        <v>12.06630419</v>
      </c>
      <c r="UA69" s="50">
        <v>4.4431033799999966</v>
      </c>
      <c r="UB69" s="50">
        <v>40.418381539999999</v>
      </c>
      <c r="UC69" s="50">
        <v>44.861484919999995</v>
      </c>
      <c r="UD69" s="50">
        <v>1.5475588000000009</v>
      </c>
      <c r="UE69" s="50">
        <v>10.770704979999998</v>
      </c>
      <c r="UF69" s="50">
        <v>12.318263779999999</v>
      </c>
      <c r="UG69" s="50">
        <v>3.5739135600000012</v>
      </c>
      <c r="UH69" s="50">
        <v>13.412198530000001</v>
      </c>
      <c r="UI69" s="50">
        <v>16.986112090000002</v>
      </c>
      <c r="UJ69" s="50">
        <f t="shared" si="45"/>
        <v>31.358952529999996</v>
      </c>
      <c r="UK69" s="50">
        <f t="shared" si="15"/>
        <v>239.98332670000002</v>
      </c>
      <c r="UL69" s="50">
        <f t="shared" si="16"/>
        <v>271.34227923000003</v>
      </c>
      <c r="UM69" s="50">
        <v>3.1542381000000006</v>
      </c>
      <c r="UN69" s="50">
        <v>22.038396259999999</v>
      </c>
      <c r="UO69" s="50">
        <v>25.19263436</v>
      </c>
      <c r="UP69" s="50">
        <v>0.21238404999999894</v>
      </c>
      <c r="UQ69" s="50">
        <v>13.07789273</v>
      </c>
      <c r="UR69" s="50">
        <v>13.290276779999999</v>
      </c>
      <c r="US69" s="50">
        <v>0.41813860999999974</v>
      </c>
      <c r="UT69" s="50">
        <v>11.21174911</v>
      </c>
      <c r="UU69" s="50">
        <v>11.629887719999999</v>
      </c>
      <c r="UV69" s="50">
        <v>6.8897632799999995</v>
      </c>
      <c r="UW69" s="50">
        <v>7.4488399599999999</v>
      </c>
      <c r="UX69" s="50">
        <v>14.338603239999999</v>
      </c>
      <c r="UY69" s="50"/>
      <c r="UZ69" s="50"/>
      <c r="VA69" s="50"/>
      <c r="VB69" s="50"/>
      <c r="VC69" s="50"/>
      <c r="VD69" s="50"/>
      <c r="VE69" s="50"/>
      <c r="VF69" s="50"/>
      <c r="VG69" s="50"/>
      <c r="VH69" s="50"/>
      <c r="VI69" s="50"/>
      <c r="VJ69" s="50"/>
      <c r="VK69" s="50"/>
      <c r="VL69" s="50"/>
      <c r="VM69" s="50"/>
      <c r="VN69" s="50"/>
      <c r="VO69" s="50"/>
      <c r="VP69" s="50"/>
      <c r="VQ69" s="50"/>
      <c r="VR69" s="50"/>
      <c r="VS69" s="50"/>
      <c r="VT69" s="50"/>
      <c r="VU69" s="50"/>
      <c r="VV69" s="50"/>
      <c r="VW69" s="276">
        <f t="shared" si="57"/>
        <v>10.341673</v>
      </c>
      <c r="VX69" s="292">
        <f t="shared" si="58"/>
        <v>76.181873999999993</v>
      </c>
      <c r="VY69" s="292">
        <f t="shared" si="59"/>
        <v>86.523546999999994</v>
      </c>
      <c r="VZ69" s="276">
        <f t="shared" si="60"/>
        <v>10.674524</v>
      </c>
      <c r="WA69" s="292">
        <f t="shared" si="61"/>
        <v>53.776878000000004</v>
      </c>
      <c r="WB69" s="292">
        <f t="shared" si="62"/>
        <v>64.451402000000002</v>
      </c>
      <c r="WC69" s="277">
        <f t="shared" si="112"/>
        <v>-22.072144999999992</v>
      </c>
      <c r="WD69" s="277">
        <f t="shared" si="104"/>
        <v>-25.509986316210544</v>
      </c>
    </row>
    <row r="70" spans="1:602" s="12" customFormat="1" ht="20.5">
      <c r="A70" s="319" t="s">
        <v>213</v>
      </c>
      <c r="B70" s="14">
        <v>9590</v>
      </c>
      <c r="C70" s="93" t="s">
        <v>215</v>
      </c>
      <c r="D70" s="50" t="s">
        <v>46</v>
      </c>
      <c r="E70" s="50" t="s">
        <v>46</v>
      </c>
      <c r="F70" s="50" t="s">
        <v>46</v>
      </c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>
        <v>0</v>
      </c>
      <c r="U70" s="50">
        <v>0</v>
      </c>
      <c r="V70" s="50">
        <v>0</v>
      </c>
      <c r="W70" s="50"/>
      <c r="X70" s="50">
        <v>7.2720103186667675</v>
      </c>
      <c r="Y70" s="50">
        <v>0.19301688663331618</v>
      </c>
      <c r="Z70" s="50">
        <v>0.35835737986908889</v>
      </c>
      <c r="AA70" s="50">
        <v>6.51436525687763</v>
      </c>
      <c r="AB70" s="50">
        <v>1.5706100135922512</v>
      </c>
      <c r="AC70" s="50">
        <v>1.0788398045601175</v>
      </c>
      <c r="AD70" s="50">
        <v>1.8253717252605934</v>
      </c>
      <c r="AE70" s="50">
        <v>0.20485684487078792</v>
      </c>
      <c r="AF70" s="50">
        <v>0.3808724053983692</v>
      </c>
      <c r="AG70" s="50">
        <v>4.4809932783462614</v>
      </c>
      <c r="AH70" s="50">
        <v>2.1860689751314943</v>
      </c>
      <c r="AI70" s="50">
        <v>12.57800709728313</v>
      </c>
      <c r="AJ70" s="50">
        <v>0</v>
      </c>
      <c r="AK70" s="50">
        <v>38.643369886910101</v>
      </c>
      <c r="AL70" s="50">
        <f>AJ70+AK70</f>
        <v>38.643369886910101</v>
      </c>
      <c r="AM70" s="50">
        <v>38.643369886919999</v>
      </c>
      <c r="AN70" s="45">
        <v>1.8333983799993745</v>
      </c>
      <c r="AO70" s="45">
        <v>1.4789795156154497</v>
      </c>
      <c r="AP70" s="45">
        <v>0.53196166474630147</v>
      </c>
      <c r="AQ70" s="45">
        <v>1.4238719274100866</v>
      </c>
      <c r="AR70" s="45">
        <v>2.0125915115412543</v>
      </c>
      <c r="AS70" s="45">
        <v>2.9020424016538939</v>
      </c>
      <c r="AT70" s="45">
        <v>3.8842671485653444</v>
      </c>
      <c r="AU70" s="45">
        <v>5.2501815264800982</v>
      </c>
      <c r="AV70" s="45">
        <v>1.9988534171520911E-2</v>
      </c>
      <c r="AW70" s="45">
        <v>4.7549112625039136</v>
      </c>
      <c r="AX70" s="45">
        <v>0.57099764099225681</v>
      </c>
      <c r="AY70" s="45">
        <v>8.2814649908862812</v>
      </c>
      <c r="AZ70" s="50">
        <v>1.4551709999999999E-2</v>
      </c>
      <c r="BA70" s="50">
        <v>32.930104299999996</v>
      </c>
      <c r="BB70" s="50">
        <v>32.944656009999996</v>
      </c>
      <c r="BC70" s="50">
        <f t="shared" si="21"/>
        <v>1.4551710007339125E-2</v>
      </c>
      <c r="BD70" s="50">
        <v>32.930104268046286</v>
      </c>
      <c r="BE70" s="42">
        <v>32.944655978053625</v>
      </c>
      <c r="BF70" s="95"/>
      <c r="BG70" s="95"/>
      <c r="BH70" s="95">
        <f>BF70+BG70</f>
        <v>0</v>
      </c>
      <c r="BI70" s="95"/>
      <c r="BJ70" s="95">
        <v>0.25888973999999998</v>
      </c>
      <c r="BK70" s="95">
        <f>BI70+BJ70</f>
        <v>0.25888973999999998</v>
      </c>
      <c r="BL70" s="95"/>
      <c r="BM70" s="95">
        <v>4.21553646</v>
      </c>
      <c r="BN70" s="95">
        <f>BL70+BM70</f>
        <v>4.21553646</v>
      </c>
      <c r="BO70" s="95">
        <v>7.0942000000000005E-2</v>
      </c>
      <c r="BP70" s="95">
        <v>0.19718329999999998</v>
      </c>
      <c r="BQ70" s="95">
        <f>BO70+BP70</f>
        <v>0.26812530000000001</v>
      </c>
      <c r="BR70" s="95"/>
      <c r="BS70" s="95">
        <v>0.34826919000000001</v>
      </c>
      <c r="BT70" s="95">
        <f>BR70+BS70</f>
        <v>0.34826919000000001</v>
      </c>
      <c r="BU70" s="95"/>
      <c r="BV70" s="95">
        <v>2.9237185600000002</v>
      </c>
      <c r="BW70" s="95">
        <f>BU70+BV70</f>
        <v>2.9237185600000002</v>
      </c>
      <c r="BX70" s="95">
        <v>6.0499999999999996E-4</v>
      </c>
      <c r="BY70" s="95">
        <v>6.6366000000000003E-3</v>
      </c>
      <c r="BZ70" s="95">
        <f>BX70+BY70</f>
        <v>7.2415999999999999E-3</v>
      </c>
      <c r="CA70" s="95"/>
      <c r="CB70" s="95">
        <v>2.7583997999999998</v>
      </c>
      <c r="CC70" s="95">
        <f>CA70+CB70</f>
        <v>2.7583997999999998</v>
      </c>
      <c r="CD70" s="95"/>
      <c r="CE70" s="95">
        <v>0.22087820000000002</v>
      </c>
      <c r="CF70" s="95">
        <f>CD70+CE70</f>
        <v>0.22087820000000002</v>
      </c>
      <c r="CG70" s="95">
        <v>1.5805E-2</v>
      </c>
      <c r="CH70" s="95">
        <v>1.1940142799999998</v>
      </c>
      <c r="CI70" s="95">
        <f>CG70+CH70</f>
        <v>1.2098192799999998</v>
      </c>
      <c r="CJ70" s="44"/>
      <c r="CK70" s="44">
        <v>6.1211931099999992</v>
      </c>
      <c r="CL70" s="44">
        <f>CJ70+CK70</f>
        <v>6.1211931099999992</v>
      </c>
      <c r="CM70" s="44">
        <v>1.2749760000000001</v>
      </c>
      <c r="CN70" s="44">
        <v>13.451128710000001</v>
      </c>
      <c r="CO70" s="44">
        <f>CM70+CN70</f>
        <v>14.726104710000001</v>
      </c>
      <c r="CP70" s="50">
        <f t="shared" si="24"/>
        <v>1.3623280000000002</v>
      </c>
      <c r="CQ70" s="50">
        <f t="shared" si="25"/>
        <v>31.695847950000001</v>
      </c>
      <c r="CR70" s="50">
        <f t="shared" si="26"/>
        <v>33.058175949999999</v>
      </c>
      <c r="CS70" s="50">
        <f>CU70-CT70</f>
        <v>1.3623280000000015</v>
      </c>
      <c r="CT70" s="50">
        <v>31.695848000000002</v>
      </c>
      <c r="CU70" s="42">
        <v>33.058176000000003</v>
      </c>
      <c r="CV70" s="44">
        <v>5.0000000000000001E-3</v>
      </c>
      <c r="CW70" s="44">
        <v>0.23521079</v>
      </c>
      <c r="CX70" s="44">
        <f>CV70+CW70</f>
        <v>0.24021079000000001</v>
      </c>
      <c r="CY70" s="44">
        <v>0</v>
      </c>
      <c r="CZ70" s="44">
        <v>0.56607576999999998</v>
      </c>
      <c r="DA70" s="44">
        <v>0.56607576999999998</v>
      </c>
      <c r="DB70" s="44">
        <v>0</v>
      </c>
      <c r="DC70" s="44">
        <v>0.91694827000000001</v>
      </c>
      <c r="DD70" s="44">
        <v>0.91694827000000001</v>
      </c>
      <c r="DE70" s="44">
        <v>9.3228000000000005E-2</v>
      </c>
      <c r="DF70" s="44">
        <v>2.6936110899999997</v>
      </c>
      <c r="DG70" s="44">
        <v>2.7868390899999995</v>
      </c>
      <c r="DH70" s="44">
        <v>0</v>
      </c>
      <c r="DI70" s="44">
        <v>0.85028118999999991</v>
      </c>
      <c r="DJ70" s="44">
        <v>0.85028118999999991</v>
      </c>
      <c r="DK70" s="44">
        <v>0</v>
      </c>
      <c r="DL70" s="44">
        <v>5.7183358499999999</v>
      </c>
      <c r="DM70" s="44">
        <v>5.7183358499999999</v>
      </c>
      <c r="DN70" s="44">
        <v>1.3028E-2</v>
      </c>
      <c r="DO70" s="44">
        <v>2.2108100899999998</v>
      </c>
      <c r="DP70" s="44">
        <v>2.2238380899999997</v>
      </c>
      <c r="DQ70" s="44">
        <v>1.03E-2</v>
      </c>
      <c r="DR70" s="44">
        <v>2.7670440200000002</v>
      </c>
      <c r="DS70" s="44">
        <v>2.7773440200000001</v>
      </c>
      <c r="DT70" s="44">
        <v>3.6740000000000002E-2</v>
      </c>
      <c r="DU70" s="44">
        <v>2.5366274100000004</v>
      </c>
      <c r="DV70" s="44">
        <v>2.5733674100000004</v>
      </c>
      <c r="DW70" s="44">
        <v>3.1E-2</v>
      </c>
      <c r="DX70" s="44">
        <v>0.22177321999999999</v>
      </c>
      <c r="DY70" s="44">
        <v>0.25277322000000002</v>
      </c>
      <c r="DZ70" s="44">
        <v>1.4868980000000001</v>
      </c>
      <c r="EA70" s="44">
        <v>-3.7286165900000001</v>
      </c>
      <c r="EB70" s="44">
        <v>-2.2417185900000001</v>
      </c>
      <c r="EC70" s="44">
        <v>0.33075399999999999</v>
      </c>
      <c r="ED70" s="44">
        <v>3.1287787699999998</v>
      </c>
      <c r="EE70" s="44">
        <v>3.45953277</v>
      </c>
      <c r="EF70" s="50">
        <f t="shared" si="27"/>
        <v>2.0069480000000004</v>
      </c>
      <c r="EG70" s="50">
        <f t="shared" si="28"/>
        <v>18.116879879999999</v>
      </c>
      <c r="EH70" s="50">
        <f t="shared" si="29"/>
        <v>20.123827879999997</v>
      </c>
      <c r="EI70" s="50">
        <f>EK70-EJ70</f>
        <v>2.0069481200000006</v>
      </c>
      <c r="EJ70" s="50">
        <v>18.116879879999999</v>
      </c>
      <c r="EK70" s="50">
        <f>20.123828</f>
        <v>20.123828</v>
      </c>
      <c r="EL70" s="50">
        <v>9.4200999999999993E-2</v>
      </c>
      <c r="EM70" s="50">
        <v>0.11351497000000001</v>
      </c>
      <c r="EN70" s="50">
        <v>0.20771597</v>
      </c>
      <c r="EO70" s="50">
        <v>0</v>
      </c>
      <c r="EP70" s="50">
        <v>0.19056157999999998</v>
      </c>
      <c r="EQ70" s="50">
        <v>0.19056157999999998</v>
      </c>
      <c r="ER70" s="50">
        <v>0</v>
      </c>
      <c r="ES70" s="50">
        <v>2.78573242</v>
      </c>
      <c r="ET70" s="50">
        <v>2.78573242</v>
      </c>
      <c r="EU70" s="50">
        <v>0.164575</v>
      </c>
      <c r="EV70" s="50">
        <v>10.366622380000001</v>
      </c>
      <c r="EW70" s="50">
        <v>10.53119738</v>
      </c>
      <c r="EX70" s="50">
        <v>0.25584099999999999</v>
      </c>
      <c r="EY70" s="50">
        <v>0</v>
      </c>
      <c r="EZ70" s="50">
        <v>0.25584099999999999</v>
      </c>
      <c r="FA70" s="50">
        <v>0</v>
      </c>
      <c r="FB70" s="50">
        <v>0</v>
      </c>
      <c r="FC70" s="50">
        <v>0</v>
      </c>
      <c r="FD70" s="50">
        <v>0</v>
      </c>
      <c r="FE70" s="50">
        <v>0</v>
      </c>
      <c r="FF70" s="50">
        <v>0</v>
      </c>
      <c r="FG70" s="50">
        <v>5.1734000000000002E-2</v>
      </c>
      <c r="FH70" s="50">
        <v>0</v>
      </c>
      <c r="FI70" s="50">
        <v>5.1734000000000002E-2</v>
      </c>
      <c r="FJ70" s="50">
        <v>0</v>
      </c>
      <c r="FK70" s="50">
        <v>0</v>
      </c>
      <c r="FL70" s="50">
        <v>0</v>
      </c>
      <c r="FM70" s="94">
        <v>0.134433</v>
      </c>
      <c r="FN70" s="50">
        <v>0</v>
      </c>
      <c r="FO70" s="94">
        <v>0.134433</v>
      </c>
      <c r="FP70" s="50">
        <v>0</v>
      </c>
      <c r="FQ70" s="50">
        <v>0</v>
      </c>
      <c r="FR70" s="50">
        <v>0</v>
      </c>
      <c r="FS70" s="50">
        <v>1.6063000000000001E-2</v>
      </c>
      <c r="FT70" s="50">
        <v>0</v>
      </c>
      <c r="FU70" s="94">
        <v>1.6063000000000001E-2</v>
      </c>
      <c r="FV70" s="50">
        <f t="shared" si="30"/>
        <v>0.71684700000000012</v>
      </c>
      <c r="FW70" s="50">
        <f t="shared" si="31"/>
        <v>13.456431350000001</v>
      </c>
      <c r="FX70" s="50">
        <f t="shared" si="32"/>
        <v>14.17327835</v>
      </c>
      <c r="FY70" s="50">
        <f>GA70-FZ70</f>
        <v>0.70500099999999932</v>
      </c>
      <c r="FZ70" s="50">
        <v>13.456431</v>
      </c>
      <c r="GA70" s="50">
        <v>14.161432</v>
      </c>
      <c r="GB70" s="50">
        <v>3.5713000000000002E-2</v>
      </c>
      <c r="GC70" s="50">
        <v>0</v>
      </c>
      <c r="GD70" s="94">
        <v>3.5713000000000002E-2</v>
      </c>
      <c r="GE70" s="50">
        <v>1E-3</v>
      </c>
      <c r="GF70" s="50">
        <v>2.3054690000000003E-2</v>
      </c>
      <c r="GG70" s="50">
        <v>2.4054690000000004E-2</v>
      </c>
      <c r="GH70" s="50">
        <v>5.0000000000000001E-4</v>
      </c>
      <c r="GI70" s="50">
        <v>0</v>
      </c>
      <c r="GJ70" s="50">
        <v>5.0000000000000001E-4</v>
      </c>
      <c r="GK70" s="50">
        <v>9.9090999999999999E-2</v>
      </c>
      <c r="GL70" s="50">
        <v>0</v>
      </c>
      <c r="GM70" s="50">
        <v>9.9090999999999999E-2</v>
      </c>
      <c r="GN70" s="50">
        <v>5.0000000000000001E-4</v>
      </c>
      <c r="GO70" s="50">
        <v>0</v>
      </c>
      <c r="GP70" s="50">
        <v>5.0000000000000001E-4</v>
      </c>
      <c r="GQ70" s="50">
        <v>5.0000000000000001E-4</v>
      </c>
      <c r="GR70" s="50">
        <v>1.6299999999999999E-3</v>
      </c>
      <c r="GS70" s="50">
        <v>2.1299999999999999E-3</v>
      </c>
      <c r="GT70" s="50">
        <v>5.2090999999999998E-2</v>
      </c>
      <c r="GU70" s="50">
        <v>0.72</v>
      </c>
      <c r="GV70" s="50">
        <v>0.77209099999999997</v>
      </c>
      <c r="GW70" s="50">
        <v>5.0000000000000001E-4</v>
      </c>
      <c r="GX70" s="50">
        <v>2.9127139999999999E-2</v>
      </c>
      <c r="GY70" s="50">
        <v>2.962714E-2</v>
      </c>
      <c r="GZ70" s="50">
        <v>5.0000000000000001E-4</v>
      </c>
      <c r="HA70" s="50">
        <v>0.12376155999999999</v>
      </c>
      <c r="HB70" s="50">
        <v>0.12426155999999999</v>
      </c>
      <c r="HC70" s="50">
        <v>5.2089999999999997E-2</v>
      </c>
      <c r="HD70" s="50">
        <v>2.1944272900000001</v>
      </c>
      <c r="HE70" s="50">
        <v>2.2465172900000003</v>
      </c>
      <c r="HF70" s="50">
        <v>0.27894999999999998</v>
      </c>
      <c r="HG70" s="50">
        <v>3.5469251600000002</v>
      </c>
      <c r="HH70" s="50">
        <v>3.8258751600000003</v>
      </c>
      <c r="HI70" s="50">
        <v>3.8429140899999998</v>
      </c>
      <c r="HJ70" s="50">
        <v>10.40261377</v>
      </c>
      <c r="HK70" s="50">
        <v>14.245527859999999</v>
      </c>
      <c r="HL70" s="50">
        <f t="shared" si="33"/>
        <v>4.3643490900000002</v>
      </c>
      <c r="HM70" s="50">
        <f t="shared" si="34"/>
        <v>17.041539610000001</v>
      </c>
      <c r="HN70" s="50">
        <f t="shared" si="35"/>
        <v>21.405888699999998</v>
      </c>
      <c r="HO70" s="50">
        <f t="shared" si="96"/>
        <v>2.1844929999999998</v>
      </c>
      <c r="HP70" s="50">
        <v>17.041540000000001</v>
      </c>
      <c r="HQ70" s="50">
        <v>19.226033000000001</v>
      </c>
      <c r="HR70" s="50">
        <v>1.1712999999999999E-2</v>
      </c>
      <c r="HS70" s="50">
        <v>1.2009111299999999</v>
      </c>
      <c r="HT70" s="50">
        <v>1.2126241299999998</v>
      </c>
      <c r="HU70" s="50">
        <v>1.5E-3</v>
      </c>
      <c r="HV70" s="50">
        <v>7.8432779999999994E-2</v>
      </c>
      <c r="HW70" s="50">
        <v>7.9932779999999995E-2</v>
      </c>
      <c r="HX70" s="50">
        <v>0</v>
      </c>
      <c r="HY70" s="50">
        <v>1.96992221</v>
      </c>
      <c r="HZ70" s="50">
        <v>1.96992221</v>
      </c>
      <c r="IA70" s="50">
        <v>0.153091</v>
      </c>
      <c r="IB70" s="50">
        <v>4.4028144600000001</v>
      </c>
      <c r="IC70" s="50">
        <v>4.55590546</v>
      </c>
      <c r="ID70" s="50">
        <v>0</v>
      </c>
      <c r="IE70" s="50">
        <v>6.9639432800000005</v>
      </c>
      <c r="IF70" s="50">
        <v>6.9639432800000005</v>
      </c>
      <c r="IG70" s="50">
        <v>0</v>
      </c>
      <c r="IH70" s="50">
        <v>11.13351847</v>
      </c>
      <c r="II70" s="50">
        <v>11.13351847</v>
      </c>
      <c r="IJ70" s="50">
        <v>9.9090999999999999E-2</v>
      </c>
      <c r="IK70" s="50">
        <v>3.8785168900000002</v>
      </c>
      <c r="IL70" s="50">
        <v>3.9776078900000003</v>
      </c>
      <c r="IM70" s="50">
        <v>0</v>
      </c>
      <c r="IN70" s="50">
        <v>4.6573635300000005</v>
      </c>
      <c r="IO70" s="50">
        <v>4.6573635300000005</v>
      </c>
      <c r="IP70" s="50">
        <v>0</v>
      </c>
      <c r="IQ70" s="50">
        <v>2.8373343900000001</v>
      </c>
      <c r="IR70" s="50">
        <v>2.8373343900000001</v>
      </c>
      <c r="IS70" s="50">
        <v>2.5878999999999999E-2</v>
      </c>
      <c r="IT70" s="50">
        <v>3.3564880800000001</v>
      </c>
      <c r="IU70" s="50">
        <v>3.3823670799999999</v>
      </c>
      <c r="IV70" s="50">
        <v>0.255407</v>
      </c>
      <c r="IW70" s="50">
        <v>6.8585484900000004</v>
      </c>
      <c r="IX70" s="50">
        <v>7.1139554900000004</v>
      </c>
      <c r="IY70" s="50">
        <v>-8.0400000000000003E-4</v>
      </c>
      <c r="IZ70" s="50">
        <v>4.5973528199999993</v>
      </c>
      <c r="JA70" s="50">
        <v>4.5965488199999998</v>
      </c>
      <c r="JB70" s="50">
        <f t="shared" si="36"/>
        <v>0.54587699999999995</v>
      </c>
      <c r="JC70" s="50">
        <f t="shared" si="37"/>
        <v>51.935146529999997</v>
      </c>
      <c r="JD70" s="50">
        <f t="shared" si="38"/>
        <v>52.481023530000009</v>
      </c>
      <c r="JE70" s="50">
        <f t="shared" si="97"/>
        <v>0.54587700000000439</v>
      </c>
      <c r="JF70" s="50">
        <v>51.935147000000001</v>
      </c>
      <c r="JG70" s="50">
        <f>52.466678+0.014346</f>
        <v>52.481024000000005</v>
      </c>
      <c r="JH70" s="50">
        <v>7.1100000000000004E-4</v>
      </c>
      <c r="JI70" s="50">
        <v>9.1280840999999988</v>
      </c>
      <c r="JJ70" s="50">
        <v>9.1287950999999996</v>
      </c>
      <c r="JK70" s="50">
        <v>2.6938E-2</v>
      </c>
      <c r="JL70" s="50">
        <v>5.0704259</v>
      </c>
      <c r="JM70" s="50">
        <v>5.0973639000000004</v>
      </c>
      <c r="JN70" s="50">
        <v>0</v>
      </c>
      <c r="JO70" s="50">
        <v>1.8914567899999999</v>
      </c>
      <c r="JP70" s="50">
        <v>1.8914567899999999</v>
      </c>
      <c r="JQ70" s="50">
        <v>0.14364199999999999</v>
      </c>
      <c r="JR70" s="50">
        <v>10.15656557</v>
      </c>
      <c r="JS70" s="50">
        <v>10.30020757</v>
      </c>
      <c r="JT70" s="50">
        <v>0</v>
      </c>
      <c r="JU70" s="50">
        <v>3.6025790199999999</v>
      </c>
      <c r="JV70" s="50">
        <v>3.6025790199999999</v>
      </c>
      <c r="JW70" s="50">
        <v>0</v>
      </c>
      <c r="JX70" s="50">
        <v>3.4155662499999999</v>
      </c>
      <c r="JY70" s="50">
        <v>3.4155662499999999</v>
      </c>
      <c r="JZ70" s="50">
        <v>0.116089</v>
      </c>
      <c r="KA70" s="50">
        <v>6.3970373700000005</v>
      </c>
      <c r="KB70" s="50">
        <v>6.5131263700000002</v>
      </c>
      <c r="KC70" s="50">
        <v>0</v>
      </c>
      <c r="KD70" s="50">
        <v>3.9563881099999998</v>
      </c>
      <c r="KE70" s="50">
        <v>3.9563881099999998</v>
      </c>
      <c r="KF70" s="50">
        <v>0</v>
      </c>
      <c r="KG70" s="50">
        <v>2.7734891100000003</v>
      </c>
      <c r="KH70" s="50">
        <v>2.7734891100000003</v>
      </c>
      <c r="KI70" s="50">
        <v>3.7857000000000002E-2</v>
      </c>
      <c r="KJ70" s="50">
        <v>6.31693295</v>
      </c>
      <c r="KK70" s="50">
        <v>6.3547899499999998</v>
      </c>
      <c r="KL70" s="50">
        <v>-7.1999999999999998E-3</v>
      </c>
      <c r="KM70" s="50">
        <v>0.45545770000000002</v>
      </c>
      <c r="KN70" s="50">
        <v>0.44825770000000004</v>
      </c>
      <c r="KO70" s="50">
        <v>0</v>
      </c>
      <c r="KP70" s="50">
        <v>3.3932315899999996</v>
      </c>
      <c r="KQ70" s="50">
        <v>3.3932315899999996</v>
      </c>
      <c r="KR70" s="50">
        <f t="shared" si="48"/>
        <v>0.31803700000000001</v>
      </c>
      <c r="KS70" s="50">
        <f t="shared" si="39"/>
        <v>56.55721445999999</v>
      </c>
      <c r="KT70" s="50">
        <f t="shared" si="49"/>
        <v>56.875251459999994</v>
      </c>
      <c r="KU70" s="50">
        <f t="shared" si="98"/>
        <v>0.31803699999999679</v>
      </c>
      <c r="KV70" s="50">
        <v>56.557214000000002</v>
      </c>
      <c r="KW70" s="50">
        <f>56.557214+0.318037</f>
        <v>56.875250999999999</v>
      </c>
      <c r="KX70" s="50">
        <v>6.1212000000000003E-2</v>
      </c>
      <c r="KY70" s="50">
        <v>0.94066278999999997</v>
      </c>
      <c r="KZ70" s="50">
        <v>1.00187479</v>
      </c>
      <c r="LA70" s="50">
        <v>0</v>
      </c>
      <c r="LB70" s="50">
        <v>7.1224279900000003</v>
      </c>
      <c r="LC70" s="50">
        <v>7.1224279900000003</v>
      </c>
      <c r="LD70" s="50">
        <v>0</v>
      </c>
      <c r="LE70" s="50">
        <v>1.2223757200000001</v>
      </c>
      <c r="LF70" s="50">
        <v>1.2223757200000001</v>
      </c>
      <c r="LG70" s="50">
        <v>0.15173200000000001</v>
      </c>
      <c r="LH70" s="50">
        <v>2.4459722899999998</v>
      </c>
      <c r="LI70" s="174">
        <v>2.5977042900000002</v>
      </c>
      <c r="LJ70" s="174">
        <v>-0.01</v>
      </c>
      <c r="LK70" s="174">
        <v>3.8004920200000001</v>
      </c>
      <c r="LL70" s="174">
        <v>3.7904920199999999</v>
      </c>
      <c r="LM70" s="50">
        <v>0</v>
      </c>
      <c r="LN70" s="50">
        <v>1.7963665500000001</v>
      </c>
      <c r="LO70" s="50">
        <v>1.7963665500000001</v>
      </c>
      <c r="LP70" s="44">
        <v>0.188528</v>
      </c>
      <c r="LQ70" s="44">
        <v>2.8074533599999998</v>
      </c>
      <c r="LR70" s="44">
        <v>2.99598136</v>
      </c>
      <c r="LS70" s="52">
        <v>0</v>
      </c>
      <c r="LT70" s="44">
        <v>2.4441903000000003</v>
      </c>
      <c r="LU70" s="49">
        <v>2.4441903000000003</v>
      </c>
      <c r="LV70" s="44">
        <v>0</v>
      </c>
      <c r="LW70" s="44">
        <v>1.4777760200000001</v>
      </c>
      <c r="LX70" s="44">
        <v>1.4777760200000001</v>
      </c>
      <c r="LY70" s="44">
        <v>0.73400100000000001</v>
      </c>
      <c r="LZ70" s="44">
        <v>0.72317482999999994</v>
      </c>
      <c r="MA70" s="44">
        <v>1.4571758300000002</v>
      </c>
      <c r="MB70" s="44">
        <v>8.0100000000000005E-2</v>
      </c>
      <c r="MC70" s="44">
        <v>0.6170659300000001</v>
      </c>
      <c r="MD70" s="44">
        <v>0.69716593000000004</v>
      </c>
      <c r="ME70" s="44">
        <v>-5.4609360000000003E-2</v>
      </c>
      <c r="MF70" s="44">
        <v>4.1098245499999999</v>
      </c>
      <c r="MG70" s="44">
        <v>4.0552151900000002</v>
      </c>
      <c r="MH70" s="50">
        <f t="shared" si="66"/>
        <v>1.1509636400000001</v>
      </c>
      <c r="MI70" s="50">
        <f t="shared" si="50"/>
        <v>29.507782349999999</v>
      </c>
      <c r="MJ70" s="50">
        <f t="shared" si="51"/>
        <v>30.658745990000007</v>
      </c>
      <c r="MK70" s="50">
        <f t="shared" si="99"/>
        <v>1.1509630000000008</v>
      </c>
      <c r="ML70" s="50">
        <v>29.507781999999999</v>
      </c>
      <c r="MM70" s="50">
        <f>29.507782+1.150963</f>
        <v>30.658745</v>
      </c>
      <c r="MN70" s="44">
        <v>5.0000000000000001E-3</v>
      </c>
      <c r="MO70" s="44">
        <v>2.8766811899999998</v>
      </c>
      <c r="MP70" s="44">
        <v>2.8816811900000001</v>
      </c>
      <c r="MQ70" s="44">
        <v>0</v>
      </c>
      <c r="MR70" s="44">
        <v>1.2745504699999999</v>
      </c>
      <c r="MS70" s="44">
        <v>1.2745504699999999</v>
      </c>
      <c r="MT70" s="179"/>
      <c r="MU70" s="44">
        <v>0.76292086999999997</v>
      </c>
      <c r="MV70" s="44">
        <v>0.76292086999999997</v>
      </c>
      <c r="MW70" s="44">
        <v>7.9381300000000002E-2</v>
      </c>
      <c r="MX70" s="44">
        <v>2.1795272900000002</v>
      </c>
      <c r="MY70" s="44">
        <v>2.2589085899999999</v>
      </c>
      <c r="MZ70" s="44">
        <v>1.3828999999999999E-2</v>
      </c>
      <c r="NA70" s="44">
        <v>0.68827367000000006</v>
      </c>
      <c r="NB70" s="44">
        <v>0.70210267000000004</v>
      </c>
      <c r="NC70" s="44">
        <v>1.3056255000000001</v>
      </c>
      <c r="ND70" s="44">
        <v>1.8866504199999998</v>
      </c>
      <c r="NE70" s="44">
        <v>3.1922759199999997</v>
      </c>
      <c r="NF70" s="44">
        <v>0.10129802</v>
      </c>
      <c r="NG70" s="44">
        <v>2.3614675800000002</v>
      </c>
      <c r="NH70" s="44">
        <v>2.4627656</v>
      </c>
      <c r="NI70" s="44">
        <v>2.8917849900000001</v>
      </c>
      <c r="NJ70" s="44">
        <v>3.5022946699999999</v>
      </c>
      <c r="NK70" s="44">
        <v>6.3940796600000001</v>
      </c>
      <c r="NL70" s="44">
        <v>0</v>
      </c>
      <c r="NM70" s="44">
        <v>1.1002311899999999</v>
      </c>
      <c r="NN70" s="44">
        <v>1.1002311899999999</v>
      </c>
      <c r="NO70" s="44">
        <v>4.8828000000000003E-2</v>
      </c>
      <c r="NP70" s="44">
        <v>3.7900309000000001</v>
      </c>
      <c r="NQ70" s="44">
        <v>3.8388589</v>
      </c>
      <c r="NR70" s="44">
        <v>0.43250100000000002</v>
      </c>
      <c r="NS70" s="44">
        <v>1.5632027500000001</v>
      </c>
      <c r="NT70" s="44">
        <v>1.9957037500000001</v>
      </c>
      <c r="NU70" s="44">
        <v>0.78235343999999996</v>
      </c>
      <c r="NV70" s="44">
        <v>2.5742944400000001</v>
      </c>
      <c r="NW70" s="44">
        <v>3.3566478799999997</v>
      </c>
      <c r="NX70" s="50">
        <f t="shared" si="117"/>
        <v>5.6606012500000009</v>
      </c>
      <c r="NY70" s="50">
        <f t="shared" si="40"/>
        <v>24.56012544</v>
      </c>
      <c r="NZ70" s="50">
        <f t="shared" si="41"/>
        <v>30.220726689999999</v>
      </c>
      <c r="OA70" s="50">
        <f t="shared" si="100"/>
        <v>5.6606009999999998</v>
      </c>
      <c r="OB70" s="50">
        <v>24.560126</v>
      </c>
      <c r="OC70" s="50">
        <f>24.560126+5.660601</f>
        <v>30.220727</v>
      </c>
      <c r="OD70" s="44">
        <v>6.9859999999999998</v>
      </c>
      <c r="OE70" s="44">
        <v>2.9993265700000005</v>
      </c>
      <c r="OF70" s="44">
        <v>9.9853265699999998</v>
      </c>
      <c r="OG70" s="50">
        <v>4.5765187999999997</v>
      </c>
      <c r="OH70" s="44">
        <v>0.7068567</v>
      </c>
      <c r="OI70" s="44">
        <v>5.2833755</v>
      </c>
      <c r="OJ70" s="44">
        <f t="shared" si="107"/>
        <v>6.1093355000000003</v>
      </c>
      <c r="OK70" s="44">
        <v>0.77522301000000005</v>
      </c>
      <c r="OL70" s="44">
        <v>6.8845585100000006</v>
      </c>
      <c r="OM70" s="44">
        <v>0.95391900000000007</v>
      </c>
      <c r="ON70" s="44">
        <v>0.66617539999999997</v>
      </c>
      <c r="OO70" s="44">
        <v>1.6200944000000002</v>
      </c>
      <c r="OP70" s="44"/>
      <c r="OQ70" s="44">
        <v>2.21300988</v>
      </c>
      <c r="OR70" s="44">
        <v>2.21300988</v>
      </c>
      <c r="OS70" s="44"/>
      <c r="OT70" s="44">
        <v>0.42511051</v>
      </c>
      <c r="OU70" s="44">
        <v>0.42511051</v>
      </c>
      <c r="OV70" s="44">
        <v>0.86853199999999997</v>
      </c>
      <c r="OW70" s="44">
        <v>0.44194810999999995</v>
      </c>
      <c r="OX70" s="44">
        <v>1.3104801100000001</v>
      </c>
      <c r="OY70" s="95">
        <v>9.6090000000000009E-2</v>
      </c>
      <c r="OZ70" s="95">
        <v>1.0303188599999999</v>
      </c>
      <c r="PA70" s="95">
        <v>1.12640886</v>
      </c>
      <c r="PB70" s="44">
        <v>6.6420000000000003E-3</v>
      </c>
      <c r="PC70" s="44">
        <v>5.6419950000000003E-2</v>
      </c>
      <c r="PD70" s="44">
        <v>6.3061950000000006E-2</v>
      </c>
      <c r="PE70" s="44">
        <v>4.0127280000000001</v>
      </c>
      <c r="PF70" s="44">
        <v>0.40940074000000004</v>
      </c>
      <c r="PG70" s="44">
        <v>4.4221287399999998</v>
      </c>
      <c r="PH70" s="44">
        <v>1.2354736999999998</v>
      </c>
      <c r="PI70" s="44">
        <v>1.4232442000000001</v>
      </c>
      <c r="PJ70" s="44">
        <v>2.6587178999999996</v>
      </c>
      <c r="PK70" s="44">
        <v>0.53462718999999992</v>
      </c>
      <c r="PL70" s="44">
        <v>2.3631035399999996</v>
      </c>
      <c r="PM70" s="44">
        <v>2.8977307300000001</v>
      </c>
      <c r="PN70" s="50">
        <f t="shared" si="122"/>
        <v>25.379866189999994</v>
      </c>
      <c r="PO70" s="50">
        <f t="shared" si="108"/>
        <v>13.510137470000002</v>
      </c>
      <c r="PP70" s="50">
        <f t="shared" si="116"/>
        <v>38.890003660000005</v>
      </c>
      <c r="PQ70" s="50">
        <f t="shared" si="118"/>
        <v>25.379866529999994</v>
      </c>
      <c r="PR70" s="50">
        <v>13.510137470000002</v>
      </c>
      <c r="PS70" s="50">
        <v>38.890003999999998</v>
      </c>
      <c r="PT70" s="44">
        <v>6.0000000000000001E-3</v>
      </c>
      <c r="PU70" s="44">
        <v>0.32302225000000001</v>
      </c>
      <c r="PV70" s="44">
        <v>0.32902225000000002</v>
      </c>
      <c r="PW70" s="44">
        <v>5.0346000000000002E-2</v>
      </c>
      <c r="PX70" s="44">
        <v>0.23577004000000001</v>
      </c>
      <c r="PY70" s="44">
        <v>0.28611604000000002</v>
      </c>
      <c r="PZ70" s="44"/>
      <c r="QA70" s="44">
        <v>0.24262727000000001</v>
      </c>
      <c r="QB70" s="44">
        <v>0.24262727000000001</v>
      </c>
      <c r="QC70" s="44">
        <v>0.38550099999999998</v>
      </c>
      <c r="QD70" s="44">
        <v>0.43916017000000002</v>
      </c>
      <c r="QE70" s="44">
        <v>0.82466116999999994</v>
      </c>
      <c r="QF70" s="50">
        <v>0</v>
      </c>
      <c r="QG70" s="44">
        <v>0.10206636000000001</v>
      </c>
      <c r="QH70" s="44">
        <v>0.10206636000000001</v>
      </c>
      <c r="QI70" s="50">
        <v>4.3885494000000005</v>
      </c>
      <c r="QJ70" s="44">
        <v>0.23186155</v>
      </c>
      <c r="QK70" s="44">
        <v>4.6204109500000001</v>
      </c>
      <c r="QL70" s="44">
        <v>0.141982</v>
      </c>
      <c r="QM70" s="44">
        <v>5.1952000000000005E-2</v>
      </c>
      <c r="QN70" s="44">
        <v>0.193934</v>
      </c>
      <c r="QO70" s="50">
        <v>0.62969799999999987</v>
      </c>
      <c r="QP70" s="44">
        <v>0.51183095000000001</v>
      </c>
      <c r="QQ70" s="44">
        <v>1.1415289499999999</v>
      </c>
      <c r="QR70" s="44">
        <v>7.8599189999999999E-2</v>
      </c>
      <c r="QS70" s="44">
        <v>0.91114409000000007</v>
      </c>
      <c r="QT70" s="44">
        <v>0.98974328000000011</v>
      </c>
      <c r="QU70" s="50">
        <v>1.0119850000000001</v>
      </c>
      <c r="QV70" s="44">
        <v>0.14477714999999999</v>
      </c>
      <c r="QW70" s="44">
        <v>1.15676215</v>
      </c>
      <c r="QX70" s="50">
        <v>0.57931563999999991</v>
      </c>
      <c r="QY70" s="44">
        <v>1.0071E-2</v>
      </c>
      <c r="QZ70" s="44">
        <v>0.58938663999999996</v>
      </c>
      <c r="RA70" s="50">
        <v>0.59183881000000027</v>
      </c>
      <c r="RB70" s="44">
        <v>0.28402107999999998</v>
      </c>
      <c r="RC70" s="44">
        <v>0.8758598900000002</v>
      </c>
      <c r="RD70" s="50">
        <f t="shared" si="52"/>
        <v>7.8638150400000004</v>
      </c>
      <c r="RE70" s="50">
        <f t="shared" si="53"/>
        <v>3.4883039100000004</v>
      </c>
      <c r="RF70" s="50">
        <f t="shared" si="54"/>
        <v>11.352118950000001</v>
      </c>
      <c r="RG70" s="50">
        <f t="shared" si="119"/>
        <v>7.8638149999999989</v>
      </c>
      <c r="RH70" s="50">
        <v>3.488305</v>
      </c>
      <c r="RI70" s="50">
        <f>7.863815+3.488305</f>
        <v>11.352119999999999</v>
      </c>
      <c r="RJ70" s="50">
        <v>0.66678102000000006</v>
      </c>
      <c r="RK70" s="50">
        <v>7.46E-2</v>
      </c>
      <c r="RL70" s="50">
        <v>0.74138102000000006</v>
      </c>
      <c r="RM70" s="50">
        <v>4.5373999999999998E-2</v>
      </c>
      <c r="RN70" s="50">
        <v>0.107145</v>
      </c>
      <c r="RO70" s="50">
        <v>0.15251900000000002</v>
      </c>
      <c r="RP70" s="50">
        <v>0.42441400000000001</v>
      </c>
      <c r="RQ70" s="50">
        <v>0.32497138000000003</v>
      </c>
      <c r="RR70" s="50">
        <v>0.74938537999999999</v>
      </c>
      <c r="RS70" s="50">
        <v>5.1828999999999681E-2</v>
      </c>
      <c r="RT70" s="50">
        <v>4.0016413000000002</v>
      </c>
      <c r="RU70" s="50">
        <v>4.0534702999999999</v>
      </c>
      <c r="RV70" s="50">
        <v>5.0484637999999995</v>
      </c>
      <c r="RW70" s="50">
        <v>1.3059999999999999E-3</v>
      </c>
      <c r="RX70" s="50">
        <v>5.0497697999999991</v>
      </c>
      <c r="RY70" s="50">
        <v>0</v>
      </c>
      <c r="RZ70" s="50">
        <v>1.4404E-2</v>
      </c>
      <c r="SA70" s="50">
        <v>1.4404E-2</v>
      </c>
      <c r="SB70" s="50">
        <v>0.374803</v>
      </c>
      <c r="SC70" s="50">
        <v>1.0813810699999999</v>
      </c>
      <c r="SD70" s="50">
        <v>1.4561840699999999</v>
      </c>
      <c r="SE70" s="50">
        <v>0</v>
      </c>
      <c r="SF70" s="50">
        <v>0.53678358999999998</v>
      </c>
      <c r="SG70" s="50">
        <v>0.53678358999999998</v>
      </c>
      <c r="SH70" s="50">
        <v>0.131104</v>
      </c>
      <c r="SI70" s="50">
        <v>0.31667321000000004</v>
      </c>
      <c r="SJ70" s="50">
        <v>0.44777721000000004</v>
      </c>
      <c r="SK70" s="50">
        <v>0.28747999999999996</v>
      </c>
      <c r="SL70" s="50">
        <v>0.13125085</v>
      </c>
      <c r="SM70" s="50">
        <v>0.41873084999999993</v>
      </c>
      <c r="SN70" s="50">
        <v>0.58295219999999992</v>
      </c>
      <c r="SO70" s="50">
        <v>3.6931890000000002E-2</v>
      </c>
      <c r="SP70" s="50">
        <v>0.61988408999999989</v>
      </c>
      <c r="SQ70" s="50">
        <v>0.39833125999999996</v>
      </c>
      <c r="SR70" s="50">
        <v>0.28054665000000001</v>
      </c>
      <c r="SS70" s="50">
        <v>0.67887790999999997</v>
      </c>
      <c r="ST70" s="50">
        <f t="shared" si="55"/>
        <v>8.0115322799999991</v>
      </c>
      <c r="SU70" s="50">
        <f t="shared" si="65"/>
        <v>6.9076349399999994</v>
      </c>
      <c r="SV70" s="50">
        <f t="shared" si="56"/>
        <v>14.919167219999999</v>
      </c>
      <c r="SW70" s="50">
        <f t="shared" si="103"/>
        <v>8.0115320000000025</v>
      </c>
      <c r="SX70" s="50">
        <v>6.907635</v>
      </c>
      <c r="SY70" s="50">
        <v>14.919167000000002</v>
      </c>
      <c r="SZ70" s="50">
        <v>0.13200000000000001</v>
      </c>
      <c r="TA70" s="50">
        <v>0.107124</v>
      </c>
      <c r="TB70" s="50">
        <v>0.239124</v>
      </c>
      <c r="TC70" s="50">
        <v>2.2096000000000005E-2</v>
      </c>
      <c r="TD70" s="50">
        <v>0.73008998999999997</v>
      </c>
      <c r="TE70" s="50">
        <v>0.75218598999999997</v>
      </c>
      <c r="TF70" s="50"/>
      <c r="TG70" s="50">
        <v>1.7045042699999999</v>
      </c>
      <c r="TH70" s="50">
        <v>1.7045042699999999</v>
      </c>
      <c r="TI70" s="50">
        <v>3.99546</v>
      </c>
      <c r="TJ70" s="50"/>
      <c r="TK70" s="50">
        <v>3.99546</v>
      </c>
      <c r="TL70" s="50">
        <f t="shared" si="130"/>
        <v>0.58589900000000006</v>
      </c>
      <c r="TM70" s="50">
        <v>0.12560889</v>
      </c>
      <c r="TN70" s="50">
        <v>0.71150789000000003</v>
      </c>
      <c r="TO70" s="50">
        <v>0</v>
      </c>
      <c r="TP70" s="50">
        <v>7.8386800000000006E-2</v>
      </c>
      <c r="TQ70" s="50">
        <v>7.8386800000000006E-2</v>
      </c>
      <c r="TR70" s="50">
        <v>0.10225000000000006</v>
      </c>
      <c r="TS70" s="50">
        <v>0.7497589899999999</v>
      </c>
      <c r="TT70" s="50">
        <v>0.85200898999999997</v>
      </c>
      <c r="TU70" s="50">
        <v>0.40908300000000009</v>
      </c>
      <c r="TV70" s="50">
        <v>1.2053206400000001</v>
      </c>
      <c r="TW70" s="50">
        <v>1.6144036400000001</v>
      </c>
      <c r="TX70" s="50">
        <v>0</v>
      </c>
      <c r="TY70" s="50">
        <v>1.6955713700000001</v>
      </c>
      <c r="TZ70" s="50">
        <v>1.6955713700000001</v>
      </c>
      <c r="UA70" s="50">
        <v>4.4999999999999984E-2</v>
      </c>
      <c r="UB70" s="50">
        <v>0.17972821</v>
      </c>
      <c r="UC70" s="50">
        <v>0.22472820999999998</v>
      </c>
      <c r="UD70" s="50">
        <v>0.3130679999999999</v>
      </c>
      <c r="UE70" s="50">
        <v>1.60900617</v>
      </c>
      <c r="UF70" s="50">
        <v>1.9220741699999999</v>
      </c>
      <c r="UG70" s="50">
        <v>0.37147284000000003</v>
      </c>
      <c r="UH70" s="50">
        <v>3.0282529299999998</v>
      </c>
      <c r="UI70" s="50">
        <v>3.3997257699999999</v>
      </c>
      <c r="UJ70" s="50">
        <f t="shared" si="45"/>
        <v>5.9763288399999999</v>
      </c>
      <c r="UK70" s="50">
        <f t="shared" si="15"/>
        <v>11.213352260000001</v>
      </c>
      <c r="UL70" s="50">
        <f t="shared" si="16"/>
        <v>17.189681100000001</v>
      </c>
      <c r="UM70" s="50">
        <v>0.13200000000000012</v>
      </c>
      <c r="UN70" s="50">
        <v>1.4966130799999999</v>
      </c>
      <c r="UO70" s="50">
        <v>1.62861308</v>
      </c>
      <c r="UP70" s="50">
        <v>4.5439999999998815E-3</v>
      </c>
      <c r="UQ70" s="50">
        <v>0.54988991000000009</v>
      </c>
      <c r="UR70" s="50">
        <v>0.55443390999999997</v>
      </c>
      <c r="US70" s="50">
        <v>9.5073100000000466E-3</v>
      </c>
      <c r="UT70" s="50">
        <v>4.0962771699999996</v>
      </c>
      <c r="UU70" s="50">
        <v>4.1057844799999996</v>
      </c>
      <c r="UV70" s="50">
        <v>3.1948407000000003</v>
      </c>
      <c r="UW70" s="50">
        <v>2.6896290199999999</v>
      </c>
      <c r="UX70" s="50">
        <v>5.8844697200000002</v>
      </c>
      <c r="UY70" s="50"/>
      <c r="UZ70" s="50"/>
      <c r="VA70" s="50"/>
      <c r="VB70" s="50"/>
      <c r="VC70" s="50"/>
      <c r="VD70" s="50"/>
      <c r="VE70" s="50"/>
      <c r="VF70" s="50"/>
      <c r="VG70" s="50"/>
      <c r="VH70" s="50"/>
      <c r="VI70" s="50"/>
      <c r="VJ70" s="50"/>
      <c r="VK70" s="50"/>
      <c r="VL70" s="50"/>
      <c r="VM70" s="50"/>
      <c r="VN70" s="50"/>
      <c r="VO70" s="50"/>
      <c r="VP70" s="50"/>
      <c r="VQ70" s="50"/>
      <c r="VR70" s="50"/>
      <c r="VS70" s="50"/>
      <c r="VT70" s="50"/>
      <c r="VU70" s="50"/>
      <c r="VV70" s="50"/>
      <c r="VW70" s="276">
        <f t="shared" si="57"/>
        <v>4.1495559999999996</v>
      </c>
      <c r="VX70" s="292">
        <f t="shared" si="58"/>
        <v>2.5417179999999999</v>
      </c>
      <c r="VY70" s="292">
        <f t="shared" si="59"/>
        <v>6.6912739999999999</v>
      </c>
      <c r="VZ70" s="276">
        <f t="shared" si="60"/>
        <v>3.3408920000000002</v>
      </c>
      <c r="WA70" s="292">
        <f t="shared" si="61"/>
        <v>8.8324090000000002</v>
      </c>
      <c r="WB70" s="292">
        <f t="shared" si="62"/>
        <v>12.173301</v>
      </c>
      <c r="WC70" s="277">
        <f t="shared" si="112"/>
        <v>5.4820270000000004</v>
      </c>
      <c r="WD70" s="277">
        <f t="shared" si="104"/>
        <v>81.92800055714352</v>
      </c>
    </row>
    <row r="71" spans="1:602" s="12" customFormat="1" ht="21" hidden="1" customHeight="1">
      <c r="A71" s="42" t="s">
        <v>178</v>
      </c>
      <c r="B71" s="14"/>
      <c r="C71" s="42" t="s">
        <v>178</v>
      </c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>
        <v>4.055184660303584E-4</v>
      </c>
      <c r="X71" s="123"/>
      <c r="Y71" s="123"/>
      <c r="Z71" s="50">
        <v>6.0756630000000002E-5</v>
      </c>
      <c r="AA71" s="50">
        <v>-6.0756630000000002E-5</v>
      </c>
      <c r="AB71" s="123"/>
      <c r="AC71" s="123"/>
      <c r="AD71" s="123"/>
      <c r="AE71" s="50">
        <v>1.2185474E-4</v>
      </c>
      <c r="AF71" s="50">
        <v>-1.2185474E-4</v>
      </c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4"/>
      <c r="BF71" s="125"/>
      <c r="BG71" s="125"/>
      <c r="BH71" s="125"/>
      <c r="BI71" s="125"/>
      <c r="BJ71" s="125"/>
      <c r="BK71" s="125"/>
      <c r="BL71" s="125"/>
      <c r="BM71" s="125"/>
      <c r="BN71" s="125"/>
      <c r="BO71" s="125"/>
      <c r="BP71" s="125"/>
      <c r="BQ71" s="125"/>
      <c r="BR71" s="125"/>
      <c r="BS71" s="125"/>
      <c r="BT71" s="125"/>
      <c r="BU71" s="125"/>
      <c r="BV71" s="125"/>
      <c r="BW71" s="125"/>
      <c r="BX71" s="125"/>
      <c r="BY71" s="125"/>
      <c r="BZ71" s="125"/>
      <c r="CA71" s="125"/>
      <c r="CB71" s="125"/>
      <c r="CC71" s="125"/>
      <c r="CD71" s="125"/>
      <c r="CE71" s="125"/>
      <c r="CF71" s="125"/>
      <c r="CG71" s="125"/>
      <c r="CH71" s="125"/>
      <c r="CI71" s="125"/>
      <c r="CJ71" s="77"/>
      <c r="CK71" s="77"/>
      <c r="CL71" s="44"/>
      <c r="CM71" s="77"/>
      <c r="CN71" s="77"/>
      <c r="CO71" s="44"/>
      <c r="CP71" s="123">
        <f t="shared" si="24"/>
        <v>0</v>
      </c>
      <c r="CQ71" s="123">
        <f t="shared" si="25"/>
        <v>0</v>
      </c>
      <c r="CR71" s="123">
        <f t="shared" si="26"/>
        <v>0</v>
      </c>
      <c r="CS71" s="123"/>
      <c r="CT71" s="123"/>
      <c r="CU71" s="124"/>
      <c r="CV71" s="77"/>
      <c r="CW71" s="77"/>
      <c r="CX71" s="44">
        <f>CV71+CW71</f>
        <v>0</v>
      </c>
      <c r="CY71" s="44">
        <v>0</v>
      </c>
      <c r="CZ71" s="44">
        <v>0</v>
      </c>
      <c r="DA71" s="44">
        <v>0</v>
      </c>
      <c r="DB71" s="44">
        <v>0</v>
      </c>
      <c r="DC71" s="44">
        <v>0</v>
      </c>
      <c r="DD71" s="44">
        <v>0</v>
      </c>
      <c r="DE71" s="44">
        <v>0</v>
      </c>
      <c r="DF71" s="44">
        <v>0</v>
      </c>
      <c r="DG71" s="44">
        <v>0</v>
      </c>
      <c r="DH71" s="44">
        <v>0</v>
      </c>
      <c r="DI71" s="44">
        <v>0</v>
      </c>
      <c r="DJ71" s="44">
        <v>0</v>
      </c>
      <c r="DK71" s="44">
        <v>0</v>
      </c>
      <c r="DL71" s="44">
        <v>0</v>
      </c>
      <c r="DM71" s="44">
        <v>0</v>
      </c>
      <c r="DN71" s="44">
        <v>0</v>
      </c>
      <c r="DO71" s="44">
        <v>0</v>
      </c>
      <c r="DP71" s="44">
        <v>0</v>
      </c>
      <c r="DQ71" s="44">
        <v>0</v>
      </c>
      <c r="DR71" s="44">
        <v>0</v>
      </c>
      <c r="DS71" s="44">
        <v>0</v>
      </c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50">
        <f t="shared" si="27"/>
        <v>0</v>
      </c>
      <c r="EG71" s="50">
        <f t="shared" si="28"/>
        <v>0</v>
      </c>
      <c r="EH71" s="50">
        <f t="shared" si="29"/>
        <v>0</v>
      </c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>
        <v>0</v>
      </c>
      <c r="EV71" s="50">
        <v>0</v>
      </c>
      <c r="EW71" s="50">
        <v>0</v>
      </c>
      <c r="EX71" s="50">
        <v>0</v>
      </c>
      <c r="EY71" s="50">
        <v>0</v>
      </c>
      <c r="EZ71" s="50">
        <v>0</v>
      </c>
      <c r="FA71" s="50">
        <v>0</v>
      </c>
      <c r="FB71" s="50">
        <v>0</v>
      </c>
      <c r="FC71" s="50">
        <v>0</v>
      </c>
      <c r="FD71" s="50">
        <v>0</v>
      </c>
      <c r="FE71" s="50">
        <v>0</v>
      </c>
      <c r="FF71" s="50">
        <v>0</v>
      </c>
      <c r="FG71" s="50">
        <v>0</v>
      </c>
      <c r="FH71" s="50">
        <v>0</v>
      </c>
      <c r="FI71" s="50">
        <v>0</v>
      </c>
      <c r="FJ71" s="50">
        <v>0</v>
      </c>
      <c r="FK71" s="50">
        <v>0</v>
      </c>
      <c r="FL71" s="50">
        <v>0</v>
      </c>
      <c r="FM71" s="50">
        <v>0</v>
      </c>
      <c r="FN71" s="50">
        <v>0</v>
      </c>
      <c r="FO71" s="50">
        <v>0</v>
      </c>
      <c r="FP71" s="50">
        <v>0</v>
      </c>
      <c r="FQ71" s="50">
        <v>0</v>
      </c>
      <c r="FR71" s="50">
        <v>0</v>
      </c>
      <c r="FS71" s="50">
        <v>0</v>
      </c>
      <c r="FT71" s="50">
        <v>0</v>
      </c>
      <c r="FU71" s="50">
        <v>0</v>
      </c>
      <c r="FV71" s="50">
        <f t="shared" si="30"/>
        <v>0</v>
      </c>
      <c r="FW71" s="50">
        <f t="shared" si="31"/>
        <v>0</v>
      </c>
      <c r="FX71" s="50">
        <f t="shared" si="32"/>
        <v>0</v>
      </c>
      <c r="FY71" s="50"/>
      <c r="FZ71" s="50"/>
      <c r="GA71" s="50"/>
      <c r="GB71" s="50">
        <v>0</v>
      </c>
      <c r="GC71" s="50">
        <v>0</v>
      </c>
      <c r="GD71" s="50">
        <v>0</v>
      </c>
      <c r="GE71" s="50">
        <v>0</v>
      </c>
      <c r="GF71" s="50">
        <v>0</v>
      </c>
      <c r="GG71" s="50">
        <v>0</v>
      </c>
      <c r="GH71" s="50">
        <v>0</v>
      </c>
      <c r="GI71" s="50">
        <v>0</v>
      </c>
      <c r="GJ71" s="50">
        <v>0</v>
      </c>
      <c r="GK71" s="50">
        <v>0</v>
      </c>
      <c r="GL71" s="50">
        <v>0</v>
      </c>
      <c r="GM71" s="50">
        <v>0</v>
      </c>
      <c r="GN71" s="50">
        <v>0</v>
      </c>
      <c r="GO71" s="50">
        <v>0</v>
      </c>
      <c r="GP71" s="50">
        <v>0</v>
      </c>
      <c r="GQ71" s="162">
        <v>0</v>
      </c>
      <c r="GR71" s="113">
        <v>0</v>
      </c>
      <c r="GS71" s="50">
        <v>0</v>
      </c>
      <c r="GT71" s="50">
        <v>0</v>
      </c>
      <c r="GU71" s="50"/>
      <c r="GV71" s="50">
        <v>0</v>
      </c>
      <c r="GW71" s="50">
        <v>0</v>
      </c>
      <c r="GX71" s="50">
        <v>0</v>
      </c>
      <c r="GY71" s="50">
        <v>0</v>
      </c>
      <c r="GZ71" s="50">
        <v>0</v>
      </c>
      <c r="HA71" s="50">
        <v>0</v>
      </c>
      <c r="HB71" s="50">
        <v>0</v>
      </c>
      <c r="HC71" s="50">
        <v>0</v>
      </c>
      <c r="HD71" s="50">
        <v>0</v>
      </c>
      <c r="HE71" s="50">
        <v>0</v>
      </c>
      <c r="HF71" s="50">
        <v>0</v>
      </c>
      <c r="HG71" s="50">
        <v>0</v>
      </c>
      <c r="HH71" s="50">
        <v>0</v>
      </c>
      <c r="HI71" s="50">
        <v>2.9999999999999997E-4</v>
      </c>
      <c r="HJ71" s="50">
        <v>0</v>
      </c>
      <c r="HK71" s="50">
        <v>2.9999999999999997E-4</v>
      </c>
      <c r="HL71" s="50">
        <f t="shared" si="33"/>
        <v>2.9999999999999997E-4</v>
      </c>
      <c r="HM71" s="50">
        <f t="shared" si="34"/>
        <v>0</v>
      </c>
      <c r="HN71" s="50">
        <f t="shared" si="35"/>
        <v>2.9999999999999997E-4</v>
      </c>
      <c r="HO71" s="50">
        <f t="shared" si="96"/>
        <v>0</v>
      </c>
      <c r="HP71" s="50"/>
      <c r="HQ71" s="50"/>
      <c r="HR71" s="50">
        <v>0</v>
      </c>
      <c r="HS71" s="50">
        <v>0</v>
      </c>
      <c r="HT71" s="50">
        <v>0</v>
      </c>
      <c r="HU71" s="50">
        <v>0</v>
      </c>
      <c r="HV71" s="50">
        <v>0</v>
      </c>
      <c r="HW71" s="50">
        <v>0</v>
      </c>
      <c r="HX71" s="50">
        <v>0</v>
      </c>
      <c r="HY71" s="50">
        <v>0</v>
      </c>
      <c r="HZ71" s="50">
        <v>0</v>
      </c>
      <c r="IA71" s="50">
        <v>0</v>
      </c>
      <c r="IB71" s="50">
        <v>0</v>
      </c>
      <c r="IC71" s="50">
        <v>0</v>
      </c>
      <c r="ID71" s="50">
        <v>0</v>
      </c>
      <c r="IE71" s="50">
        <v>0</v>
      </c>
      <c r="IF71" s="50">
        <v>0</v>
      </c>
      <c r="IG71" s="50">
        <v>0</v>
      </c>
      <c r="IH71" s="50">
        <v>0</v>
      </c>
      <c r="II71" s="50">
        <v>0</v>
      </c>
      <c r="IJ71" s="50">
        <v>0</v>
      </c>
      <c r="IK71" s="50">
        <v>0</v>
      </c>
      <c r="IL71" s="50">
        <v>0</v>
      </c>
      <c r="IM71" s="50">
        <v>0</v>
      </c>
      <c r="IN71" s="50">
        <v>0</v>
      </c>
      <c r="IO71" s="50">
        <v>0</v>
      </c>
      <c r="IP71" s="50">
        <v>0</v>
      </c>
      <c r="IQ71" s="50">
        <v>0</v>
      </c>
      <c r="IR71" s="50">
        <v>0</v>
      </c>
      <c r="IS71" s="50">
        <v>0</v>
      </c>
      <c r="IT71" s="50">
        <v>0</v>
      </c>
      <c r="IU71" s="50">
        <v>0</v>
      </c>
      <c r="IV71" s="50">
        <v>0</v>
      </c>
      <c r="IW71" s="50">
        <v>0</v>
      </c>
      <c r="IX71" s="50">
        <v>0</v>
      </c>
      <c r="IY71" s="50">
        <v>0</v>
      </c>
      <c r="IZ71" s="50">
        <v>0</v>
      </c>
      <c r="JA71" s="50">
        <v>0</v>
      </c>
      <c r="JB71" s="50">
        <f t="shared" si="36"/>
        <v>0</v>
      </c>
      <c r="JC71" s="50">
        <f t="shared" si="37"/>
        <v>0</v>
      </c>
      <c r="JD71" s="50">
        <f t="shared" si="38"/>
        <v>0</v>
      </c>
      <c r="JE71" s="50">
        <f t="shared" si="97"/>
        <v>0</v>
      </c>
      <c r="JF71" s="50"/>
      <c r="JG71" s="50"/>
      <c r="JH71" s="50">
        <v>0</v>
      </c>
      <c r="JI71" s="50">
        <v>0</v>
      </c>
      <c r="JJ71" s="50">
        <v>0</v>
      </c>
      <c r="JK71" s="50">
        <v>0</v>
      </c>
      <c r="JL71" s="50">
        <v>0</v>
      </c>
      <c r="JM71" s="50">
        <v>0</v>
      </c>
      <c r="JN71" s="50">
        <v>0</v>
      </c>
      <c r="JO71" s="50">
        <v>0</v>
      </c>
      <c r="JP71" s="50">
        <v>0</v>
      </c>
      <c r="JQ71" s="50">
        <v>0</v>
      </c>
      <c r="JR71" s="50">
        <v>0</v>
      </c>
      <c r="JS71" s="50">
        <v>0</v>
      </c>
      <c r="JT71" s="50">
        <v>0</v>
      </c>
      <c r="JU71" s="50">
        <v>0</v>
      </c>
      <c r="JV71" s="50">
        <v>0</v>
      </c>
      <c r="JW71" s="50">
        <v>0</v>
      </c>
      <c r="JX71" s="50">
        <v>0</v>
      </c>
      <c r="JY71" s="50">
        <v>0</v>
      </c>
      <c r="JZ71" s="50">
        <v>0</v>
      </c>
      <c r="KA71" s="50">
        <v>0</v>
      </c>
      <c r="KB71" s="50">
        <v>0</v>
      </c>
      <c r="KC71" s="50">
        <v>0</v>
      </c>
      <c r="KD71" s="50">
        <v>0</v>
      </c>
      <c r="KE71" s="50">
        <v>0</v>
      </c>
      <c r="KF71" s="50">
        <v>0</v>
      </c>
      <c r="KG71" s="50">
        <v>0</v>
      </c>
      <c r="KH71" s="50">
        <v>0</v>
      </c>
      <c r="KI71" s="50">
        <v>0</v>
      </c>
      <c r="KJ71" s="50">
        <v>0</v>
      </c>
      <c r="KK71" s="50">
        <v>0</v>
      </c>
      <c r="KL71" s="50">
        <v>0</v>
      </c>
      <c r="KM71" s="50">
        <v>0</v>
      </c>
      <c r="KN71" s="50">
        <v>0</v>
      </c>
      <c r="KO71" s="50">
        <v>0</v>
      </c>
      <c r="KP71" s="50">
        <v>0</v>
      </c>
      <c r="KQ71" s="50">
        <v>0</v>
      </c>
      <c r="KR71" s="50">
        <f t="shared" si="48"/>
        <v>0</v>
      </c>
      <c r="KS71" s="50">
        <f t="shared" si="39"/>
        <v>0</v>
      </c>
      <c r="KT71" s="50">
        <f t="shared" si="49"/>
        <v>0</v>
      </c>
      <c r="KU71" s="50">
        <f t="shared" si="98"/>
        <v>0</v>
      </c>
      <c r="KV71" s="50"/>
      <c r="KW71" s="50"/>
      <c r="KX71" s="50">
        <v>0</v>
      </c>
      <c r="KY71" s="50">
        <v>0</v>
      </c>
      <c r="KZ71" s="50">
        <v>0</v>
      </c>
      <c r="LA71" s="50">
        <v>1.9999999999999999E-6</v>
      </c>
      <c r="LB71" s="50">
        <v>0</v>
      </c>
      <c r="LC71" s="42">
        <v>1.9999999999999999E-6</v>
      </c>
      <c r="LD71" s="50">
        <v>0</v>
      </c>
      <c r="LE71" s="50">
        <v>0</v>
      </c>
      <c r="LF71" s="50"/>
      <c r="LG71" s="50">
        <v>0</v>
      </c>
      <c r="LH71" s="50">
        <v>0</v>
      </c>
      <c r="LI71" s="174"/>
      <c r="LJ71" s="174">
        <v>0</v>
      </c>
      <c r="LK71" s="175"/>
      <c r="LL71" s="174">
        <v>0</v>
      </c>
      <c r="LM71" s="50"/>
      <c r="LN71" s="50"/>
      <c r="LO71" s="50"/>
      <c r="LP71" s="191"/>
      <c r="LQ71" s="44">
        <v>0</v>
      </c>
      <c r="LR71" s="44"/>
      <c r="LS71" s="97"/>
      <c r="LT71" s="44">
        <v>0</v>
      </c>
      <c r="LU71" s="49">
        <v>0</v>
      </c>
      <c r="LV71" s="44">
        <v>0</v>
      </c>
      <c r="LW71" s="44">
        <v>0</v>
      </c>
      <c r="LX71" s="44">
        <v>0</v>
      </c>
      <c r="LY71" s="44">
        <v>0</v>
      </c>
      <c r="LZ71" s="44">
        <v>0</v>
      </c>
      <c r="MA71" s="44">
        <v>0</v>
      </c>
      <c r="MB71" s="44">
        <v>0</v>
      </c>
      <c r="MC71" s="44">
        <v>0</v>
      </c>
      <c r="MD71" s="44">
        <v>0</v>
      </c>
      <c r="ME71" s="44">
        <v>0</v>
      </c>
      <c r="MF71" s="44">
        <v>0</v>
      </c>
      <c r="MG71" s="44">
        <v>0</v>
      </c>
      <c r="MH71" s="50">
        <f t="shared" si="66"/>
        <v>1.9999999999999999E-6</v>
      </c>
      <c r="MI71" s="50">
        <f t="shared" si="50"/>
        <v>0</v>
      </c>
      <c r="MJ71" s="50">
        <f t="shared" si="51"/>
        <v>1.9999999999999999E-6</v>
      </c>
      <c r="MK71" s="50">
        <f t="shared" si="99"/>
        <v>0</v>
      </c>
      <c r="ML71" s="50"/>
      <c r="MM71" s="50"/>
      <c r="MN71" s="44">
        <v>0</v>
      </c>
      <c r="MO71" s="44">
        <v>0</v>
      </c>
      <c r="MP71" s="44">
        <v>0</v>
      </c>
      <c r="MQ71" s="44">
        <v>0</v>
      </c>
      <c r="MR71" s="44">
        <v>0</v>
      </c>
      <c r="MS71" s="44">
        <v>0</v>
      </c>
      <c r="MT71" s="44">
        <v>0</v>
      </c>
      <c r="MU71" s="44">
        <v>0</v>
      </c>
      <c r="MV71" s="44">
        <v>0</v>
      </c>
      <c r="MW71" s="44">
        <v>0</v>
      </c>
      <c r="MX71" s="44">
        <v>0</v>
      </c>
      <c r="MY71" s="44">
        <v>0</v>
      </c>
      <c r="MZ71" s="44">
        <v>0</v>
      </c>
      <c r="NA71" s="44">
        <v>0</v>
      </c>
      <c r="NB71" s="44">
        <v>0</v>
      </c>
      <c r="NC71" s="44">
        <v>0</v>
      </c>
      <c r="ND71" s="44">
        <v>0</v>
      </c>
      <c r="NE71" s="44">
        <v>0</v>
      </c>
      <c r="NF71" s="44">
        <v>0</v>
      </c>
      <c r="NG71" s="44">
        <v>0</v>
      </c>
      <c r="NH71" s="44">
        <v>0</v>
      </c>
      <c r="NI71" s="44">
        <v>0</v>
      </c>
      <c r="NJ71" s="44">
        <v>0</v>
      </c>
      <c r="NK71" s="44">
        <v>0</v>
      </c>
      <c r="NL71" s="44"/>
      <c r="NM71" s="44"/>
      <c r="NN71" s="44"/>
      <c r="NO71" s="44">
        <v>0</v>
      </c>
      <c r="NP71" s="44">
        <v>0</v>
      </c>
      <c r="NQ71" s="44">
        <v>0</v>
      </c>
      <c r="NR71" s="44">
        <v>0</v>
      </c>
      <c r="NS71" s="44">
        <v>0</v>
      </c>
      <c r="NT71" s="44">
        <v>0</v>
      </c>
      <c r="NU71" s="44">
        <v>0</v>
      </c>
      <c r="NV71" s="44">
        <v>0</v>
      </c>
      <c r="NW71" s="44">
        <v>0</v>
      </c>
      <c r="NX71" s="50">
        <f t="shared" si="117"/>
        <v>0</v>
      </c>
      <c r="NY71" s="50">
        <f t="shared" si="40"/>
        <v>0</v>
      </c>
      <c r="NZ71" s="50">
        <f t="shared" si="41"/>
        <v>0</v>
      </c>
      <c r="OA71" s="50">
        <f t="shared" si="100"/>
        <v>0</v>
      </c>
      <c r="OB71" s="36"/>
      <c r="OC71" s="50"/>
      <c r="OD71" s="44"/>
      <c r="OE71" s="44"/>
      <c r="OF71" s="44"/>
      <c r="OG71" s="50">
        <v>0</v>
      </c>
      <c r="OH71" s="44"/>
      <c r="OI71" s="44">
        <v>0</v>
      </c>
      <c r="OJ71" s="74">
        <f t="shared" si="107"/>
        <v>0</v>
      </c>
      <c r="OK71" s="44"/>
      <c r="OL71" s="44"/>
      <c r="OM71" s="44"/>
      <c r="ON71" s="44"/>
      <c r="OO71" s="44"/>
      <c r="OP71" s="44"/>
      <c r="OQ71" s="44"/>
      <c r="OR71" s="44"/>
      <c r="OS71" s="44"/>
      <c r="OT71" s="44"/>
      <c r="OU71" s="44"/>
      <c r="OV71" s="44"/>
      <c r="OW71" s="44"/>
      <c r="OX71" s="44"/>
      <c r="OY71" s="44"/>
      <c r="OZ71" s="44"/>
      <c r="PA71" s="44"/>
      <c r="PB71" s="44"/>
      <c r="PC71" s="44"/>
      <c r="PD71" s="44"/>
      <c r="PE71" s="44"/>
      <c r="PF71" s="44"/>
      <c r="PG71" s="44"/>
      <c r="PH71" s="44"/>
      <c r="PI71" s="44"/>
      <c r="PJ71" s="44"/>
      <c r="PK71" s="44"/>
      <c r="PL71" s="44"/>
      <c r="PM71" s="44"/>
      <c r="PN71" s="50">
        <f t="shared" si="122"/>
        <v>0</v>
      </c>
      <c r="PO71" s="50">
        <f t="shared" si="108"/>
        <v>0</v>
      </c>
      <c r="PP71" s="50">
        <f t="shared" si="116"/>
        <v>0</v>
      </c>
      <c r="PQ71" s="50">
        <f t="shared" si="118"/>
        <v>0</v>
      </c>
      <c r="PR71" s="36"/>
      <c r="PS71" s="50"/>
      <c r="PT71" s="44"/>
      <c r="PU71" s="44"/>
      <c r="PV71" s="44"/>
      <c r="PW71" s="44"/>
      <c r="PX71" s="44"/>
      <c r="PY71" s="44"/>
      <c r="PZ71" s="44"/>
      <c r="QA71" s="44"/>
      <c r="QB71" s="44"/>
      <c r="QC71" s="44"/>
      <c r="QD71" s="44"/>
      <c r="QE71" s="44"/>
      <c r="QF71" s="44"/>
      <c r="QG71" s="44"/>
      <c r="QH71" s="44"/>
      <c r="QI71" s="50">
        <v>0</v>
      </c>
      <c r="QJ71" s="44"/>
      <c r="QK71" s="44"/>
      <c r="QL71" s="44"/>
      <c r="QM71" s="44"/>
      <c r="QN71" s="44"/>
      <c r="QO71" s="50">
        <v>0</v>
      </c>
      <c r="QP71" s="44"/>
      <c r="QQ71" s="44"/>
      <c r="QR71" s="44"/>
      <c r="QS71" s="44"/>
      <c r="QT71" s="44"/>
      <c r="QU71" s="50">
        <v>0</v>
      </c>
      <c r="QV71" s="44"/>
      <c r="QW71" s="44"/>
      <c r="QX71" s="50">
        <v>0</v>
      </c>
      <c r="QY71" s="44"/>
      <c r="QZ71" s="44"/>
      <c r="RA71" s="44"/>
      <c r="RB71" s="44"/>
      <c r="RC71" s="44"/>
      <c r="RD71" s="50">
        <f t="shared" si="52"/>
        <v>0</v>
      </c>
      <c r="RE71" s="50">
        <f t="shared" si="53"/>
        <v>0</v>
      </c>
      <c r="RF71" s="50">
        <f t="shared" si="54"/>
        <v>0</v>
      </c>
      <c r="RG71" s="50">
        <f t="shared" si="119"/>
        <v>0</v>
      </c>
      <c r="RH71" s="50"/>
      <c r="RI71" s="50"/>
      <c r="RJ71" s="50"/>
      <c r="RK71" s="50"/>
      <c r="RL71" s="50"/>
      <c r="RM71" s="50"/>
      <c r="RN71" s="50"/>
      <c r="RO71" s="50"/>
      <c r="RP71" s="50"/>
      <c r="RQ71" s="50"/>
      <c r="RR71" s="50"/>
      <c r="RS71" s="50"/>
      <c r="RT71" s="50"/>
      <c r="RU71" s="50"/>
      <c r="RV71" s="50">
        <v>0</v>
      </c>
      <c r="RW71" s="50"/>
      <c r="RX71" s="50"/>
      <c r="RY71" s="50">
        <v>0</v>
      </c>
      <c r="RZ71" s="50"/>
      <c r="SA71" s="50"/>
      <c r="SB71" s="50"/>
      <c r="SC71" s="50"/>
      <c r="SD71" s="50"/>
      <c r="SE71" s="50">
        <v>0</v>
      </c>
      <c r="SF71" s="50"/>
      <c r="SG71" s="50"/>
      <c r="SH71" s="50">
        <v>0</v>
      </c>
      <c r="SI71" s="50"/>
      <c r="SJ71" s="50"/>
      <c r="SK71" s="50"/>
      <c r="SL71" s="50"/>
      <c r="SM71" s="50"/>
      <c r="SN71" s="50">
        <v>0</v>
      </c>
      <c r="SO71" s="50"/>
      <c r="SP71" s="50"/>
      <c r="SQ71" s="50">
        <v>0</v>
      </c>
      <c r="SR71" s="50"/>
      <c r="SS71" s="50"/>
      <c r="ST71" s="50">
        <f t="shared" si="55"/>
        <v>0</v>
      </c>
      <c r="SU71" s="50">
        <f t="shared" si="65"/>
        <v>0</v>
      </c>
      <c r="SV71" s="50">
        <f t="shared" si="56"/>
        <v>0</v>
      </c>
      <c r="SW71" s="50">
        <f t="shared" si="103"/>
        <v>0</v>
      </c>
      <c r="SX71" s="50"/>
      <c r="SY71" s="50"/>
      <c r="SZ71" s="50"/>
      <c r="TA71" s="50"/>
      <c r="TB71" s="50"/>
      <c r="TC71" s="50">
        <v>0</v>
      </c>
      <c r="TD71" s="50"/>
      <c r="TE71" s="50"/>
      <c r="TF71" s="50"/>
      <c r="TG71" s="50"/>
      <c r="TH71" s="50">
        <v>0</v>
      </c>
      <c r="TI71" s="50">
        <v>0</v>
      </c>
      <c r="TJ71" s="50"/>
      <c r="TK71" s="50"/>
      <c r="TL71" s="50">
        <f t="shared" si="130"/>
        <v>0</v>
      </c>
      <c r="TM71" s="50"/>
      <c r="TN71" s="50"/>
      <c r="TO71" s="50">
        <v>0</v>
      </c>
      <c r="TP71" s="50"/>
      <c r="TQ71" s="50"/>
      <c r="TR71" s="50">
        <v>0</v>
      </c>
      <c r="TS71" s="50"/>
      <c r="TT71" s="50"/>
      <c r="TU71" s="50">
        <v>0</v>
      </c>
      <c r="TV71" s="50"/>
      <c r="TW71" s="50"/>
      <c r="TX71" s="50">
        <v>0</v>
      </c>
      <c r="TY71" s="50"/>
      <c r="TZ71" s="50"/>
      <c r="UA71" s="50">
        <v>0</v>
      </c>
      <c r="UB71" s="50"/>
      <c r="UC71" s="50"/>
      <c r="UD71" s="50">
        <v>0</v>
      </c>
      <c r="UE71" s="50"/>
      <c r="UF71" s="50"/>
      <c r="UG71" s="50">
        <v>0</v>
      </c>
      <c r="UH71" s="50"/>
      <c r="UI71" s="50"/>
      <c r="UJ71" s="50">
        <f t="shared" si="45"/>
        <v>0</v>
      </c>
      <c r="UK71" s="50">
        <f t="shared" si="15"/>
        <v>0</v>
      </c>
      <c r="UL71" s="50">
        <f t="shared" si="16"/>
        <v>0</v>
      </c>
      <c r="UM71" s="50">
        <v>0</v>
      </c>
      <c r="UN71" s="50"/>
      <c r="UO71" s="50"/>
      <c r="UP71" s="50">
        <v>0</v>
      </c>
      <c r="UQ71" s="50"/>
      <c r="UR71" s="50"/>
      <c r="US71" s="50">
        <v>0</v>
      </c>
      <c r="UT71" s="50"/>
      <c r="UU71" s="50"/>
      <c r="UV71" s="50">
        <v>0</v>
      </c>
      <c r="UW71" s="50"/>
      <c r="UX71" s="50"/>
      <c r="UY71" s="50"/>
      <c r="UZ71" s="50"/>
      <c r="VA71" s="50"/>
      <c r="VB71" s="50"/>
      <c r="VC71" s="50"/>
      <c r="VD71" s="50"/>
      <c r="VE71" s="50"/>
      <c r="VF71" s="50"/>
      <c r="VG71" s="50"/>
      <c r="VH71" s="50"/>
      <c r="VI71" s="50"/>
      <c r="VJ71" s="50"/>
      <c r="VK71" s="50"/>
      <c r="VL71" s="50"/>
      <c r="VM71" s="50"/>
      <c r="VN71" s="50"/>
      <c r="VO71" s="50"/>
      <c r="VP71" s="50"/>
      <c r="VQ71" s="50"/>
      <c r="VR71" s="50"/>
      <c r="VS71" s="50"/>
      <c r="VT71" s="50"/>
      <c r="VU71" s="50"/>
      <c r="VV71" s="50"/>
      <c r="VW71" s="276">
        <f t="shared" si="57"/>
        <v>0</v>
      </c>
      <c r="VX71" s="292">
        <f t="shared" si="58"/>
        <v>0</v>
      </c>
      <c r="VY71" s="292">
        <f t="shared" si="59"/>
        <v>0</v>
      </c>
      <c r="VZ71" s="276">
        <f t="shared" si="60"/>
        <v>0</v>
      </c>
      <c r="WA71" s="292">
        <f t="shared" si="61"/>
        <v>0</v>
      </c>
      <c r="WB71" s="292">
        <f t="shared" si="62"/>
        <v>0</v>
      </c>
      <c r="WC71" s="277">
        <f t="shared" si="112"/>
        <v>0</v>
      </c>
      <c r="WD71" s="277" t="e">
        <f t="shared" si="104"/>
        <v>#DIV/0!</v>
      </c>
    </row>
    <row r="72" spans="1:602" s="12" customFormat="1" ht="20.25" customHeight="1">
      <c r="A72" s="93"/>
      <c r="C72" s="9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4"/>
      <c r="BF72" s="90"/>
      <c r="BG72" s="90"/>
      <c r="BH72" s="126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/>
      <c r="CI72" s="90"/>
      <c r="CJ72" s="77"/>
      <c r="CK72" s="77"/>
      <c r="CL72" s="44"/>
      <c r="CM72" s="77"/>
      <c r="CN72" s="77"/>
      <c r="CO72" s="44"/>
      <c r="CP72" s="50"/>
      <c r="CQ72" s="50"/>
      <c r="CR72" s="50"/>
      <c r="CS72" s="123"/>
      <c r="CT72" s="123"/>
      <c r="CU72" s="124"/>
      <c r="CV72" s="77"/>
      <c r="CW72" s="77"/>
      <c r="CX72" s="44"/>
      <c r="CY72" s="77"/>
      <c r="CZ72" s="77"/>
      <c r="DA72" s="44"/>
      <c r="DB72" s="77"/>
      <c r="DC72" s="77"/>
      <c r="DD72" s="44"/>
      <c r="DE72" s="77"/>
      <c r="DF72" s="77"/>
      <c r="DG72" s="44"/>
      <c r="DH72" s="77"/>
      <c r="DI72" s="77"/>
      <c r="DJ72" s="44"/>
      <c r="DK72" s="77"/>
      <c r="DL72" s="77"/>
      <c r="DM72" s="44"/>
      <c r="DN72" s="77"/>
      <c r="DO72" s="77"/>
      <c r="DP72" s="44"/>
      <c r="DQ72" s="77"/>
      <c r="DR72" s="77"/>
      <c r="DS72" s="44"/>
      <c r="DT72" s="77"/>
      <c r="DU72" s="77"/>
      <c r="DV72" s="44"/>
      <c r="DW72" s="77"/>
      <c r="DX72" s="77"/>
      <c r="DY72" s="44"/>
      <c r="DZ72" s="77"/>
      <c r="EA72" s="77"/>
      <c r="EB72" s="44"/>
      <c r="EC72" s="77"/>
      <c r="ED72" s="77"/>
      <c r="EE72" s="44"/>
      <c r="EF72" s="50">
        <f t="shared" si="27"/>
        <v>0</v>
      </c>
      <c r="EG72" s="50">
        <f t="shared" si="28"/>
        <v>0</v>
      </c>
      <c r="EH72" s="50">
        <f t="shared" si="29"/>
        <v>0</v>
      </c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>
        <f t="shared" si="30"/>
        <v>0</v>
      </c>
      <c r="FW72" s="50">
        <f t="shared" si="31"/>
        <v>0</v>
      </c>
      <c r="FX72" s="50">
        <f t="shared" si="32"/>
        <v>0</v>
      </c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0"/>
      <c r="GN72" s="50"/>
      <c r="GO72" s="50"/>
      <c r="GP72" s="50"/>
      <c r="GQ72" s="50"/>
      <c r="GR72" s="50"/>
      <c r="GS72" s="163"/>
      <c r="GT72" s="50"/>
      <c r="GU72" s="50"/>
      <c r="GV72" s="50"/>
      <c r="GW72" s="50"/>
      <c r="GX72" s="50"/>
      <c r="GY72" s="50"/>
      <c r="GZ72" s="50"/>
      <c r="HA72" s="50"/>
      <c r="HB72" s="50"/>
      <c r="HC72" s="50"/>
      <c r="HD72" s="50"/>
      <c r="HE72" s="50"/>
      <c r="HF72" s="50"/>
      <c r="HG72" s="50"/>
      <c r="HH72" s="50"/>
      <c r="HI72" s="50"/>
      <c r="HJ72" s="50"/>
      <c r="HK72" s="50"/>
      <c r="HL72" s="50">
        <f t="shared" si="33"/>
        <v>0</v>
      </c>
      <c r="HM72" s="50">
        <f t="shared" si="34"/>
        <v>0</v>
      </c>
      <c r="HN72" s="50">
        <f t="shared" si="35"/>
        <v>0</v>
      </c>
      <c r="HO72" s="50"/>
      <c r="HP72" s="50"/>
      <c r="HQ72" s="50"/>
      <c r="HR72" s="50"/>
      <c r="HS72" s="50">
        <v>0</v>
      </c>
      <c r="HT72" s="50">
        <v>0</v>
      </c>
      <c r="HU72" s="50"/>
      <c r="HV72" s="50">
        <v>0</v>
      </c>
      <c r="HW72" s="50">
        <v>0</v>
      </c>
      <c r="HX72" s="50"/>
      <c r="HY72" s="50">
        <v>0</v>
      </c>
      <c r="HZ72" s="50">
        <v>0</v>
      </c>
      <c r="IA72" s="50"/>
      <c r="IB72" s="50">
        <v>0</v>
      </c>
      <c r="IC72" s="50">
        <v>0</v>
      </c>
      <c r="ID72" s="50"/>
      <c r="IE72" s="50">
        <v>0</v>
      </c>
      <c r="IF72" s="50">
        <v>0</v>
      </c>
      <c r="IG72" s="50"/>
      <c r="IH72" s="50">
        <v>0</v>
      </c>
      <c r="II72" s="50">
        <v>0</v>
      </c>
      <c r="IJ72" s="50"/>
      <c r="IK72" s="50">
        <v>0</v>
      </c>
      <c r="IL72" s="50">
        <v>0</v>
      </c>
      <c r="IM72" s="50"/>
      <c r="IN72" s="50">
        <v>0</v>
      </c>
      <c r="IO72" s="50">
        <v>0</v>
      </c>
      <c r="IP72" s="50"/>
      <c r="IQ72" s="50">
        <v>0</v>
      </c>
      <c r="IR72" s="50">
        <v>0</v>
      </c>
      <c r="IS72" s="50"/>
      <c r="IT72" s="50">
        <v>0</v>
      </c>
      <c r="IU72" s="50">
        <v>0</v>
      </c>
      <c r="IV72" s="50"/>
      <c r="IW72" s="50">
        <v>0</v>
      </c>
      <c r="IX72" s="50">
        <v>0</v>
      </c>
      <c r="IY72" s="50"/>
      <c r="IZ72" s="50">
        <v>0</v>
      </c>
      <c r="JA72" s="50">
        <v>0</v>
      </c>
      <c r="JB72" s="50">
        <f t="shared" si="36"/>
        <v>0</v>
      </c>
      <c r="JC72" s="50">
        <f t="shared" si="37"/>
        <v>0</v>
      </c>
      <c r="JD72" s="50">
        <f t="shared" si="38"/>
        <v>0</v>
      </c>
      <c r="JE72" s="50"/>
      <c r="JF72" s="50"/>
      <c r="JG72" s="50"/>
      <c r="JH72" s="50"/>
      <c r="JI72" s="50">
        <v>0</v>
      </c>
      <c r="JJ72" s="50">
        <v>0</v>
      </c>
      <c r="JK72" s="50"/>
      <c r="JL72" s="50">
        <v>0</v>
      </c>
      <c r="JM72" s="50">
        <v>0</v>
      </c>
      <c r="JN72" s="50"/>
      <c r="JO72" s="50">
        <v>0</v>
      </c>
      <c r="JP72" s="50">
        <v>0</v>
      </c>
      <c r="JQ72" s="50"/>
      <c r="JR72" s="50"/>
      <c r="JS72" s="50"/>
      <c r="JT72" s="50"/>
      <c r="JU72" s="50"/>
      <c r="JV72" s="50"/>
      <c r="JW72" s="50"/>
      <c r="JX72" s="50"/>
      <c r="JY72" s="50"/>
      <c r="JZ72" s="50"/>
      <c r="KA72" s="50"/>
      <c r="KB72" s="50"/>
      <c r="KC72" s="50"/>
      <c r="KD72" s="50"/>
      <c r="KE72" s="50"/>
      <c r="KF72" s="50"/>
      <c r="KG72" s="50"/>
      <c r="KH72" s="50"/>
      <c r="KI72" s="50"/>
      <c r="KJ72" s="50"/>
      <c r="KK72" s="50"/>
      <c r="KL72" s="50"/>
      <c r="KM72" s="50"/>
      <c r="KN72" s="50"/>
      <c r="KO72" s="50"/>
      <c r="KP72" s="50"/>
      <c r="KQ72" s="50"/>
      <c r="KR72" s="50">
        <f t="shared" si="48"/>
        <v>0</v>
      </c>
      <c r="KS72" s="50">
        <f t="shared" si="39"/>
        <v>0</v>
      </c>
      <c r="KT72" s="50">
        <f t="shared" si="49"/>
        <v>0</v>
      </c>
      <c r="KU72" s="50"/>
      <c r="KV72" s="50"/>
      <c r="KW72" s="50"/>
      <c r="KX72" s="50"/>
      <c r="KY72" s="50"/>
      <c r="KZ72" s="50"/>
      <c r="LA72" s="50">
        <v>0</v>
      </c>
      <c r="LB72" s="50"/>
      <c r="LC72" s="50"/>
      <c r="LD72" s="50"/>
      <c r="LF72" s="87">
        <v>0</v>
      </c>
      <c r="LG72" s="50"/>
      <c r="LH72" s="50"/>
      <c r="LI72" s="50">
        <v>0</v>
      </c>
      <c r="LJ72" s="50"/>
      <c r="LK72" s="50">
        <v>0</v>
      </c>
      <c r="LL72" s="50"/>
      <c r="LM72" s="50"/>
      <c r="LN72" s="50"/>
      <c r="LO72" s="50"/>
      <c r="LP72" s="44">
        <v>0</v>
      </c>
      <c r="LQ72" s="183"/>
      <c r="LR72" s="183"/>
      <c r="LS72" s="52">
        <v>0</v>
      </c>
      <c r="LT72" s="183"/>
      <c r="LU72" s="180"/>
      <c r="LV72" s="44"/>
      <c r="LW72" s="44"/>
      <c r="LX72" s="44"/>
      <c r="LY72" s="179"/>
      <c r="LZ72" s="179"/>
      <c r="MA72" s="179"/>
      <c r="MB72" s="184"/>
      <c r="MC72" s="179"/>
      <c r="ME72" s="44"/>
      <c r="MF72" s="44"/>
      <c r="MG72" s="44"/>
      <c r="MH72" s="50">
        <f t="shared" si="66"/>
        <v>0</v>
      </c>
      <c r="MI72" s="50">
        <f t="shared" si="50"/>
        <v>0</v>
      </c>
      <c r="MJ72" s="50">
        <f t="shared" si="51"/>
        <v>0</v>
      </c>
      <c r="MK72" s="50"/>
      <c r="ML72" s="50"/>
      <c r="MM72" s="50"/>
      <c r="MN72" s="179"/>
      <c r="MO72" s="179"/>
      <c r="MP72" s="44"/>
      <c r="MQ72" s="44"/>
      <c r="MR72" s="44"/>
      <c r="MS72" s="44"/>
      <c r="MT72" s="44"/>
      <c r="MU72" s="44"/>
      <c r="MV72" s="44"/>
      <c r="MW72" s="44"/>
      <c r="MX72" s="44"/>
      <c r="MY72" s="44"/>
      <c r="MZ72" s="183"/>
      <c r="NA72" s="183"/>
      <c r="NB72" s="183"/>
      <c r="NC72" s="44"/>
      <c r="ND72" s="44"/>
      <c r="NE72" s="44"/>
      <c r="NF72" s="44"/>
      <c r="NG72" s="44"/>
      <c r="NH72" s="44"/>
      <c r="NI72" s="44"/>
      <c r="NJ72" s="44"/>
      <c r="NK72" s="44"/>
      <c r="NL72" s="44"/>
      <c r="NM72" s="44"/>
      <c r="NN72" s="44"/>
      <c r="NO72" s="44"/>
      <c r="NP72" s="44"/>
      <c r="NQ72" s="44"/>
      <c r="NR72" s="44"/>
      <c r="NS72" s="44"/>
      <c r="NT72" s="44"/>
      <c r="NU72" s="44"/>
      <c r="NV72" s="44"/>
      <c r="NW72" s="44"/>
      <c r="NX72" s="50">
        <f t="shared" si="117"/>
        <v>0</v>
      </c>
      <c r="NY72" s="50">
        <f t="shared" si="40"/>
        <v>0</v>
      </c>
      <c r="NZ72" s="50">
        <f t="shared" si="41"/>
        <v>0</v>
      </c>
      <c r="OA72" s="50"/>
      <c r="OB72" s="50"/>
      <c r="OC72" s="50"/>
      <c r="OD72" s="44"/>
      <c r="OE72" s="44"/>
      <c r="OF72" s="44"/>
      <c r="OG72" s="50"/>
      <c r="OH72" s="44"/>
      <c r="OI72" s="44"/>
      <c r="OJ72" s="74"/>
      <c r="OK72" s="44"/>
      <c r="OL72" s="44"/>
      <c r="OM72" s="44"/>
      <c r="ON72" s="44"/>
      <c r="OO72" s="44"/>
      <c r="OP72" s="44"/>
      <c r="OQ72" s="44"/>
      <c r="OR72" s="44"/>
      <c r="OS72" s="44"/>
      <c r="OT72" s="44"/>
      <c r="OV72" s="44"/>
      <c r="OW72" s="44"/>
      <c r="OX72" s="44"/>
      <c r="OY72" s="44"/>
      <c r="OZ72" s="44"/>
      <c r="PA72" s="44"/>
      <c r="PB72" s="44"/>
      <c r="PC72" s="44"/>
      <c r="PD72" s="44"/>
      <c r="PE72" s="44"/>
      <c r="PF72" s="44"/>
      <c r="PG72" s="44"/>
      <c r="PH72" s="44"/>
      <c r="PI72" s="44"/>
      <c r="PJ72" s="44"/>
      <c r="PK72" s="44"/>
      <c r="PL72" s="44"/>
      <c r="PM72" s="44"/>
      <c r="PN72" s="50"/>
      <c r="PO72" s="50"/>
      <c r="PP72" s="50"/>
      <c r="PQ72" s="50"/>
      <c r="PR72" s="50"/>
      <c r="PS72" s="50"/>
      <c r="PT72" s="44"/>
      <c r="PU72" s="44"/>
      <c r="PV72" s="44"/>
      <c r="PW72" s="44"/>
      <c r="PX72" s="44"/>
      <c r="PY72" s="44"/>
      <c r="PZ72" s="44"/>
      <c r="QA72" s="44"/>
      <c r="QB72" s="44"/>
      <c r="QC72" s="44"/>
      <c r="QD72" s="44"/>
      <c r="QE72" s="44"/>
      <c r="QF72" s="44"/>
      <c r="QG72" s="44"/>
      <c r="QH72" s="44"/>
      <c r="QI72" s="50"/>
      <c r="QJ72" s="44"/>
      <c r="QK72" s="44"/>
      <c r="QL72" s="44"/>
      <c r="QM72" s="44"/>
      <c r="QN72" s="44"/>
      <c r="QO72" s="50"/>
      <c r="QP72" s="44"/>
      <c r="QQ72" s="44"/>
      <c r="QR72" s="44"/>
      <c r="QS72" s="44"/>
      <c r="QT72" s="44"/>
      <c r="QU72" s="50"/>
      <c r="QV72" s="44"/>
      <c r="QW72" s="44"/>
      <c r="QX72" s="50"/>
      <c r="QY72" s="44"/>
      <c r="QZ72" s="44"/>
      <c r="RA72" s="44"/>
      <c r="RB72" s="44"/>
      <c r="RC72" s="44"/>
      <c r="RD72" s="50"/>
      <c r="RE72" s="50"/>
      <c r="RF72" s="50"/>
      <c r="RG72" s="50"/>
      <c r="RH72" s="50"/>
      <c r="RI72" s="50"/>
      <c r="RJ72" s="50"/>
      <c r="RK72" s="50"/>
      <c r="RL72" s="50"/>
      <c r="RM72" s="50"/>
      <c r="RN72" s="50"/>
      <c r="RO72" s="50"/>
      <c r="RP72" s="50"/>
      <c r="RQ72" s="50"/>
      <c r="RR72" s="50"/>
      <c r="RS72" s="50"/>
      <c r="RT72" s="50"/>
      <c r="RU72" s="50"/>
      <c r="RV72" s="50"/>
      <c r="RW72" s="50"/>
      <c r="RX72" s="50"/>
      <c r="RY72" s="50"/>
      <c r="RZ72" s="50"/>
      <c r="SA72" s="50"/>
      <c r="SB72" s="50"/>
      <c r="SC72" s="50"/>
      <c r="SD72" s="50"/>
      <c r="SE72" s="50"/>
      <c r="SF72" s="50"/>
      <c r="SG72" s="50"/>
      <c r="SH72" s="50"/>
      <c r="SI72" s="50"/>
      <c r="SJ72" s="50"/>
      <c r="SK72" s="50"/>
      <c r="SL72" s="50"/>
      <c r="SM72" s="50"/>
      <c r="SN72" s="50"/>
      <c r="SO72" s="50"/>
      <c r="SP72" s="50"/>
      <c r="SQ72" s="50"/>
      <c r="SR72" s="50"/>
      <c r="SS72" s="50"/>
      <c r="ST72" s="50"/>
      <c r="SU72" s="50"/>
      <c r="SV72" s="50"/>
      <c r="SW72" s="50">
        <f t="shared" si="103"/>
        <v>0</v>
      </c>
      <c r="SX72" s="50"/>
      <c r="SY72" s="50"/>
      <c r="SZ72" s="50"/>
      <c r="TA72" s="50"/>
      <c r="TB72" s="50"/>
      <c r="TC72" s="50">
        <v>0</v>
      </c>
      <c r="TD72" s="50"/>
      <c r="TE72" s="50"/>
      <c r="TF72" s="50"/>
      <c r="TG72" s="50"/>
      <c r="TH72" s="50"/>
      <c r="TI72" s="50">
        <v>0</v>
      </c>
      <c r="TJ72" s="50"/>
      <c r="TK72" s="50"/>
      <c r="TL72" s="50">
        <f t="shared" si="130"/>
        <v>0</v>
      </c>
      <c r="TM72" s="50"/>
      <c r="TN72" s="50"/>
      <c r="TO72" s="50">
        <v>0</v>
      </c>
      <c r="TP72" s="50"/>
      <c r="TQ72" s="50"/>
      <c r="TR72" s="50"/>
      <c r="TS72" s="50"/>
      <c r="TT72" s="50"/>
      <c r="TU72" s="50">
        <v>0</v>
      </c>
      <c r="TV72" s="50"/>
      <c r="TW72" s="50"/>
      <c r="TX72" s="50"/>
      <c r="TY72" s="50"/>
      <c r="TZ72" s="50"/>
      <c r="UA72" s="50"/>
      <c r="UB72" s="50"/>
      <c r="UC72" s="50"/>
      <c r="UD72" s="50">
        <v>0</v>
      </c>
      <c r="UE72" s="50"/>
      <c r="UF72" s="50"/>
      <c r="UG72" s="50">
        <v>0</v>
      </c>
      <c r="UH72" s="50"/>
      <c r="UI72" s="50"/>
      <c r="UJ72" s="50">
        <f t="shared" ref="UJ72:UL73" si="133">SZ72+TC72+TF72+TI72+TL72+TO72+TR72+TU72+TX72+UA72+UD72+UG72</f>
        <v>0</v>
      </c>
      <c r="UK72" s="50">
        <f t="shared" si="133"/>
        <v>0</v>
      </c>
      <c r="UL72" s="50">
        <f t="shared" si="133"/>
        <v>0</v>
      </c>
      <c r="UM72" s="50">
        <v>0</v>
      </c>
      <c r="UN72" s="50"/>
      <c r="UO72" s="50"/>
      <c r="UP72" s="50">
        <v>0</v>
      </c>
      <c r="UQ72" s="50"/>
      <c r="UR72" s="50"/>
      <c r="US72" s="50">
        <v>0</v>
      </c>
      <c r="UT72" s="50"/>
      <c r="UU72" s="50"/>
      <c r="UV72" s="50"/>
      <c r="UW72" s="50"/>
      <c r="UX72" s="50"/>
      <c r="UY72" s="50"/>
      <c r="UZ72" s="50"/>
      <c r="VA72" s="50"/>
      <c r="VB72" s="50"/>
      <c r="VC72" s="50"/>
      <c r="VD72" s="50"/>
      <c r="VE72" s="50"/>
      <c r="VF72" s="50"/>
      <c r="VG72" s="50"/>
      <c r="VH72" s="50"/>
      <c r="VI72" s="50"/>
      <c r="VJ72" s="50"/>
      <c r="VK72" s="50"/>
      <c r="VL72" s="50"/>
      <c r="VM72" s="50"/>
      <c r="VN72" s="50"/>
      <c r="VO72" s="50"/>
      <c r="VP72" s="50"/>
      <c r="VQ72" s="50"/>
      <c r="VR72" s="50"/>
      <c r="VS72" s="50"/>
      <c r="VT72" s="50"/>
      <c r="VU72" s="50"/>
      <c r="VV72" s="50"/>
      <c r="VW72" s="276"/>
      <c r="VX72" s="292"/>
      <c r="VY72" s="292"/>
      <c r="VZ72" s="276"/>
      <c r="WA72" s="292"/>
      <c r="WB72" s="292"/>
      <c r="WC72" s="277"/>
      <c r="WD72" s="277"/>
    </row>
    <row r="73" spans="1:602" s="12" customFormat="1" ht="20.5">
      <c r="A73" s="58" t="s">
        <v>180</v>
      </c>
      <c r="C73" s="58" t="s">
        <v>181</v>
      </c>
      <c r="D73" s="58">
        <v>-374.86151188667105</v>
      </c>
      <c r="E73" s="58">
        <v>-929.64957797622151</v>
      </c>
      <c r="F73" s="58">
        <v>-912.1600787701833</v>
      </c>
      <c r="G73" s="58">
        <v>-819.60672392302899</v>
      </c>
      <c r="H73" s="58">
        <v>3.0621865413401883</v>
      </c>
      <c r="I73" s="58">
        <v>-116.96976711857074</v>
      </c>
      <c r="J73" s="58">
        <v>-134.79702545802692</v>
      </c>
      <c r="K73" s="58">
        <v>-33.48334105952727</v>
      </c>
      <c r="L73" s="58">
        <v>-8.4391123414209837</v>
      </c>
      <c r="M73" s="58">
        <v>46.123511747229713</v>
      </c>
      <c r="N73" s="58">
        <v>-32.015437262736086</v>
      </c>
      <c r="O73" s="58">
        <v>301.38466391767832</v>
      </c>
      <c r="P73" s="58">
        <v>-0.74819118844085009</v>
      </c>
      <c r="Q73" s="58">
        <v>-3.0726915470032194</v>
      </c>
      <c r="R73" s="58">
        <v>-95.272870572734405</v>
      </c>
      <c r="S73" s="58">
        <v>-353.60058926813167</v>
      </c>
      <c r="T73" s="58">
        <v>41.66515090978146</v>
      </c>
      <c r="U73" s="58">
        <v>-469.48116615727781</v>
      </c>
      <c r="V73" s="58">
        <v>-427.81601524749601</v>
      </c>
      <c r="W73" s="58">
        <v>-428.35623018650989</v>
      </c>
      <c r="X73" s="58">
        <v>90.427042945117122</v>
      </c>
      <c r="Y73" s="58">
        <v>-98.562024775044037</v>
      </c>
      <c r="Z73" s="58">
        <v>-68.715514040899038</v>
      </c>
      <c r="AA73" s="58">
        <v>33.027292744492094</v>
      </c>
      <c r="AB73" s="58">
        <v>60.100050796523696</v>
      </c>
      <c r="AC73" s="58">
        <v>53.503292525369723</v>
      </c>
      <c r="AD73" s="58">
        <v>184.19087895060352</v>
      </c>
      <c r="AE73" s="58">
        <v>221.97888082594866</v>
      </c>
      <c r="AF73" s="58">
        <v>40.00445876802064</v>
      </c>
      <c r="AG73" s="58">
        <v>-51.961608585039343</v>
      </c>
      <c r="AH73" s="58">
        <v>-74.526785561835254</v>
      </c>
      <c r="AI73" s="58">
        <v>-189.64752192645466</v>
      </c>
      <c r="AJ73" s="58">
        <f>AJ8-AJ40</f>
        <v>317.04926069003477</v>
      </c>
      <c r="AK73" s="58">
        <f>AK8-AK40</f>
        <v>-117.23081992988</v>
      </c>
      <c r="AL73" s="58">
        <v>199.81844266680301</v>
      </c>
      <c r="AM73" s="58">
        <v>199.80439496644868</v>
      </c>
      <c r="AN73" s="58">
        <v>55.887604509934484</v>
      </c>
      <c r="AO73" s="58">
        <v>-100.45684103960703</v>
      </c>
      <c r="AP73" s="58">
        <v>53.068698299952793</v>
      </c>
      <c r="AQ73" s="58">
        <v>75.774149435688969</v>
      </c>
      <c r="AR73" s="58">
        <v>114.57571442393618</v>
      </c>
      <c r="AS73" s="58">
        <v>-9.7246134341864909</v>
      </c>
      <c r="AT73" s="58">
        <v>71.606015332866562</v>
      </c>
      <c r="AU73" s="58">
        <v>77.12107359946728</v>
      </c>
      <c r="AV73" s="58">
        <v>50.939202110403471</v>
      </c>
      <c r="AW73" s="58">
        <v>57.825950051507967</v>
      </c>
      <c r="AX73" s="58">
        <v>-108.15894474135038</v>
      </c>
      <c r="AY73" s="58">
        <v>-268.30180818549684</v>
      </c>
      <c r="AZ73" s="58">
        <v>272.0377032999246</v>
      </c>
      <c r="BA73" s="58">
        <v>-201.88150293680806</v>
      </c>
      <c r="BB73" s="58">
        <v>70.156200363116923</v>
      </c>
      <c r="BC73" s="58">
        <f t="shared" si="21"/>
        <v>271.90276513746642</v>
      </c>
      <c r="BD73" s="58">
        <v>-201.60315528891692</v>
      </c>
      <c r="BE73" s="58">
        <v>70.299609848549522</v>
      </c>
      <c r="BF73" s="78">
        <f t="shared" ref="BF73:CI73" si="134">BF8-BF40</f>
        <v>59.555602049999948</v>
      </c>
      <c r="BG73" s="78">
        <f t="shared" si="134"/>
        <v>-26.29484630999999</v>
      </c>
      <c r="BH73" s="78">
        <f t="shared" si="134"/>
        <v>33.260755570000015</v>
      </c>
      <c r="BI73" s="78">
        <f t="shared" si="134"/>
        <v>-95.076094289999958</v>
      </c>
      <c r="BJ73" s="78">
        <f t="shared" si="134"/>
        <v>61.504332669999968</v>
      </c>
      <c r="BK73" s="78">
        <f t="shared" si="134"/>
        <v>-33.571760830000017</v>
      </c>
      <c r="BL73" s="78">
        <f t="shared" si="134"/>
        <v>-68.547217390000014</v>
      </c>
      <c r="BM73" s="78">
        <f t="shared" si="134"/>
        <v>-11.399315669999993</v>
      </c>
      <c r="BN73" s="78">
        <f t="shared" si="134"/>
        <v>-79.946533859999988</v>
      </c>
      <c r="BO73" s="78">
        <f t="shared" si="134"/>
        <v>34.056277949999924</v>
      </c>
      <c r="BP73" s="78">
        <f t="shared" si="134"/>
        <v>-35.141995840000014</v>
      </c>
      <c r="BQ73" s="78">
        <f t="shared" si="134"/>
        <v>-1.0857182200001034</v>
      </c>
      <c r="BR73" s="78">
        <f t="shared" si="134"/>
        <v>106.78375923000016</v>
      </c>
      <c r="BS73" s="78">
        <f t="shared" si="134"/>
        <v>-62.095829370000004</v>
      </c>
      <c r="BT73" s="78">
        <f t="shared" si="134"/>
        <v>44.68793045000001</v>
      </c>
      <c r="BU73" s="78">
        <f t="shared" si="134"/>
        <v>-20.033460669999954</v>
      </c>
      <c r="BV73" s="78">
        <f t="shared" si="134"/>
        <v>237.27614688</v>
      </c>
      <c r="BW73" s="78">
        <f t="shared" si="134"/>
        <v>217.24268502999996</v>
      </c>
      <c r="BX73" s="78">
        <f t="shared" si="134"/>
        <v>28.122471549999943</v>
      </c>
      <c r="BY73" s="78">
        <f t="shared" si="134"/>
        <v>-36.311908240000022</v>
      </c>
      <c r="BZ73" s="78">
        <f t="shared" si="134"/>
        <v>-8.1894366899999795</v>
      </c>
      <c r="CA73" s="78">
        <f t="shared" si="134"/>
        <v>69.90692843000005</v>
      </c>
      <c r="CB73" s="78">
        <f t="shared" si="134"/>
        <v>-45.950541840000007</v>
      </c>
      <c r="CC73" s="78">
        <f t="shared" si="134"/>
        <v>23.956386670000086</v>
      </c>
      <c r="CD73" s="78">
        <f t="shared" si="134"/>
        <v>31.611744280000039</v>
      </c>
      <c r="CE73" s="78">
        <f t="shared" si="134"/>
        <v>-9.1703540899999894</v>
      </c>
      <c r="CF73" s="78">
        <f t="shared" si="134"/>
        <v>22.441390189999993</v>
      </c>
      <c r="CG73" s="78">
        <f t="shared" si="134"/>
        <v>-32.5486220599999</v>
      </c>
      <c r="CH73" s="78">
        <f t="shared" si="134"/>
        <v>-42.207915759999992</v>
      </c>
      <c r="CI73" s="78">
        <f t="shared" si="134"/>
        <v>-74.756537819999892</v>
      </c>
      <c r="CJ73" s="78">
        <f t="shared" ref="CJ73:CO73" si="135">CJ8-CJ40</f>
        <v>-4.0704001600000765</v>
      </c>
      <c r="CK73" s="78">
        <f t="shared" si="135"/>
        <v>-154.82702354</v>
      </c>
      <c r="CL73" s="78">
        <f t="shared" si="135"/>
        <v>-158.89742369999999</v>
      </c>
      <c r="CM73" s="78">
        <f t="shared" si="135"/>
        <v>-207.87055630000009</v>
      </c>
      <c r="CN73" s="78">
        <f t="shared" si="135"/>
        <v>-183.03985485999991</v>
      </c>
      <c r="CO73" s="78">
        <f t="shared" si="135"/>
        <v>-390.91041116000002</v>
      </c>
      <c r="CP73" s="91">
        <f t="shared" si="24"/>
        <v>-98.10956737999993</v>
      </c>
      <c r="CQ73" s="91">
        <f t="shared" si="25"/>
        <v>-307.65910596999993</v>
      </c>
      <c r="CR73" s="91">
        <f t="shared" si="26"/>
        <v>-405.76867436999993</v>
      </c>
      <c r="CS73" s="58">
        <f t="shared" ref="CS73:CX73" si="136">CS8-CS40</f>
        <v>-98.531221499999901</v>
      </c>
      <c r="CT73" s="58">
        <f t="shared" si="136"/>
        <v>-307.50778149999996</v>
      </c>
      <c r="CU73" s="58">
        <f t="shared" si="136"/>
        <v>-406.03900299999987</v>
      </c>
      <c r="CV73" s="78">
        <f t="shared" si="136"/>
        <v>45.218408399999987</v>
      </c>
      <c r="CW73" s="78">
        <f t="shared" si="136"/>
        <v>-3.7263237100000026</v>
      </c>
      <c r="CX73" s="78">
        <f t="shared" si="136"/>
        <v>41.492084690000013</v>
      </c>
      <c r="CY73" s="78">
        <v>-106.71026307000005</v>
      </c>
      <c r="CZ73" s="78">
        <v>14.967217810000008</v>
      </c>
      <c r="DA73" s="78">
        <v>-91.743045259999974</v>
      </c>
      <c r="DB73" s="78">
        <v>-55.370789620000039</v>
      </c>
      <c r="DC73" s="78">
        <v>89.334885479999997</v>
      </c>
      <c r="DD73" s="78">
        <v>33.964095859999929</v>
      </c>
      <c r="DE73" s="78">
        <v>30.80272965000006</v>
      </c>
      <c r="DF73" s="78">
        <v>86.836598670000001</v>
      </c>
      <c r="DG73" s="78">
        <v>117.63932832000023</v>
      </c>
      <c r="DH73" s="78">
        <v>45.316041590000054</v>
      </c>
      <c r="DI73" s="78">
        <v>7.8448838900000055</v>
      </c>
      <c r="DJ73" s="78">
        <v>53.160925480000003</v>
      </c>
      <c r="DK73" s="78">
        <v>-21.788854250000043</v>
      </c>
      <c r="DL73" s="78">
        <v>18.081172129999999</v>
      </c>
      <c r="DM73" s="78">
        <v>-3.7076821200000722</v>
      </c>
      <c r="DN73" s="78">
        <v>-8.2532424699999183</v>
      </c>
      <c r="DO73" s="78">
        <v>-85.715374519999997</v>
      </c>
      <c r="DP73" s="78">
        <v>-93.96861698999993</v>
      </c>
      <c r="DQ73" s="78">
        <v>58.04796409000005</v>
      </c>
      <c r="DR73" s="78">
        <v>29.487873509999986</v>
      </c>
      <c r="DS73" s="78">
        <v>87.535837600000093</v>
      </c>
      <c r="DT73" s="78">
        <v>27.628620179999984</v>
      </c>
      <c r="DU73" s="78">
        <v>-77.807269089999991</v>
      </c>
      <c r="DV73" s="78">
        <v>-50.178648909999879</v>
      </c>
      <c r="DW73" s="78">
        <v>22.544931019999979</v>
      </c>
      <c r="DX73" s="78">
        <v>-1.4915323600000221</v>
      </c>
      <c r="DY73" s="78">
        <v>21.053398660000028</v>
      </c>
      <c r="DZ73" s="78">
        <v>28.495860869999944</v>
      </c>
      <c r="EA73" s="78">
        <v>-125.32007175</v>
      </c>
      <c r="EB73" s="78">
        <v>-96.824210880000066</v>
      </c>
      <c r="EC73" s="78">
        <v>-185.81466421000005</v>
      </c>
      <c r="ED73" s="78">
        <v>-219.42530571999998</v>
      </c>
      <c r="EE73" s="78">
        <v>-405.23996992999997</v>
      </c>
      <c r="EF73" s="91">
        <f t="shared" si="27"/>
        <v>-119.88325782000004</v>
      </c>
      <c r="EG73" s="91">
        <f t="shared" si="28"/>
        <v>-266.93324565999995</v>
      </c>
      <c r="EH73" s="91">
        <f t="shared" si="29"/>
        <v>-386.8165034799996</v>
      </c>
      <c r="EI73" s="91">
        <f>EI8-EI40</f>
        <v>-119.1420699199989</v>
      </c>
      <c r="EJ73" s="91">
        <f>EJ8-EJ40</f>
        <v>-267.1809529999997</v>
      </c>
      <c r="EK73" s="91">
        <f>EK8-EK40</f>
        <v>-386.32302291999895</v>
      </c>
      <c r="EL73" s="91">
        <v>48.251715359999992</v>
      </c>
      <c r="EM73" s="91">
        <v>-1.6521805900000146</v>
      </c>
      <c r="EN73" s="91">
        <v>46.599534769999991</v>
      </c>
      <c r="EO73" s="91">
        <v>-78.014068739999971</v>
      </c>
      <c r="EP73" s="91">
        <v>104.09197879000004</v>
      </c>
      <c r="EQ73" s="91">
        <v>26.077910050000071</v>
      </c>
      <c r="ER73" s="91">
        <v>-49.449576779999973</v>
      </c>
      <c r="ES73" s="91">
        <v>-75.083203799999993</v>
      </c>
      <c r="ET73" s="91">
        <v>-124.53278058000001</v>
      </c>
      <c r="EU73" s="91">
        <v>-3.7892365999998674</v>
      </c>
      <c r="EV73" s="91">
        <v>-48.516589509999996</v>
      </c>
      <c r="EW73" s="91">
        <v>-52.305826109999941</v>
      </c>
      <c r="EX73" s="91">
        <v>120.49591953000009</v>
      </c>
      <c r="EY73" s="91">
        <v>19.672955199999997</v>
      </c>
      <c r="EZ73" s="91">
        <v>140.16887473000008</v>
      </c>
      <c r="FA73" s="91">
        <v>-25.010058749999985</v>
      </c>
      <c r="FB73" s="91">
        <v>28.458204850000001</v>
      </c>
      <c r="FC73" s="91">
        <v>3.448146099999974</v>
      </c>
      <c r="FD73" s="91">
        <v>68.011441569999931</v>
      </c>
      <c r="FE73" s="91">
        <v>-70.71159419</v>
      </c>
      <c r="FF73" s="91">
        <v>-2.7001526200000399</v>
      </c>
      <c r="FG73" s="91">
        <v>47.853110379999976</v>
      </c>
      <c r="FH73" s="91">
        <v>-16.072254000000008</v>
      </c>
      <c r="FI73" s="91">
        <v>31.780856380000046</v>
      </c>
      <c r="FJ73" s="91">
        <v>106.09018182</v>
      </c>
      <c r="FK73" s="91">
        <v>-33.280277910000002</v>
      </c>
      <c r="FL73" s="91">
        <v>72.809903910000003</v>
      </c>
      <c r="FM73" s="91">
        <v>-19.322149509999917</v>
      </c>
      <c r="FN73" s="91">
        <v>-65.815523009999993</v>
      </c>
      <c r="FO73" s="91">
        <v>-85.126735909999979</v>
      </c>
      <c r="FP73" s="91">
        <v>-8.178363499999989</v>
      </c>
      <c r="FQ73" s="91">
        <v>-81.42697394999999</v>
      </c>
      <c r="FR73" s="91">
        <v>-89.595121259999928</v>
      </c>
      <c r="FS73" s="91">
        <v>-151.84256078000016</v>
      </c>
      <c r="FT73" s="91">
        <v>-52.576652229999979</v>
      </c>
      <c r="FU73" s="91">
        <v>-206.02277294000021</v>
      </c>
      <c r="FV73" s="91">
        <f t="shared" si="30"/>
        <v>55.096354000000133</v>
      </c>
      <c r="FW73" s="91">
        <f t="shared" si="31"/>
        <v>-292.91211034999992</v>
      </c>
      <c r="FX73" s="91">
        <f t="shared" si="32"/>
        <v>-239.39816347999994</v>
      </c>
      <c r="FY73" s="91">
        <f>FY8-FY40</f>
        <v>53.901873000000705</v>
      </c>
      <c r="FZ73" s="91">
        <f>FZ8-FZ40</f>
        <v>-292.91531199999997</v>
      </c>
      <c r="GA73" s="91">
        <f>GA8-GA40</f>
        <v>-239.01343899999938</v>
      </c>
      <c r="GB73" s="91">
        <v>91.309388960000092</v>
      </c>
      <c r="GC73" s="91">
        <v>5.7250826499999903</v>
      </c>
      <c r="GD73" s="91">
        <v>97.051403259999972</v>
      </c>
      <c r="GE73" s="91">
        <v>-105.79795219999994</v>
      </c>
      <c r="GF73" s="91">
        <v>105.48890819000002</v>
      </c>
      <c r="GG73" s="91">
        <v>-0.28277537000008124</v>
      </c>
      <c r="GH73" s="91">
        <v>-50.47228376999999</v>
      </c>
      <c r="GI73" s="91">
        <v>-9.9297488900000062</v>
      </c>
      <c r="GJ73" s="91">
        <v>-60.36390732000001</v>
      </c>
      <c r="GK73" s="91">
        <v>13.279768819999958</v>
      </c>
      <c r="GL73" s="91">
        <v>50.188528269999999</v>
      </c>
      <c r="GM73" s="91">
        <v>63.460521210000024</v>
      </c>
      <c r="GN73" s="91">
        <v>85.027673320000019</v>
      </c>
      <c r="GO73" s="91">
        <v>-52.418342659999993</v>
      </c>
      <c r="GP73" s="91">
        <v>32.621707879999974</v>
      </c>
      <c r="GQ73" s="91">
        <v>-31.793237350000027</v>
      </c>
      <c r="GR73" s="91">
        <v>19.845722440000017</v>
      </c>
      <c r="GS73" s="91">
        <v>-11.913921120000168</v>
      </c>
      <c r="GT73" s="91">
        <v>34.087459050000007</v>
      </c>
      <c r="GU73" s="91">
        <v>-19.949097579999986</v>
      </c>
      <c r="GV73" s="91">
        <v>14.160891649999883</v>
      </c>
      <c r="GW73" s="91">
        <v>95.750231139999869</v>
      </c>
      <c r="GX73" s="91">
        <v>-41.978447869999997</v>
      </c>
      <c r="GY73" s="91">
        <v>53.845332419999806</v>
      </c>
      <c r="GZ73" s="91">
        <v>58.424261069999943</v>
      </c>
      <c r="HA73" s="91">
        <v>-56.600148589999989</v>
      </c>
      <c r="HB73" s="91">
        <v>1.8084730599999261</v>
      </c>
      <c r="HC73" s="91">
        <v>-1.1233048199999303</v>
      </c>
      <c r="HD73" s="91">
        <v>-112.67094920000005</v>
      </c>
      <c r="HE73" s="91">
        <v>-113.77989353999988</v>
      </c>
      <c r="HF73" s="91">
        <v>-22.839539230000071</v>
      </c>
      <c r="HG73" s="91">
        <v>-116.27672023000005</v>
      </c>
      <c r="HH73" s="91">
        <v>-139.10966769000015</v>
      </c>
      <c r="HI73" s="91">
        <v>-157.20341929000011</v>
      </c>
      <c r="HJ73" s="91">
        <v>-137.42128354000005</v>
      </c>
      <c r="HK73" s="91">
        <v>-294.42596296000022</v>
      </c>
      <c r="HL73" s="91">
        <f t="shared" si="33"/>
        <v>8.6490456999998173</v>
      </c>
      <c r="HM73" s="91">
        <f t="shared" si="34"/>
        <v>-365.9964970100001</v>
      </c>
      <c r="HN73" s="91">
        <f t="shared" si="35"/>
        <v>-356.92779852000092</v>
      </c>
      <c r="HO73" s="91">
        <f>HO8-HO40</f>
        <v>9.0562560000007579</v>
      </c>
      <c r="HP73" s="91">
        <f>HP8-HP40</f>
        <v>-366.01609400000007</v>
      </c>
      <c r="HQ73" s="91">
        <f>HQ8-HQ40</f>
        <v>-356.95983799999976</v>
      </c>
      <c r="HR73" s="91">
        <v>104.56180124000012</v>
      </c>
      <c r="HS73" s="91">
        <v>23.89267549000003</v>
      </c>
      <c r="HT73" s="91">
        <v>128.45447673000015</v>
      </c>
      <c r="HU73" s="91">
        <v>-48.181864120000718</v>
      </c>
      <c r="HV73" s="91">
        <v>154.16188408999997</v>
      </c>
      <c r="HW73" s="91">
        <v>105.98001996999925</v>
      </c>
      <c r="HX73" s="91">
        <v>-26.170039660000743</v>
      </c>
      <c r="HY73" s="91">
        <v>-37.857305910000072</v>
      </c>
      <c r="HZ73" s="91">
        <v>-64.027345570000818</v>
      </c>
      <c r="IA73" s="91">
        <v>-58.142867080000578</v>
      </c>
      <c r="IB73" s="91">
        <v>42.511602129999986</v>
      </c>
      <c r="IC73" s="91">
        <v>-15.631264950000594</v>
      </c>
      <c r="ID73" s="91">
        <v>239.26306012999993</v>
      </c>
      <c r="IE73" s="91">
        <v>-8.8716377399999153</v>
      </c>
      <c r="IF73" s="91">
        <v>230.39142239000006</v>
      </c>
      <c r="IG73" s="91">
        <v>31.007640190000714</v>
      </c>
      <c r="IH73" s="91">
        <v>-75.596156889999975</v>
      </c>
      <c r="II73" s="91">
        <v>-44.588516699999253</v>
      </c>
      <c r="IJ73" s="91">
        <v>12.066821459999025</v>
      </c>
      <c r="IK73" s="91">
        <v>154.66757902000003</v>
      </c>
      <c r="IL73" s="91">
        <v>166.73440047999907</v>
      </c>
      <c r="IM73" s="91">
        <v>61.353910679998876</v>
      </c>
      <c r="IN73" s="91">
        <v>-49.998494189999995</v>
      </c>
      <c r="IO73" s="91">
        <v>11.355416489998879</v>
      </c>
      <c r="IP73" s="91">
        <v>33.981510319999579</v>
      </c>
      <c r="IQ73" s="91">
        <v>-76.748876580000186</v>
      </c>
      <c r="IR73" s="91">
        <v>-42.767366260000607</v>
      </c>
      <c r="IS73" s="91">
        <v>-65.662259969999795</v>
      </c>
      <c r="IT73" s="91">
        <v>-119.35935287999996</v>
      </c>
      <c r="IU73" s="91">
        <v>-185.02161284999977</v>
      </c>
      <c r="IV73" s="91">
        <v>-21.977987109998704</v>
      </c>
      <c r="IW73" s="91">
        <v>-122.62640764999983</v>
      </c>
      <c r="IX73" s="91">
        <v>-144.60439475999854</v>
      </c>
      <c r="IY73" s="91">
        <v>-240.39899371999871</v>
      </c>
      <c r="IZ73" s="91">
        <v>-208.02571299000005</v>
      </c>
      <c r="JA73" s="91">
        <v>-448.4247067099987</v>
      </c>
      <c r="JB73" s="91">
        <f t="shared" si="36"/>
        <v>21.700732359998938</v>
      </c>
      <c r="JC73" s="91">
        <f t="shared" si="37"/>
        <v>-323.85020409999998</v>
      </c>
      <c r="JD73" s="91">
        <f t="shared" si="38"/>
        <v>-302.14947174000099</v>
      </c>
      <c r="JE73" s="91">
        <f>JE8-JE40</f>
        <v>22.00424699999985</v>
      </c>
      <c r="JF73" s="91">
        <f>JF8-JF40</f>
        <v>-323.89815000000021</v>
      </c>
      <c r="JG73" s="91">
        <f>JG8-JG40</f>
        <v>-301.89390300000014</v>
      </c>
      <c r="JH73" s="91">
        <v>-21.102296289999487</v>
      </c>
      <c r="JI73" s="91">
        <v>74.70511746000011</v>
      </c>
      <c r="JJ73" s="91">
        <v>53.602821170000631</v>
      </c>
      <c r="JK73" s="91">
        <v>-122.95315600999892</v>
      </c>
      <c r="JL73" s="91">
        <v>169.13709834999989</v>
      </c>
      <c r="JM73" s="91">
        <v>46.183942340000961</v>
      </c>
      <c r="JN73" s="91">
        <v>-39.22554133000034</v>
      </c>
      <c r="JO73" s="91">
        <v>-68.243233880000176</v>
      </c>
      <c r="JP73" s="91">
        <v>-107.46877521000052</v>
      </c>
      <c r="JQ73" s="91">
        <v>-45.005586919999836</v>
      </c>
      <c r="JR73" s="91">
        <v>96.336451559999915</v>
      </c>
      <c r="JS73" s="91">
        <v>51.330864640000073</v>
      </c>
      <c r="JT73" s="91">
        <v>217.99894329999952</v>
      </c>
      <c r="JU73" s="91">
        <v>-15.423958379999799</v>
      </c>
      <c r="JV73" s="91">
        <v>202.57498491999974</v>
      </c>
      <c r="JW73" s="91">
        <v>-37.69526450999993</v>
      </c>
      <c r="JX73" s="91">
        <v>203.34961484000004</v>
      </c>
      <c r="JY73" s="91">
        <v>165.65435033000011</v>
      </c>
      <c r="JZ73" s="91">
        <v>-28.012510760000229</v>
      </c>
      <c r="KA73" s="91">
        <v>-93.443333350000103</v>
      </c>
      <c r="KB73" s="91">
        <v>-121.45584411000033</v>
      </c>
      <c r="KC73" s="91">
        <v>32.736543899998068</v>
      </c>
      <c r="KD73" s="91">
        <v>-95.279756060000068</v>
      </c>
      <c r="KE73" s="91">
        <v>-62.543212160001985</v>
      </c>
      <c r="KF73" s="91">
        <v>33.628990760000349</v>
      </c>
      <c r="KG73" s="91">
        <v>-132.87164047999997</v>
      </c>
      <c r="KH73" s="91">
        <v>-99.242649719999633</v>
      </c>
      <c r="KI73" s="91">
        <v>-45.401830540000674</v>
      </c>
      <c r="KJ73" s="91">
        <v>-61.169083060000304</v>
      </c>
      <c r="KK73" s="91">
        <v>-106.57091360000098</v>
      </c>
      <c r="KL73" s="91">
        <v>-83.845570350000798</v>
      </c>
      <c r="KM73" s="91">
        <v>-78.905275189999969</v>
      </c>
      <c r="KN73" s="91">
        <v>-162.75084554000074</v>
      </c>
      <c r="KO73" s="91">
        <v>-217.24528249999904</v>
      </c>
      <c r="KP73" s="91">
        <v>-127.11362657999983</v>
      </c>
      <c r="KQ73" s="91">
        <v>-344.35890907999885</v>
      </c>
      <c r="KR73" s="91">
        <f t="shared" si="48"/>
        <v>-356.12256125000135</v>
      </c>
      <c r="KS73" s="91">
        <f t="shared" si="39"/>
        <v>-128.92162477000028</v>
      </c>
      <c r="KT73" s="91">
        <f t="shared" si="49"/>
        <v>-485.04418602000158</v>
      </c>
      <c r="KU73" s="91">
        <f>KU8-KU40</f>
        <v>-355.87681800000246</v>
      </c>
      <c r="KV73" s="91">
        <f>KV8-KV40</f>
        <v>-129.37065400000006</v>
      </c>
      <c r="KW73" s="91">
        <f>KW8-KW40</f>
        <v>-485.24747200000184</v>
      </c>
      <c r="KX73" s="91">
        <v>-15.574877099999487</v>
      </c>
      <c r="KY73" s="91">
        <v>-11.433905740000002</v>
      </c>
      <c r="KZ73" s="91">
        <v>-27.00878283999949</v>
      </c>
      <c r="LA73" s="91">
        <v>-103.21758176000058</v>
      </c>
      <c r="LB73" s="91">
        <v>120.95683984999998</v>
      </c>
      <c r="LC73" s="91">
        <v>17.739258089999396</v>
      </c>
      <c r="LD73" s="91">
        <v>-72.146084159999674</v>
      </c>
      <c r="LE73" s="91">
        <v>-20.291276779999826</v>
      </c>
      <c r="LF73" s="91">
        <v>-92.437360939999493</v>
      </c>
      <c r="LG73" s="91">
        <v>-230.46058746000028</v>
      </c>
      <c r="LH73" s="91">
        <v>161.84182965000002</v>
      </c>
      <c r="LI73" s="176">
        <v>-68.618757810000247</v>
      </c>
      <c r="LJ73" s="176">
        <v>41.470911460000337</v>
      </c>
      <c r="LK73" s="176">
        <v>36.834144790000082</v>
      </c>
      <c r="LL73" s="176">
        <v>78.305056250000405</v>
      </c>
      <c r="LM73" s="176">
        <v>-48.782185929999827</v>
      </c>
      <c r="LN73" s="176">
        <v>-67.894149820000024</v>
      </c>
      <c r="LO73" s="176">
        <v>-116.67633574999985</v>
      </c>
      <c r="LP73" s="181">
        <v>-95.061358720002531</v>
      </c>
      <c r="LQ73" s="78">
        <v>188.65875008999993</v>
      </c>
      <c r="LR73" s="181">
        <v>93.597391369997382</v>
      </c>
      <c r="LS73" s="182">
        <v>-18.430138309999407</v>
      </c>
      <c r="LT73" s="78">
        <v>-82.813124210000154</v>
      </c>
      <c r="LU73" s="187">
        <v>-101.24293139000034</v>
      </c>
      <c r="LV73" s="78">
        <v>-52.44478826000023</v>
      </c>
      <c r="LW73" s="78">
        <v>-66.540470090000127</v>
      </c>
      <c r="LX73" s="78">
        <v>-118.98525835000036</v>
      </c>
      <c r="LY73" s="78">
        <v>-83.835020629999988</v>
      </c>
      <c r="LZ73" s="78">
        <v>-181.74706623999992</v>
      </c>
      <c r="MA73" s="78">
        <v>-265.5820868699999</v>
      </c>
      <c r="MB73" s="78">
        <v>-50.231159120000243</v>
      </c>
      <c r="MC73" s="78">
        <v>-57.949399009999873</v>
      </c>
      <c r="MD73" s="78">
        <v>-108.18055813000011</v>
      </c>
      <c r="ME73" s="78">
        <v>-433.62735882000021</v>
      </c>
      <c r="MF73" s="78">
        <v>-99.244300059999873</v>
      </c>
      <c r="MG73" s="78">
        <v>-532.87165888000015</v>
      </c>
      <c r="MH73" s="78">
        <f t="shared" si="66"/>
        <v>-1162.3402288100021</v>
      </c>
      <c r="MI73" s="78">
        <f t="shared" si="50"/>
        <v>-79.622127569999805</v>
      </c>
      <c r="MJ73" s="78">
        <f t="shared" si="51"/>
        <v>-1241.9620252500029</v>
      </c>
      <c r="MK73" s="91">
        <f>MK8-MK40</f>
        <v>-1165.4271260000005</v>
      </c>
      <c r="ML73" s="91">
        <f>ML8-ML40</f>
        <v>-58.951218000000154</v>
      </c>
      <c r="MM73" s="91">
        <f>MM8-MM40</f>
        <v>-1224.3783440000007</v>
      </c>
      <c r="MN73" s="78">
        <v>32.550330409999845</v>
      </c>
      <c r="MO73" s="78">
        <v>112.94512110999993</v>
      </c>
      <c r="MP73" s="78">
        <v>145.495451</v>
      </c>
      <c r="MQ73" s="78">
        <v>-249.29404874000005</v>
      </c>
      <c r="MR73" s="78">
        <v>147.98889974000016</v>
      </c>
      <c r="MS73" s="78">
        <v>-101.30514899999987</v>
      </c>
      <c r="MT73" s="78">
        <v>-539.08174800999984</v>
      </c>
      <c r="MU73" s="78">
        <v>-58.661516990000059</v>
      </c>
      <c r="MV73" s="78">
        <v>-597.74326499999995</v>
      </c>
      <c r="MW73" s="78">
        <v>-223.26255626999998</v>
      </c>
      <c r="MX73" s="78">
        <v>118.38475852999997</v>
      </c>
      <c r="MY73" s="78">
        <v>-104.87779774000001</v>
      </c>
      <c r="MZ73" s="78">
        <v>34.948410440000004</v>
      </c>
      <c r="NA73" s="78">
        <v>-36.104821440000073</v>
      </c>
      <c r="NB73" s="78">
        <v>-1.1564110000000865</v>
      </c>
      <c r="NC73" s="78">
        <v>-250.09306692000004</v>
      </c>
      <c r="ND73" s="78">
        <v>-29.73917407999997</v>
      </c>
      <c r="NE73" s="78">
        <v>-279.83224100000001</v>
      </c>
      <c r="NF73" s="78">
        <v>-116.78947170999993</v>
      </c>
      <c r="NG73" s="78">
        <v>97.760933469999941</v>
      </c>
      <c r="NH73" s="78">
        <v>19.028310999999999</v>
      </c>
      <c r="NI73" s="78">
        <v>3.1983862299999668</v>
      </c>
      <c r="NJ73" s="78">
        <v>-33.245619229999932</v>
      </c>
      <c r="NK73" s="78">
        <v>-30.047232999999967</v>
      </c>
      <c r="NL73" s="78">
        <v>-20.800597070000066</v>
      </c>
      <c r="NM73" s="78">
        <v>132.29767407000006</v>
      </c>
      <c r="NN73" s="78">
        <v>111.497077</v>
      </c>
      <c r="NO73" s="78">
        <v>-106.67200029999985</v>
      </c>
      <c r="NP73" s="78">
        <v>-172.12969070000008</v>
      </c>
      <c r="NQ73" s="78">
        <v>-278.80169100000001</v>
      </c>
      <c r="NR73" s="78">
        <v>-107.89576195999992</v>
      </c>
      <c r="NS73" s="78">
        <v>70.612034959999988</v>
      </c>
      <c r="NT73" s="78">
        <v>-37.283726999999921</v>
      </c>
      <c r="NU73" s="78">
        <v>-556.51098117000015</v>
      </c>
      <c r="NV73" s="78">
        <v>-249.33913682999975</v>
      </c>
      <c r="NW73" s="78">
        <v>-805.85011799999984</v>
      </c>
      <c r="NX73" s="78">
        <f t="shared" si="117"/>
        <v>-2099.7031050699998</v>
      </c>
      <c r="NY73" s="78">
        <f t="shared" si="40"/>
        <v>100.76946261000018</v>
      </c>
      <c r="NZ73" s="78">
        <f t="shared" si="41"/>
        <v>-1960.8767937399998</v>
      </c>
      <c r="OA73" s="91">
        <f>OA8-OA40</f>
        <v>-2062.0864990000018</v>
      </c>
      <c r="OB73" s="91">
        <f>OB8-OB40</f>
        <v>81.568860000000086</v>
      </c>
      <c r="OC73" s="91">
        <f>OC8-OC40</f>
        <v>-1980.5176390000015</v>
      </c>
      <c r="OD73" s="78">
        <f>OF73-OE73</f>
        <v>-143.69826716999924</v>
      </c>
      <c r="OE73" s="78">
        <v>121.12165435999997</v>
      </c>
      <c r="OF73" s="78">
        <v>-22.576612809999286</v>
      </c>
      <c r="OG73" s="78">
        <v>-243.14775551999998</v>
      </c>
      <c r="OH73" s="78">
        <v>161.51671212000005</v>
      </c>
      <c r="OI73" s="78">
        <v>-81.631044000000003</v>
      </c>
      <c r="OJ73" s="78">
        <f t="shared" si="107"/>
        <v>-219.46772556999852</v>
      </c>
      <c r="OK73" s="78">
        <v>-77.668500690000116</v>
      </c>
      <c r="OL73" s="78">
        <v>-297.13622625999864</v>
      </c>
      <c r="OM73" s="78">
        <v>-99.358845410001663</v>
      </c>
      <c r="ON73" s="78">
        <v>94.269941890000112</v>
      </c>
      <c r="OO73" s="78">
        <v>-5.0889035200015087</v>
      </c>
      <c r="OP73" s="78">
        <v>-93.298281610000458</v>
      </c>
      <c r="OQ73" s="78">
        <v>-19.067849559999914</v>
      </c>
      <c r="OR73" s="78">
        <v>-112.36613117000039</v>
      </c>
      <c r="OS73" s="78">
        <v>-104.32414182999901</v>
      </c>
      <c r="OT73" s="78">
        <v>2.9893290699999113</v>
      </c>
      <c r="OU73" s="78">
        <v>-101.3348127599991</v>
      </c>
      <c r="OV73" s="78">
        <v>8.6002485799998567</v>
      </c>
      <c r="OW73" s="78">
        <v>-40.586503070000077</v>
      </c>
      <c r="OX73" s="78">
        <v>-31.986254490000213</v>
      </c>
      <c r="OY73" s="209">
        <v>15.392364210000551</v>
      </c>
      <c r="OZ73" s="209">
        <v>40.676607050000115</v>
      </c>
      <c r="PA73" s="209">
        <v>56.068971260000666</v>
      </c>
      <c r="PB73" s="78">
        <v>-220.86924122999744</v>
      </c>
      <c r="PC73" s="78">
        <v>-102.22656845000003</v>
      </c>
      <c r="PD73" s="78">
        <v>-323.09580967999744</v>
      </c>
      <c r="PE73" s="78">
        <v>-322.58721609000111</v>
      </c>
      <c r="PF73" s="78">
        <v>-0.70317408000030923</v>
      </c>
      <c r="PG73" s="78">
        <v>-323.29039017000139</v>
      </c>
      <c r="PH73" s="78">
        <v>-29.917523739999286</v>
      </c>
      <c r="PI73" s="78">
        <v>32.425942429999878</v>
      </c>
      <c r="PJ73" s="78">
        <v>2.5084186900005911</v>
      </c>
      <c r="PK73" s="78">
        <v>-467.22437862999982</v>
      </c>
      <c r="PL73" s="78">
        <v>-182.09491737000025</v>
      </c>
      <c r="PM73" s="78">
        <v>-649.31929600000001</v>
      </c>
      <c r="PN73" s="78">
        <f t="shared" si="122"/>
        <v>-1919.9007640099962</v>
      </c>
      <c r="PO73" s="78">
        <f t="shared" si="108"/>
        <v>30.652673699999383</v>
      </c>
      <c r="PP73" s="78">
        <f t="shared" si="116"/>
        <v>-1889.2480909099963</v>
      </c>
      <c r="PQ73" s="91">
        <f>PQ8-PQ40</f>
        <v>-1920.2285305699997</v>
      </c>
      <c r="PR73" s="91">
        <f>PR8-PR40</f>
        <v>57.760097569999971</v>
      </c>
      <c r="PS73" s="91">
        <f>PS8-PS40</f>
        <v>-1862.468433</v>
      </c>
      <c r="PT73" s="78">
        <v>50.906711850000008</v>
      </c>
      <c r="PU73" s="78">
        <v>54.447006149999979</v>
      </c>
      <c r="PV73" s="78">
        <v>105.353718</v>
      </c>
      <c r="PW73" s="78">
        <v>-186.26220498000015</v>
      </c>
      <c r="PX73" s="78">
        <v>74.688307980000133</v>
      </c>
      <c r="PY73" s="78">
        <v>-111.573897</v>
      </c>
      <c r="PZ73" s="78">
        <v>-161.99623543999991</v>
      </c>
      <c r="QA73" s="78">
        <v>-106.45013856000008</v>
      </c>
      <c r="QB73" s="78">
        <v>-268.44637399999999</v>
      </c>
      <c r="QC73" s="78">
        <v>10.046906580000183</v>
      </c>
      <c r="QD73" s="78">
        <v>70.115928419999875</v>
      </c>
      <c r="QE73" s="78">
        <v>80.162835000000001</v>
      </c>
      <c r="QF73" s="230">
        <v>93.185608020000075</v>
      </c>
      <c r="QG73" s="78">
        <v>-23.462893020000081</v>
      </c>
      <c r="QH73" s="78">
        <v>69.722714999999994</v>
      </c>
      <c r="QI73" s="230">
        <v>4.5612677799998806</v>
      </c>
      <c r="QJ73" s="78">
        <v>-116.38009877999988</v>
      </c>
      <c r="QK73" s="78">
        <v>-111.818831</v>
      </c>
      <c r="QL73" s="78">
        <v>2.7346053499998817</v>
      </c>
      <c r="QM73" s="78">
        <v>93.702971650000123</v>
      </c>
      <c r="QN73" s="78">
        <v>96.437577000000005</v>
      </c>
      <c r="QO73" s="55">
        <v>43.265640489999967</v>
      </c>
      <c r="QP73" s="78">
        <v>-69.827049489999922</v>
      </c>
      <c r="QQ73" s="78">
        <v>-26.561408999999955</v>
      </c>
      <c r="QR73" s="78">
        <v>11.501585129999825</v>
      </c>
      <c r="QS73" s="78">
        <v>-76.231482129999861</v>
      </c>
      <c r="QT73" s="78">
        <v>-64.729897000000037</v>
      </c>
      <c r="QU73" s="55">
        <v>-104.75761915000027</v>
      </c>
      <c r="QV73" s="78">
        <v>-148.69955784999974</v>
      </c>
      <c r="QW73" s="78">
        <v>-253.457177</v>
      </c>
      <c r="QX73" s="55">
        <v>-140.23165624000018</v>
      </c>
      <c r="QY73" s="78">
        <v>52.702139240000093</v>
      </c>
      <c r="QZ73" s="78">
        <v>-87.529517000000084</v>
      </c>
      <c r="RA73" s="55">
        <v>-553.89468121999926</v>
      </c>
      <c r="RB73" s="78">
        <v>-404.66576385000047</v>
      </c>
      <c r="RC73" s="78">
        <v>-958.56044506999967</v>
      </c>
      <c r="RD73" s="78">
        <f t="shared" si="52"/>
        <v>-930.94007182999997</v>
      </c>
      <c r="RE73" s="78">
        <f t="shared" si="53"/>
        <v>-600.06063023999991</v>
      </c>
      <c r="RF73" s="78">
        <f t="shared" si="54"/>
        <v>-1531.0007020699998</v>
      </c>
      <c r="RG73" s="91">
        <f>RG8-RG40</f>
        <v>-931.48726200000146</v>
      </c>
      <c r="RH73" s="91">
        <f>RH8-RH40</f>
        <v>-506.6144819999995</v>
      </c>
      <c r="RI73" s="91">
        <f>RI8-RI40</f>
        <v>-1438.1017440000014</v>
      </c>
      <c r="RJ73" s="78">
        <v>-73.137042819999962</v>
      </c>
      <c r="RK73" s="78">
        <v>185.11664782000003</v>
      </c>
      <c r="RL73" s="78">
        <v>111.97960500000008</v>
      </c>
      <c r="RM73" s="78">
        <v>-266.06687655999986</v>
      </c>
      <c r="RN73" s="78">
        <v>131.81604255999997</v>
      </c>
      <c r="RO73" s="78">
        <v>-134.25083399999991</v>
      </c>
      <c r="RP73" s="78">
        <v>-150.17657585000021</v>
      </c>
      <c r="RQ73" s="78">
        <v>46.368198850000141</v>
      </c>
      <c r="RR73" s="78">
        <v>-103.80837700000006</v>
      </c>
      <c r="RS73" s="91">
        <v>-282.70743582</v>
      </c>
      <c r="RT73" s="78">
        <v>35.053335820000086</v>
      </c>
      <c r="RU73" s="78">
        <v>-247.65409999999994</v>
      </c>
      <c r="RV73" s="78">
        <v>39.618552299999862</v>
      </c>
      <c r="RW73" s="78">
        <v>289.4762757000002</v>
      </c>
      <c r="RX73" s="78">
        <v>329.09482800000006</v>
      </c>
      <c r="RY73" s="78">
        <v>280.29977353000015</v>
      </c>
      <c r="RZ73" s="78">
        <v>20.768519469999802</v>
      </c>
      <c r="SA73" s="78">
        <v>301.06829299999998</v>
      </c>
      <c r="SB73" s="78">
        <v>-94.617961849999986</v>
      </c>
      <c r="SC73" s="78">
        <v>50.963994850000006</v>
      </c>
      <c r="SD73" s="78">
        <v>-43.65396699999998</v>
      </c>
      <c r="SE73" s="78">
        <f t="shared" ref="SE73" si="137">SG73-SF73</f>
        <v>10.254924910000099</v>
      </c>
      <c r="SF73" s="78">
        <v>-26.116800910000052</v>
      </c>
      <c r="SG73" s="78">
        <v>-15.861875999999953</v>
      </c>
      <c r="SH73" s="78">
        <v>23.909685889999921</v>
      </c>
      <c r="SI73" s="78">
        <v>-99.128847889999975</v>
      </c>
      <c r="SJ73" s="78">
        <v>-75.219162000000054</v>
      </c>
      <c r="SK73" s="78">
        <v>-117.80828253999994</v>
      </c>
      <c r="SL73" s="78">
        <v>-201.12793245999995</v>
      </c>
      <c r="SM73" s="78">
        <v>-318.93621499999989</v>
      </c>
      <c r="SN73" s="91">
        <v>-123.01987655999997</v>
      </c>
      <c r="SO73" s="78">
        <v>-125.15748044000009</v>
      </c>
      <c r="SP73" s="78">
        <v>-248.17735700000006</v>
      </c>
      <c r="SQ73" s="91">
        <v>-259.46802117000067</v>
      </c>
      <c r="SR73" s="78">
        <v>-377.73215782999949</v>
      </c>
      <c r="SS73" s="78">
        <v>-637.20017900000016</v>
      </c>
      <c r="ST73" s="91">
        <f t="shared" si="55"/>
        <v>-1012.9191365400006</v>
      </c>
      <c r="SU73" s="91">
        <f t="shared" si="65"/>
        <v>-69.700204459999213</v>
      </c>
      <c r="SV73" s="91">
        <f t="shared" si="56"/>
        <v>-1082.6193409999998</v>
      </c>
      <c r="SW73" s="91">
        <f>SW8-SW40</f>
        <v>-1013.9152909999993</v>
      </c>
      <c r="SX73" s="91">
        <f>SX8-SX40</f>
        <v>-35.658796999999822</v>
      </c>
      <c r="SY73" s="91">
        <f>SY8-SY40</f>
        <v>-1049.5740879999994</v>
      </c>
      <c r="SZ73" s="78">
        <v>-86.148583649999836</v>
      </c>
      <c r="TA73" s="78">
        <v>-39.850358490000119</v>
      </c>
      <c r="TB73" s="78">
        <v>-125.99894213999995</v>
      </c>
      <c r="TC73" s="263">
        <v>-256.61365823000028</v>
      </c>
      <c r="TD73" s="78">
        <v>109.53386749000029</v>
      </c>
      <c r="TE73" s="78">
        <v>-147.07979074000002</v>
      </c>
      <c r="TF73" s="78">
        <v>-366.26242733999999</v>
      </c>
      <c r="TG73" s="78">
        <v>-127.94908900999995</v>
      </c>
      <c r="TH73" s="78">
        <v>-494.21151634999995</v>
      </c>
      <c r="TI73" s="78">
        <v>-148.72213490999982</v>
      </c>
      <c r="TJ73" s="78">
        <v>-69.206819159999981</v>
      </c>
      <c r="TK73" s="78">
        <v>-217.9289540699998</v>
      </c>
      <c r="TL73" s="78">
        <f t="shared" si="130"/>
        <v>-59.43557924000018</v>
      </c>
      <c r="TM73" s="78">
        <v>287.63130611000014</v>
      </c>
      <c r="TN73" s="78">
        <v>228.19572686999996</v>
      </c>
      <c r="TO73" s="78">
        <v>188.83121606000017</v>
      </c>
      <c r="TP73" s="78">
        <v>-124.68982450999997</v>
      </c>
      <c r="TQ73" s="78">
        <v>64.141391550000208</v>
      </c>
      <c r="TR73" s="78">
        <v>-37.27187263999997</v>
      </c>
      <c r="TS73" s="78">
        <v>-156.97550089999984</v>
      </c>
      <c r="TT73" s="78">
        <v>-194.24737353999981</v>
      </c>
      <c r="TU73" s="78">
        <v>100.6566742899997</v>
      </c>
      <c r="TV73" s="78">
        <v>-25.1060914199997</v>
      </c>
      <c r="TW73" s="78">
        <v>75.55058287</v>
      </c>
      <c r="TX73" s="78">
        <v>-153.3917010400009</v>
      </c>
      <c r="TY73" s="78">
        <v>-145.25169496000029</v>
      </c>
      <c r="TZ73" s="78">
        <v>-298.64339600000119</v>
      </c>
      <c r="UA73" s="78">
        <v>-73.392918569999267</v>
      </c>
      <c r="UB73" s="78">
        <v>-280.96846467999956</v>
      </c>
      <c r="UC73" s="78">
        <v>-354.36138324999882</v>
      </c>
      <c r="UD73" s="78">
        <v>-68.86655870000007</v>
      </c>
      <c r="UE73" s="78">
        <v>-154.95799926000004</v>
      </c>
      <c r="UF73" s="78">
        <v>-223.82455796000011</v>
      </c>
      <c r="UG73" s="78">
        <v>-482.43364325000152</v>
      </c>
      <c r="UH73" s="78">
        <v>-51.321132349999175</v>
      </c>
      <c r="UI73" s="78">
        <v>-533.7547756000007</v>
      </c>
      <c r="UJ73" s="78">
        <f t="shared" si="133"/>
        <v>-1443.0511872200018</v>
      </c>
      <c r="UK73" s="78">
        <f t="shared" si="133"/>
        <v>-779.11180113999819</v>
      </c>
      <c r="UL73" s="78">
        <f t="shared" si="133"/>
        <v>-2222.1629883600003</v>
      </c>
      <c r="UM73" s="78">
        <v>-209.86908563999989</v>
      </c>
      <c r="UN73" s="78">
        <v>-40.468335820000078</v>
      </c>
      <c r="UO73" s="78">
        <v>-250.33742145999997</v>
      </c>
      <c r="UP73" s="78">
        <v>-190.04440418000013</v>
      </c>
      <c r="UQ73" s="78">
        <v>596.38820863000024</v>
      </c>
      <c r="UR73" s="78">
        <v>406.34380445000011</v>
      </c>
      <c r="US73" s="78">
        <v>-298.23349229000036</v>
      </c>
      <c r="UT73" s="78">
        <v>-129.80479540999988</v>
      </c>
      <c r="UU73" s="78">
        <v>-428.03828770000024</v>
      </c>
      <c r="UV73" s="78">
        <v>-55.08839891000008</v>
      </c>
      <c r="UW73" s="78">
        <v>-94.108195789999826</v>
      </c>
      <c r="UX73" s="78">
        <v>-149.19659469999991</v>
      </c>
      <c r="UY73" s="78"/>
      <c r="UZ73" s="78"/>
      <c r="VA73" s="78"/>
      <c r="VB73" s="78"/>
      <c r="VC73" s="78"/>
      <c r="VD73" s="78"/>
      <c r="VE73" s="78"/>
      <c r="VF73" s="78"/>
      <c r="VG73" s="78"/>
      <c r="VH73" s="78"/>
      <c r="VI73" s="78"/>
      <c r="VJ73" s="78"/>
      <c r="VK73" s="78"/>
      <c r="VL73" s="78"/>
      <c r="VM73" s="78"/>
      <c r="VN73" s="78"/>
      <c r="VO73" s="78"/>
      <c r="VP73" s="78"/>
      <c r="VQ73" s="78"/>
      <c r="VR73" s="78"/>
      <c r="VS73" s="78"/>
      <c r="VT73" s="78"/>
      <c r="VU73" s="78"/>
      <c r="VV73" s="78"/>
      <c r="VW73" s="296">
        <f t="shared" si="57"/>
        <v>-857.746804</v>
      </c>
      <c r="VX73" s="295">
        <f t="shared" si="58"/>
        <v>-127.472399</v>
      </c>
      <c r="VY73" s="295">
        <f t="shared" si="59"/>
        <v>-985.21920299999999</v>
      </c>
      <c r="VZ73" s="296">
        <f t="shared" si="60"/>
        <v>-753.23538099999996</v>
      </c>
      <c r="WA73" s="295">
        <f t="shared" si="61"/>
        <v>332.00688200000002</v>
      </c>
      <c r="WB73" s="295">
        <f t="shared" si="62"/>
        <v>-421.228499</v>
      </c>
      <c r="WC73" s="297">
        <f>WB73-VY73</f>
        <v>563.99070400000005</v>
      </c>
      <c r="WD73" s="297"/>
    </row>
    <row r="74" spans="1:602" ht="24" customHeight="1">
      <c r="A74" s="245" t="s">
        <v>182</v>
      </c>
      <c r="C74" s="244" t="s">
        <v>183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55"/>
      <c r="GI74" s="155"/>
      <c r="GJ74" s="155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  <c r="HU74" s="19"/>
      <c r="HV74" s="19"/>
      <c r="HW74" s="19"/>
      <c r="HX74" s="19"/>
      <c r="HY74" s="19"/>
      <c r="HZ74" s="19"/>
      <c r="IA74" s="19"/>
      <c r="IB74" s="19"/>
      <c r="IC74" s="19"/>
      <c r="ID74" s="19"/>
      <c r="IE74" s="19"/>
      <c r="IF74" s="19"/>
      <c r="IG74" s="19"/>
      <c r="IH74" s="19"/>
      <c r="II74" s="19"/>
      <c r="IJ74" s="19"/>
      <c r="IK74" s="19"/>
      <c r="IL74" s="19"/>
      <c r="IM74" s="19"/>
      <c r="IN74" s="19"/>
      <c r="IO74" s="19"/>
      <c r="IP74" s="19"/>
      <c r="IQ74" s="19"/>
      <c r="IR74" s="19"/>
      <c r="IS74" s="19"/>
      <c r="IT74" s="19"/>
      <c r="IU74" s="19"/>
      <c r="IV74" s="19"/>
      <c r="IW74" s="19"/>
      <c r="IX74" s="19"/>
      <c r="IY74" s="19"/>
      <c r="IZ74" s="19"/>
      <c r="JA74" s="19"/>
      <c r="JB74" s="19"/>
      <c r="JC74" s="19"/>
      <c r="JD74" s="19"/>
      <c r="JE74" s="19"/>
      <c r="JF74" s="19"/>
      <c r="JG74" s="19"/>
      <c r="JH74" s="19"/>
      <c r="JI74" s="19"/>
      <c r="JJ74" s="19"/>
      <c r="JK74" s="19"/>
      <c r="JL74" s="19"/>
      <c r="JM74" s="19"/>
      <c r="JN74" s="19"/>
      <c r="JO74" s="19"/>
      <c r="JP74" s="19"/>
      <c r="JQ74" s="19"/>
      <c r="JR74" s="19"/>
      <c r="JS74" s="19"/>
      <c r="JT74" s="19"/>
      <c r="JU74" s="19"/>
      <c r="JV74" s="19"/>
      <c r="JW74" s="19"/>
      <c r="JX74" s="19"/>
      <c r="JY74" s="19"/>
      <c r="JZ74" s="19"/>
      <c r="KA74" s="19"/>
      <c r="KB74" s="19"/>
      <c r="KC74" s="19"/>
      <c r="KD74" s="19"/>
      <c r="KE74" s="19"/>
      <c r="KF74" s="19"/>
      <c r="KG74" s="19"/>
      <c r="KH74" s="19"/>
      <c r="KI74" s="19"/>
      <c r="KJ74" s="19"/>
      <c r="KK74" s="19"/>
      <c r="KL74" s="19"/>
      <c r="KM74" s="19"/>
      <c r="KN74" s="19"/>
      <c r="KO74" s="19"/>
      <c r="KP74" s="19"/>
      <c r="KQ74" s="19"/>
      <c r="KR74" s="19"/>
      <c r="KS74" s="19"/>
      <c r="KT74" s="19"/>
      <c r="KU74" s="19"/>
      <c r="KV74" s="19"/>
      <c r="KW74" s="19"/>
      <c r="KX74" s="19"/>
      <c r="KY74" s="19"/>
      <c r="KZ74" s="19"/>
      <c r="LA74" s="19"/>
      <c r="LB74" s="19"/>
      <c r="LC74" s="19"/>
      <c r="LD74" s="19"/>
      <c r="LE74" s="19"/>
      <c r="LF74" s="19"/>
      <c r="LG74" s="19"/>
      <c r="LH74" s="19"/>
      <c r="LI74" s="19"/>
      <c r="LJ74" s="19"/>
      <c r="LK74" s="19"/>
      <c r="LL74" s="19"/>
      <c r="LM74" s="19"/>
      <c r="LN74" s="19"/>
      <c r="LO74" s="19"/>
      <c r="LP74" s="19"/>
      <c r="LQ74" s="19"/>
      <c r="LR74" s="19"/>
      <c r="LS74" s="19"/>
      <c r="LT74" s="19"/>
      <c r="LU74" s="19"/>
      <c r="LV74" s="19"/>
      <c r="LW74" s="19"/>
      <c r="LX74" s="19"/>
      <c r="LY74" s="19"/>
      <c r="LZ74" s="19"/>
      <c r="MA74" s="19"/>
      <c r="MB74" s="19"/>
      <c r="MC74" s="19"/>
      <c r="MD74" s="19"/>
      <c r="ME74" s="19"/>
      <c r="MF74" s="19"/>
      <c r="MG74" s="19"/>
      <c r="MH74" s="19"/>
      <c r="MI74" s="19"/>
      <c r="MJ74" s="19"/>
      <c r="MK74" s="19"/>
      <c r="ML74" s="19"/>
      <c r="MM74" s="19"/>
      <c r="MN74" s="19"/>
      <c r="MO74" s="19"/>
      <c r="MP74" s="19"/>
      <c r="MQ74" s="19"/>
      <c r="MR74" s="19"/>
      <c r="MS74" s="19"/>
      <c r="MT74" s="19"/>
      <c r="MU74" s="19"/>
      <c r="MV74" s="19"/>
      <c r="MW74" s="19"/>
      <c r="MX74" s="19"/>
      <c r="MY74" s="19"/>
      <c r="MZ74" s="19"/>
      <c r="NA74" s="19"/>
      <c r="NB74" s="19"/>
      <c r="NC74" s="19"/>
      <c r="ND74" s="19"/>
      <c r="NE74" s="19"/>
      <c r="NF74" s="19"/>
      <c r="NG74" s="19"/>
      <c r="NH74" s="19"/>
      <c r="NI74" s="19"/>
      <c r="NJ74" s="19"/>
      <c r="NK74" s="19"/>
      <c r="NL74" s="19"/>
      <c r="NM74" s="19"/>
      <c r="NN74" s="19"/>
      <c r="NO74" s="19"/>
      <c r="NP74" s="19"/>
      <c r="NQ74" s="19"/>
      <c r="NR74" s="19"/>
      <c r="NS74" s="19"/>
      <c r="NT74" s="19"/>
      <c r="NU74" s="19"/>
      <c r="NV74" s="19"/>
      <c r="NW74" s="19"/>
      <c r="NX74" s="19"/>
      <c r="NY74" s="19"/>
      <c r="NZ74" s="19"/>
      <c r="OA74" s="19"/>
      <c r="OB74" s="19"/>
      <c r="OC74" s="225"/>
      <c r="OD74" s="19"/>
      <c r="OE74" s="19"/>
      <c r="OF74" s="19"/>
      <c r="OG74" s="19"/>
      <c r="OH74" s="102"/>
      <c r="OI74" s="19"/>
      <c r="OJ74" s="19"/>
      <c r="OK74" s="19"/>
      <c r="OL74" s="19"/>
      <c r="OM74" s="19"/>
      <c r="ON74" s="19"/>
      <c r="OO74" s="19"/>
      <c r="OP74" s="19"/>
      <c r="OQ74" s="19"/>
      <c r="OR74" s="19"/>
      <c r="OS74" s="19"/>
      <c r="OT74" s="19"/>
      <c r="OU74" s="19"/>
      <c r="OV74" s="19"/>
      <c r="OW74" s="19"/>
      <c r="OX74" s="19"/>
      <c r="OY74" s="19"/>
      <c r="OZ74" s="19"/>
      <c r="PA74" s="19"/>
      <c r="PB74" s="19"/>
      <c r="PC74" s="19"/>
      <c r="PD74" s="19"/>
      <c r="PE74" s="19"/>
      <c r="PF74" s="19"/>
      <c r="PG74" s="19"/>
      <c r="PH74" s="19"/>
      <c r="PI74" s="19"/>
      <c r="PJ74" s="19"/>
      <c r="PK74" s="19"/>
      <c r="PL74" s="19"/>
      <c r="PM74" s="19"/>
      <c r="PN74" s="19"/>
      <c r="PO74" s="19"/>
      <c r="PP74" s="19"/>
      <c r="PQ74" s="19"/>
      <c r="PR74" s="19"/>
      <c r="PS74" s="240"/>
      <c r="PT74" s="19"/>
      <c r="PU74" s="19"/>
      <c r="PV74" s="19"/>
      <c r="PW74" s="19"/>
      <c r="PX74" s="19"/>
      <c r="PY74" s="19"/>
      <c r="PZ74" s="19"/>
      <c r="QA74" s="19"/>
      <c r="QB74" s="19"/>
      <c r="QC74" s="19"/>
      <c r="QD74" s="19"/>
      <c r="QE74" s="19"/>
      <c r="QF74" s="19"/>
      <c r="QG74" s="19"/>
      <c r="QH74" s="19"/>
      <c r="QI74" s="19"/>
      <c r="QJ74" s="19"/>
      <c r="QK74" s="19"/>
      <c r="QL74" s="19"/>
      <c r="QM74" s="19"/>
      <c r="QN74" s="19"/>
      <c r="QO74" s="19"/>
      <c r="QP74" s="19"/>
      <c r="QQ74" s="19"/>
      <c r="QR74" s="19"/>
      <c r="QS74" s="19"/>
      <c r="QT74" s="19"/>
      <c r="QU74" s="19"/>
      <c r="QV74" s="19"/>
      <c r="QW74" s="19"/>
      <c r="QX74" s="19"/>
      <c r="QY74" s="19"/>
      <c r="QZ74" s="19"/>
      <c r="RA74" s="19"/>
      <c r="RB74" s="19"/>
      <c r="RC74" s="19"/>
      <c r="RD74" s="19"/>
      <c r="RE74" s="19"/>
      <c r="RF74" s="19"/>
      <c r="RG74" s="19"/>
      <c r="RH74" s="19"/>
      <c r="RI74" s="19"/>
      <c r="RJ74" s="19"/>
      <c r="RK74" s="240"/>
      <c r="RL74" s="19"/>
      <c r="RM74" s="19"/>
      <c r="RN74" s="19"/>
      <c r="RO74" s="19"/>
      <c r="RP74" s="19"/>
      <c r="RQ74" s="19"/>
      <c r="RR74" s="19"/>
      <c r="RS74" s="19"/>
      <c r="RT74" s="19"/>
      <c r="RU74" s="19"/>
      <c r="RV74" s="19"/>
      <c r="RW74" s="19"/>
      <c r="RX74" s="19"/>
      <c r="RY74" s="19"/>
      <c r="RZ74" s="19"/>
      <c r="SA74" s="19"/>
      <c r="SB74" s="19"/>
      <c r="SC74" s="19"/>
      <c r="SD74" s="19"/>
      <c r="SE74" s="19"/>
      <c r="SF74" s="19"/>
      <c r="SG74" s="19"/>
      <c r="SH74" s="19"/>
      <c r="SI74" s="19"/>
      <c r="SJ74" s="19"/>
      <c r="SK74" s="19"/>
      <c r="SL74" s="19"/>
      <c r="SM74" s="19"/>
      <c r="SN74" s="19"/>
      <c r="SO74" s="19"/>
      <c r="SP74" s="19"/>
      <c r="SQ74" s="19"/>
      <c r="SR74" s="19"/>
      <c r="SS74" s="19"/>
      <c r="ST74" s="19"/>
      <c r="SU74" s="19"/>
      <c r="SV74" s="19"/>
      <c r="SW74" s="19"/>
      <c r="SX74" s="19"/>
      <c r="SY74" s="19"/>
      <c r="SZ74" s="19"/>
      <c r="TA74" s="19"/>
      <c r="TB74" s="19"/>
      <c r="TC74" s="240"/>
      <c r="TD74" s="19"/>
      <c r="TE74" s="19"/>
      <c r="TF74" s="19"/>
      <c r="TG74" s="19"/>
      <c r="TH74" s="19"/>
      <c r="TI74" s="19"/>
      <c r="TJ74" s="19"/>
      <c r="TK74" s="19"/>
      <c r="TL74" s="19"/>
      <c r="TM74" s="19"/>
      <c r="TN74" s="19"/>
      <c r="TO74" s="19"/>
      <c r="TP74" s="19"/>
      <c r="TQ74" s="19"/>
      <c r="TR74" s="19"/>
      <c r="TS74" s="19"/>
      <c r="TT74" s="19"/>
      <c r="TU74" s="19"/>
      <c r="TV74" s="19"/>
      <c r="TW74" s="19"/>
      <c r="TX74" s="19"/>
      <c r="TY74" s="19"/>
      <c r="TZ74" s="19"/>
      <c r="UA74" s="19"/>
      <c r="UB74" s="19"/>
      <c r="UC74" s="19"/>
      <c r="UD74" s="19"/>
      <c r="UE74" s="19"/>
      <c r="UF74" s="19"/>
      <c r="UG74" s="19"/>
      <c r="UH74" s="19"/>
      <c r="UI74" s="19"/>
      <c r="UJ74" s="19"/>
      <c r="UK74" s="19"/>
      <c r="UL74" s="19"/>
      <c r="UM74" s="19"/>
      <c r="UN74" s="19"/>
      <c r="UO74" s="19"/>
      <c r="UP74" s="19"/>
      <c r="UQ74" s="19"/>
      <c r="UR74" s="19"/>
      <c r="US74" s="19"/>
      <c r="UT74" s="19"/>
      <c r="UU74" s="240"/>
      <c r="UV74" s="19"/>
      <c r="UW74" s="19"/>
      <c r="UX74" s="19"/>
      <c r="UY74" s="19"/>
      <c r="UZ74" s="19"/>
      <c r="VA74" s="19"/>
      <c r="VB74" s="19"/>
      <c r="VC74" s="19"/>
      <c r="VD74" s="19"/>
      <c r="VE74" s="19"/>
      <c r="VF74" s="19"/>
      <c r="VG74" s="19"/>
      <c r="VH74" s="19"/>
      <c r="VI74" s="19"/>
      <c r="VJ74" s="19"/>
      <c r="VK74" s="19"/>
      <c r="VL74" s="19"/>
      <c r="VM74" s="19"/>
      <c r="VN74" s="19"/>
      <c r="VO74" s="19"/>
      <c r="VP74" s="19"/>
      <c r="VQ74" s="19"/>
      <c r="VR74" s="19"/>
      <c r="VS74" s="19"/>
      <c r="VT74" s="19"/>
      <c r="VU74" s="19"/>
      <c r="VV74" s="19"/>
      <c r="VW74" s="19"/>
      <c r="VX74" s="19"/>
      <c r="VY74" s="19"/>
      <c r="VZ74" s="19"/>
      <c r="WA74" s="19"/>
      <c r="WB74" s="204"/>
      <c r="WC74" s="115"/>
      <c r="WD74" s="115"/>
    </row>
    <row r="75" spans="1:602" ht="20.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155"/>
      <c r="GI75" s="155"/>
      <c r="GJ75" s="155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  <c r="NI75" s="6"/>
      <c r="NJ75" s="6"/>
      <c r="NK75" s="6"/>
      <c r="NL75" s="6"/>
      <c r="NM75" s="6"/>
      <c r="NN75" s="6"/>
      <c r="NO75" s="6"/>
      <c r="NP75" s="6"/>
      <c r="NQ75" s="6"/>
      <c r="NR75" s="6"/>
      <c r="NS75" s="6"/>
      <c r="NT75" s="6"/>
      <c r="NU75" s="6"/>
      <c r="NV75" s="6"/>
      <c r="NW75" s="6"/>
      <c r="NX75" s="6"/>
      <c r="NY75" s="6"/>
      <c r="NZ75" s="6"/>
      <c r="OA75" s="6"/>
      <c r="OB75" s="6"/>
      <c r="OC75" s="6"/>
      <c r="OD75" s="6"/>
      <c r="OE75" s="6"/>
      <c r="OF75" s="226"/>
      <c r="OG75" s="6"/>
      <c r="OH75" s="6"/>
      <c r="OI75" s="6"/>
      <c r="OJ75" s="6"/>
      <c r="OK75" s="6"/>
      <c r="OL75" s="6"/>
      <c r="OM75" s="6"/>
      <c r="ON75" s="6"/>
      <c r="OO75" s="6"/>
      <c r="OP75" s="6"/>
      <c r="OQ75" s="6"/>
      <c r="OR75" s="6"/>
      <c r="OS75" s="6"/>
      <c r="OT75" s="6"/>
      <c r="OU75" s="6"/>
      <c r="OV75" s="6"/>
      <c r="OW75" s="6"/>
      <c r="OX75" s="6"/>
      <c r="OY75" s="6"/>
      <c r="OZ75" s="6"/>
      <c r="PA75" s="6"/>
      <c r="PB75" s="6"/>
      <c r="PC75" s="6"/>
      <c r="PD75" s="6"/>
      <c r="PE75" s="6"/>
      <c r="PF75" s="6"/>
      <c r="PG75" s="6"/>
      <c r="PH75" s="6"/>
      <c r="PI75" s="6"/>
      <c r="PJ75" s="6"/>
      <c r="PK75" s="6"/>
      <c r="PL75" s="6"/>
      <c r="PM75" s="6"/>
      <c r="PN75" s="6"/>
      <c r="PO75" s="6"/>
      <c r="PP75" s="6"/>
      <c r="PQ75" s="6"/>
      <c r="PR75" s="6"/>
      <c r="PS75" s="238"/>
      <c r="PT75" s="6"/>
      <c r="PU75" s="6"/>
      <c r="PV75" s="6"/>
      <c r="PW75" s="6"/>
      <c r="PX75" s="6"/>
      <c r="PY75" s="6"/>
      <c r="PZ75" s="6"/>
      <c r="QA75" s="6"/>
      <c r="QB75" s="6"/>
      <c r="QC75" s="6"/>
      <c r="QD75" s="6"/>
      <c r="QE75" s="6"/>
      <c r="QF75" s="6"/>
      <c r="QG75" s="6"/>
      <c r="QH75" s="6"/>
      <c r="QI75" s="6"/>
      <c r="QJ75" s="6"/>
      <c r="QK75" s="6"/>
      <c r="QL75" s="6"/>
      <c r="QM75" s="6"/>
      <c r="QN75" s="6"/>
      <c r="QO75" s="6"/>
      <c r="QP75" s="6"/>
      <c r="QQ75" s="6"/>
      <c r="QR75" s="6"/>
      <c r="QS75" s="6"/>
      <c r="QT75" s="6"/>
      <c r="QU75" s="6"/>
      <c r="QV75" s="6"/>
      <c r="QW75" s="6"/>
      <c r="QX75" s="6"/>
      <c r="QY75" s="6"/>
      <c r="QZ75" s="6"/>
      <c r="RA75" s="6"/>
      <c r="RB75" s="6"/>
      <c r="RC75" s="6"/>
      <c r="RD75" s="6"/>
      <c r="RE75" s="6"/>
      <c r="RF75" s="6"/>
      <c r="RG75" s="6"/>
      <c r="RH75" s="6"/>
      <c r="RI75" s="6"/>
      <c r="RJ75" s="6"/>
      <c r="RK75" s="6"/>
      <c r="RL75" s="6"/>
      <c r="RM75" s="6"/>
      <c r="RN75" s="6"/>
      <c r="RO75" s="6"/>
      <c r="RP75" s="6"/>
      <c r="RQ75" s="6"/>
      <c r="RR75" s="6"/>
      <c r="RS75" s="6"/>
      <c r="RT75" s="6"/>
      <c r="RU75" s="6"/>
      <c r="RV75" s="6"/>
      <c r="RW75" s="6"/>
      <c r="RX75" s="6"/>
      <c r="RY75" s="6"/>
      <c r="RZ75" s="6"/>
      <c r="SA75" s="6"/>
      <c r="SB75" s="6"/>
      <c r="SC75" s="6"/>
      <c r="SD75" s="6"/>
      <c r="SE75" s="6"/>
      <c r="SF75" s="6"/>
      <c r="SG75" s="6"/>
      <c r="SH75" s="6"/>
      <c r="SI75" s="6"/>
      <c r="SJ75" s="6"/>
      <c r="SK75" s="6"/>
      <c r="SL75" s="6"/>
      <c r="SM75" s="6"/>
      <c r="SN75" s="6"/>
      <c r="SO75" s="6"/>
      <c r="SP75" s="6"/>
      <c r="SQ75" s="6"/>
      <c r="SR75" s="6"/>
      <c r="SS75" s="6"/>
      <c r="ST75" s="6"/>
      <c r="SU75" s="6"/>
      <c r="SV75" s="6"/>
      <c r="SW75" s="6"/>
      <c r="SX75" s="6"/>
      <c r="SY75" s="6"/>
      <c r="SZ75" s="6"/>
      <c r="TA75" s="6"/>
      <c r="TB75" s="6"/>
      <c r="TC75" s="6"/>
      <c r="TD75" s="6"/>
      <c r="TE75" s="6"/>
      <c r="TF75" s="6"/>
      <c r="TG75" s="6"/>
      <c r="TH75" s="6"/>
      <c r="TI75" s="6"/>
      <c r="TJ75" s="6"/>
      <c r="TK75" s="6"/>
      <c r="TL75" s="6"/>
      <c r="TM75" s="6"/>
      <c r="TN75" s="6"/>
      <c r="TO75" s="6"/>
      <c r="TP75" s="6"/>
      <c r="TQ75" s="6"/>
      <c r="TR75" s="6"/>
      <c r="TS75" s="6"/>
      <c r="TT75" s="6"/>
      <c r="TU75" s="6"/>
      <c r="TV75" s="6"/>
      <c r="TW75" s="6"/>
      <c r="TX75" s="6"/>
      <c r="TY75" s="6"/>
      <c r="TZ75" s="6"/>
      <c r="UA75" s="6"/>
      <c r="UB75" s="6"/>
      <c r="UC75" s="6"/>
      <c r="UD75" s="6"/>
      <c r="UE75" s="6"/>
      <c r="UF75" s="6"/>
      <c r="UG75" s="6"/>
      <c r="UH75" s="6"/>
      <c r="UI75" s="6"/>
      <c r="UJ75" s="6"/>
      <c r="UK75" s="6"/>
      <c r="UL75" s="6"/>
      <c r="UM75" s="6"/>
      <c r="UN75" s="6"/>
      <c r="UO75" s="6"/>
      <c r="UP75" s="6"/>
      <c r="UQ75" s="6"/>
      <c r="UR75" s="6"/>
      <c r="US75" s="6"/>
      <c r="UT75" s="6"/>
      <c r="UU75" s="6"/>
      <c r="UV75" s="6"/>
      <c r="UW75" s="6"/>
      <c r="UX75" s="6"/>
      <c r="UY75" s="6"/>
      <c r="UZ75" s="6"/>
      <c r="VA75" s="6"/>
      <c r="VB75" s="6"/>
      <c r="VC75" s="6"/>
      <c r="VD75" s="6"/>
      <c r="VE75" s="6"/>
      <c r="VF75" s="6"/>
      <c r="VG75" s="6"/>
      <c r="VH75" s="6"/>
      <c r="VI75" s="6"/>
      <c r="VJ75" s="6"/>
      <c r="VK75" s="6"/>
      <c r="VL75" s="6"/>
      <c r="VM75" s="6"/>
      <c r="VN75" s="6"/>
      <c r="VO75" s="6"/>
      <c r="VP75" s="6"/>
      <c r="VQ75" s="6"/>
      <c r="VR75" s="6"/>
      <c r="VS75" s="6"/>
      <c r="VT75" s="6"/>
      <c r="VU75" s="6"/>
      <c r="VV75" s="6"/>
      <c r="VW75" s="6"/>
      <c r="VX75" s="6"/>
      <c r="VY75" s="116"/>
      <c r="VZ75" s="6"/>
      <c r="WA75" s="6"/>
      <c r="WB75" s="6"/>
      <c r="WC75" s="116"/>
      <c r="WD75" s="116"/>
    </row>
    <row r="76" spans="1:602" ht="20.5">
      <c r="GH76" s="155"/>
      <c r="GI76" s="155"/>
      <c r="GJ76" s="155"/>
    </row>
    <row r="77" spans="1:602" ht="20.5">
      <c r="GH77" s="155"/>
      <c r="GI77" s="155"/>
      <c r="GJ77" s="155"/>
    </row>
    <row r="78" spans="1:602" ht="20.5">
      <c r="GH78" s="155"/>
      <c r="GI78" s="155"/>
      <c r="GJ78" s="155"/>
    </row>
    <row r="79" spans="1:602" ht="20.5">
      <c r="GH79" s="155"/>
      <c r="GI79" s="155"/>
      <c r="GJ79" s="155"/>
    </row>
    <row r="80" spans="1:602" ht="20.5">
      <c r="GH80" s="155"/>
      <c r="GI80" s="155"/>
      <c r="GJ80" s="155"/>
    </row>
    <row r="81" spans="190:192" ht="20.5">
      <c r="GH81" s="155"/>
      <c r="GI81" s="155"/>
      <c r="GJ81" s="155"/>
    </row>
    <row r="82" spans="190:192" ht="20.5">
      <c r="GH82" s="155"/>
      <c r="GI82" s="155"/>
      <c r="GJ82" s="155"/>
    </row>
    <row r="83" spans="190:192" ht="20.5">
      <c r="GH83" s="155"/>
      <c r="GI83" s="155"/>
      <c r="GJ83" s="155"/>
    </row>
    <row r="84" spans="190:192" ht="20.5">
      <c r="GH84" s="155"/>
      <c r="GI84" s="155"/>
      <c r="GJ84" s="155"/>
    </row>
    <row r="85" spans="190:192" ht="20.5">
      <c r="GH85" s="155"/>
      <c r="GI85" s="155"/>
      <c r="GJ85" s="155"/>
    </row>
    <row r="86" spans="190:192" ht="20.5">
      <c r="GH86" s="155"/>
      <c r="GI86" s="155"/>
      <c r="GJ86" s="155"/>
    </row>
    <row r="87" spans="190:192" ht="20.5">
      <c r="GH87" s="155"/>
      <c r="GI87" s="155"/>
      <c r="GJ87" s="155"/>
    </row>
    <row r="88" spans="190:192" ht="20">
      <c r="GH88" s="156"/>
      <c r="GI88" s="156"/>
      <c r="GJ88" s="156"/>
    </row>
  </sheetData>
  <mergeCells count="272">
    <mergeCell ref="UD6:UF6"/>
    <mergeCell ref="UG6:UI6"/>
    <mergeCell ref="PT5:RC5"/>
    <mergeCell ref="PT6:PV6"/>
    <mergeCell ref="PW6:PY6"/>
    <mergeCell ref="PZ6:QB6"/>
    <mergeCell ref="QC6:QE6"/>
    <mergeCell ref="VQ6:VS6"/>
    <mergeCell ref="VT6:VV6"/>
    <mergeCell ref="UJ5:UL5"/>
    <mergeCell ref="UJ6:UL6"/>
    <mergeCell ref="UM5:VV5"/>
    <mergeCell ref="UM6:UO6"/>
    <mergeCell ref="UP6:UR6"/>
    <mergeCell ref="US6:UU6"/>
    <mergeCell ref="UV6:UX6"/>
    <mergeCell ref="UY6:VA6"/>
    <mergeCell ref="VB6:VD6"/>
    <mergeCell ref="VE6:VG6"/>
    <mergeCell ref="VH6:VJ6"/>
    <mergeCell ref="VK6:VM6"/>
    <mergeCell ref="VN6:VP6"/>
    <mergeCell ref="TC6:TE6"/>
    <mergeCell ref="TF6:TH6"/>
    <mergeCell ref="TI6:TK6"/>
    <mergeCell ref="TL6:TN6"/>
    <mergeCell ref="TO6:TQ6"/>
    <mergeCell ref="TR6:TT6"/>
    <mergeCell ref="TU6:TW6"/>
    <mergeCell ref="TX6:TZ6"/>
    <mergeCell ref="UA6:UC6"/>
    <mergeCell ref="PH6:PJ6"/>
    <mergeCell ref="PK6:PM6"/>
    <mergeCell ref="OA6:OC6"/>
    <mergeCell ref="OA5:OC5"/>
    <mergeCell ref="PN6:PP6"/>
    <mergeCell ref="PN5:PP5"/>
    <mergeCell ref="PQ6:PS6"/>
    <mergeCell ref="PQ5:PS5"/>
    <mergeCell ref="SW5:SY5"/>
    <mergeCell ref="SW6:SY6"/>
    <mergeCell ref="HR5:JA5"/>
    <mergeCell ref="IA6:IC6"/>
    <mergeCell ref="JB6:JD6"/>
    <mergeCell ref="HR6:HT6"/>
    <mergeCell ref="NO6:NQ6"/>
    <mergeCell ref="NR6:NT6"/>
    <mergeCell ref="QX6:QZ6"/>
    <mergeCell ref="RA6:RC6"/>
    <mergeCell ref="VW5:VY5"/>
    <mergeCell ref="NI6:NK6"/>
    <mergeCell ref="NL6:NN6"/>
    <mergeCell ref="MK5:MM5"/>
    <mergeCell ref="MK6:MM6"/>
    <mergeCell ref="NX5:NZ5"/>
    <mergeCell ref="NX6:NZ6"/>
    <mergeCell ref="OD6:OF6"/>
    <mergeCell ref="OG6:OI6"/>
    <mergeCell ref="OJ6:OL6"/>
    <mergeCell ref="OM6:OO6"/>
    <mergeCell ref="OP6:OR6"/>
    <mergeCell ref="OS6:OU6"/>
    <mergeCell ref="OV6:OX6"/>
    <mergeCell ref="OD5:PM5"/>
    <mergeCell ref="OY6:PA6"/>
    <mergeCell ref="PB6:PD6"/>
    <mergeCell ref="PE6:PG6"/>
    <mergeCell ref="QF6:QH6"/>
    <mergeCell ref="QI6:QK6"/>
    <mergeCell ref="QL6:QN6"/>
    <mergeCell ref="QO6:QQ6"/>
    <mergeCell ref="QR6:QT6"/>
    <mergeCell ref="QU6:QW6"/>
    <mergeCell ref="AZ5:BB5"/>
    <mergeCell ref="MH5:MJ5"/>
    <mergeCell ref="LA6:LC6"/>
    <mergeCell ref="LD6:LF6"/>
    <mergeCell ref="LG6:LI6"/>
    <mergeCell ref="LJ6:LL6"/>
    <mergeCell ref="LM6:LO6"/>
    <mergeCell ref="LP6:LR6"/>
    <mergeCell ref="KO6:KQ6"/>
    <mergeCell ref="KR5:KT5"/>
    <mergeCell ref="MH6:MJ6"/>
    <mergeCell ref="LS6:LU6"/>
    <mergeCell ref="KR6:KT6"/>
    <mergeCell ref="ME6:MG6"/>
    <mergeCell ref="KX5:MG5"/>
    <mergeCell ref="KX6:KZ6"/>
    <mergeCell ref="LV6:LX6"/>
    <mergeCell ref="LY6:MA6"/>
    <mergeCell ref="MB6:MD6"/>
    <mergeCell ref="JE5:JG5"/>
    <mergeCell ref="JE6:JG6"/>
    <mergeCell ref="KU5:KW5"/>
    <mergeCell ref="KU6:KW6"/>
    <mergeCell ref="KF6:KH6"/>
    <mergeCell ref="GK6:GM6"/>
    <mergeCell ref="D6:D7"/>
    <mergeCell ref="H5:S5"/>
    <mergeCell ref="FV5:FX5"/>
    <mergeCell ref="FV6:FX6"/>
    <mergeCell ref="FY6:GA6"/>
    <mergeCell ref="L6:L7"/>
    <mergeCell ref="M6:M7"/>
    <mergeCell ref="BC6:BE6"/>
    <mergeCell ref="CS6:CU6"/>
    <mergeCell ref="CP6:CR6"/>
    <mergeCell ref="AU6:AU7"/>
    <mergeCell ref="BR6:BT6"/>
    <mergeCell ref="AV6:AV7"/>
    <mergeCell ref="AW6:AW7"/>
    <mergeCell ref="BC5:BE5"/>
    <mergeCell ref="CS5:CU5"/>
    <mergeCell ref="CP5:CR5"/>
    <mergeCell ref="CM6:CO6"/>
    <mergeCell ref="CV5:EE5"/>
    <mergeCell ref="BF5:CO5"/>
    <mergeCell ref="DW6:DY6"/>
    <mergeCell ref="EF5:EH5"/>
    <mergeCell ref="EI5:EK5"/>
    <mergeCell ref="CA6:CC6"/>
    <mergeCell ref="CG6:CI6"/>
    <mergeCell ref="CJ6:CL6"/>
    <mergeCell ref="CD6:CF6"/>
    <mergeCell ref="EC6:EE6"/>
    <mergeCell ref="EI6:EK6"/>
    <mergeCell ref="DH6:DJ6"/>
    <mergeCell ref="DK6:DM6"/>
    <mergeCell ref="DN6:DP6"/>
    <mergeCell ref="DZ6:EB6"/>
    <mergeCell ref="EF6:EH6"/>
    <mergeCell ref="CY6:DA6"/>
    <mergeCell ref="DQ6:DS6"/>
    <mergeCell ref="DT6:DV6"/>
    <mergeCell ref="DE6:DG6"/>
    <mergeCell ref="FY5:GA5"/>
    <mergeCell ref="GZ6:HB6"/>
    <mergeCell ref="BL6:BN6"/>
    <mergeCell ref="BO6:BQ6"/>
    <mergeCell ref="BU6:BW6"/>
    <mergeCell ref="BX6:BZ6"/>
    <mergeCell ref="BI6:BK6"/>
    <mergeCell ref="HL5:HN5"/>
    <mergeCell ref="GW6:GY6"/>
    <mergeCell ref="GQ6:GS6"/>
    <mergeCell ref="GB5:HK5"/>
    <mergeCell ref="GB6:GD6"/>
    <mergeCell ref="GE6:GG6"/>
    <mergeCell ref="GH6:GJ6"/>
    <mergeCell ref="HL6:HN6"/>
    <mergeCell ref="GN6:GP6"/>
    <mergeCell ref="GT6:GV6"/>
    <mergeCell ref="FG6:FI6"/>
    <mergeCell ref="FJ6:FL6"/>
    <mergeCell ref="FM6:FO6"/>
    <mergeCell ref="FP6:FR6"/>
    <mergeCell ref="FS6:FU6"/>
    <mergeCell ref="CV6:CX6"/>
    <mergeCell ref="HF6:HH6"/>
    <mergeCell ref="E6:E7"/>
    <mergeCell ref="J6:J7"/>
    <mergeCell ref="N6:N7"/>
    <mergeCell ref="MZ6:NB6"/>
    <mergeCell ref="NC6:NE6"/>
    <mergeCell ref="NF6:NH6"/>
    <mergeCell ref="HO6:HQ6"/>
    <mergeCell ref="JQ6:JS6"/>
    <mergeCell ref="JT6:JV6"/>
    <mergeCell ref="KI6:KK6"/>
    <mergeCell ref="JW6:JY6"/>
    <mergeCell ref="JZ6:KB6"/>
    <mergeCell ref="KC6:KE6"/>
    <mergeCell ref="KL6:KN6"/>
    <mergeCell ref="HU6:HW6"/>
    <mergeCell ref="ID6:IF6"/>
    <mergeCell ref="MQ6:MS6"/>
    <mergeCell ref="MN6:MP6"/>
    <mergeCell ref="HX6:HZ6"/>
    <mergeCell ref="O6:O7"/>
    <mergeCell ref="DB6:DD6"/>
    <mergeCell ref="HI6:HK6"/>
    <mergeCell ref="HC6:HE6"/>
    <mergeCell ref="IG6:II6"/>
    <mergeCell ref="AQ6:AQ7"/>
    <mergeCell ref="AX6:AX7"/>
    <mergeCell ref="AS6:AS7"/>
    <mergeCell ref="AT6:AT7"/>
    <mergeCell ref="B5:B6"/>
    <mergeCell ref="C5:C6"/>
    <mergeCell ref="X5:AI5"/>
    <mergeCell ref="Y6:Y7"/>
    <mergeCell ref="Z6:Z7"/>
    <mergeCell ref="AA6:AA7"/>
    <mergeCell ref="AB6:AB7"/>
    <mergeCell ref="AC6:AC7"/>
    <mergeCell ref="P6:P7"/>
    <mergeCell ref="Q6:Q7"/>
    <mergeCell ref="R6:R7"/>
    <mergeCell ref="S6:S7"/>
    <mergeCell ref="X6:X7"/>
    <mergeCell ref="AF6:AF7"/>
    <mergeCell ref="AG6:AG7"/>
    <mergeCell ref="K6:K7"/>
    <mergeCell ref="G6:G7"/>
    <mergeCell ref="AH6:AH7"/>
    <mergeCell ref="H6:H7"/>
    <mergeCell ref="I6:I7"/>
    <mergeCell ref="VZ5:WB5"/>
    <mergeCell ref="RD5:RF5"/>
    <mergeCell ref="RD6:RF6"/>
    <mergeCell ref="RJ5:SS5"/>
    <mergeCell ref="RJ6:RL6"/>
    <mergeCell ref="SN6:SP6"/>
    <mergeCell ref="SQ6:SS6"/>
    <mergeCell ref="RM6:RO6"/>
    <mergeCell ref="RP6:RR6"/>
    <mergeCell ref="RS6:RU6"/>
    <mergeCell ref="RV6:RX6"/>
    <mergeCell ref="RY6:SA6"/>
    <mergeCell ref="SB6:SD6"/>
    <mergeCell ref="ST5:SV5"/>
    <mergeCell ref="ST6:SV6"/>
    <mergeCell ref="SE6:SG6"/>
    <mergeCell ref="SH6:SJ6"/>
    <mergeCell ref="SK6:SM6"/>
    <mergeCell ref="RG5:RI5"/>
    <mergeCell ref="RG6:RI6"/>
    <mergeCell ref="VZ6:WB6"/>
    <mergeCell ref="VW6:VY6"/>
    <mergeCell ref="SZ5:UI5"/>
    <mergeCell ref="SZ6:TB6"/>
    <mergeCell ref="EL5:FU5"/>
    <mergeCell ref="EL6:EN6"/>
    <mergeCell ref="EO6:EQ6"/>
    <mergeCell ref="ER6:ET6"/>
    <mergeCell ref="EU6:EW6"/>
    <mergeCell ref="EX6:EZ6"/>
    <mergeCell ref="FA6:FC6"/>
    <mergeCell ref="FD6:FF6"/>
    <mergeCell ref="A5:A6"/>
    <mergeCell ref="BF6:BH6"/>
    <mergeCell ref="F6:F7"/>
    <mergeCell ref="AJ5:AL5"/>
    <mergeCell ref="AN5:AY5"/>
    <mergeCell ref="AY6:AY7"/>
    <mergeCell ref="T5:V5"/>
    <mergeCell ref="W6:W7"/>
    <mergeCell ref="AR6:AR7"/>
    <mergeCell ref="AD6:AD7"/>
    <mergeCell ref="AE6:AE7"/>
    <mergeCell ref="AM6:AM7"/>
    <mergeCell ref="AI6:AI7"/>
    <mergeCell ref="AN6:AN7"/>
    <mergeCell ref="AO6:AO7"/>
    <mergeCell ref="AP6:AP7"/>
    <mergeCell ref="HO5:HQ5"/>
    <mergeCell ref="NU6:NW6"/>
    <mergeCell ref="MN5:NW5"/>
    <mergeCell ref="MT6:MV6"/>
    <mergeCell ref="MW6:MY6"/>
    <mergeCell ref="IJ6:IL6"/>
    <mergeCell ref="IM6:IO6"/>
    <mergeCell ref="IP6:IR6"/>
    <mergeCell ref="JN6:JP6"/>
    <mergeCell ref="JH5:KQ5"/>
    <mergeCell ref="JH6:JJ6"/>
    <mergeCell ref="IS6:IU6"/>
    <mergeCell ref="JK6:JM6"/>
    <mergeCell ref="JB5:JD5"/>
    <mergeCell ref="IV6:IX6"/>
    <mergeCell ref="IY6:JA6"/>
  </mergeCells>
  <conditionalFormatting sqref="BC38">
    <cfRule type="cellIs" dxfId="349" priority="1645" operator="equal">
      <formula>0</formula>
    </cfRule>
  </conditionalFormatting>
  <conditionalFormatting sqref="CP8:CU73">
    <cfRule type="cellIs" dxfId="348" priority="817" operator="equal">
      <formula>0</formula>
    </cfRule>
  </conditionalFormatting>
  <conditionalFormatting sqref="CV8:LB40 GH74:GJ88">
    <cfRule type="cellIs" dxfId="347" priority="66" operator="between">
      <formula>-0.00000045</formula>
      <formula>0.00000045</formula>
    </cfRule>
  </conditionalFormatting>
  <conditionalFormatting sqref="LB41:LB66">
    <cfRule type="cellIs" dxfId="346" priority="819" operator="between">
      <formula>-0.00000045</formula>
      <formula>0.00000045</formula>
    </cfRule>
  </conditionalFormatting>
  <conditionalFormatting sqref="LB69:LB73">
    <cfRule type="cellIs" dxfId="345" priority="1192" operator="between">
      <formula>-0.00000045</formula>
      <formula>0.00000045</formula>
    </cfRule>
  </conditionalFormatting>
  <conditionalFormatting sqref="LC22:LC39">
    <cfRule type="cellIs" dxfId="344" priority="76" operator="between">
      <formula>-0.00000045</formula>
      <formula>0.00000045</formula>
    </cfRule>
  </conditionalFormatting>
  <conditionalFormatting sqref="LC66">
    <cfRule type="cellIs" dxfId="343" priority="1176" operator="between">
      <formula>-0.00000045</formula>
      <formula>0.00000045</formula>
    </cfRule>
  </conditionalFormatting>
  <conditionalFormatting sqref="LC68:LC73">
    <cfRule type="cellIs" dxfId="342" priority="1222" operator="between">
      <formula>-0.00000045</formula>
      <formula>0.00000045</formula>
    </cfRule>
  </conditionalFormatting>
  <conditionalFormatting sqref="LC8:LD21">
    <cfRule type="cellIs" dxfId="341" priority="1205" operator="between">
      <formula>-0.00000045</formula>
      <formula>0.00000045</formula>
    </cfRule>
  </conditionalFormatting>
  <conditionalFormatting sqref="LC40:LE48">
    <cfRule type="cellIs" dxfId="340" priority="108" operator="between">
      <formula>-0.00000045</formula>
      <formula>0.00000045</formula>
    </cfRule>
  </conditionalFormatting>
  <conditionalFormatting sqref="LC58:LE65 LE67 LE69:LE71">
    <cfRule type="cellIs" dxfId="339" priority="1195" operator="between">
      <formula>-0.00000045</formula>
      <formula>0.00000045</formula>
    </cfRule>
  </conditionalFormatting>
  <conditionalFormatting sqref="LD22:LD23">
    <cfRule type="cellIs" dxfId="338" priority="1082" operator="between">
      <formula>-0.00000045</formula>
      <formula>0.00000045</formula>
    </cfRule>
  </conditionalFormatting>
  <conditionalFormatting sqref="LD39">
    <cfRule type="cellIs" dxfId="337" priority="75" operator="between">
      <formula>-0.00000045</formula>
      <formula>0.00000045</formula>
    </cfRule>
  </conditionalFormatting>
  <conditionalFormatting sqref="LD67:LD73">
    <cfRule type="cellIs" dxfId="336" priority="1202" operator="between">
      <formula>-0.00000045</formula>
      <formula>0.00000045</formula>
    </cfRule>
  </conditionalFormatting>
  <conditionalFormatting sqref="LD34:LU34">
    <cfRule type="cellIs" dxfId="335" priority="753" operator="between">
      <formula>-0.00000045</formula>
      <formula>0.00000045</formula>
    </cfRule>
  </conditionalFormatting>
  <conditionalFormatting sqref="LE8:LE33">
    <cfRule type="cellIs" dxfId="334" priority="1196" operator="between">
      <formula>-0.00000045</formula>
      <formula>0.00000045</formula>
    </cfRule>
  </conditionalFormatting>
  <conditionalFormatting sqref="LE73">
    <cfRule type="cellIs" dxfId="333" priority="1194" operator="between">
      <formula>-0.00000045</formula>
      <formula>0.00000045</formula>
    </cfRule>
  </conditionalFormatting>
  <conditionalFormatting sqref="LF8:LF13">
    <cfRule type="cellIs" dxfId="332" priority="1185" operator="between">
      <formula>-0.00000045</formula>
      <formula>0.00000045</formula>
    </cfRule>
  </conditionalFormatting>
  <conditionalFormatting sqref="LF15:LF28">
    <cfRule type="cellIs" dxfId="331" priority="1179" operator="between">
      <formula>-0.00000045</formula>
      <formula>0.00000045</formula>
    </cfRule>
  </conditionalFormatting>
  <conditionalFormatting sqref="LF36:LF73">
    <cfRule type="cellIs" dxfId="330" priority="107" operator="between">
      <formula>-0.00000045</formula>
      <formula>0.00000045</formula>
    </cfRule>
  </conditionalFormatting>
  <conditionalFormatting sqref="LG8:LK33">
    <cfRule type="cellIs" dxfId="329" priority="930" operator="between">
      <formula>-0.00000045</formula>
      <formula>0.00000045</formula>
    </cfRule>
  </conditionalFormatting>
  <conditionalFormatting sqref="LG40:LK71">
    <cfRule type="cellIs" dxfId="328" priority="103" operator="between">
      <formula>-0.00000045</formula>
      <formula>0.00000045</formula>
    </cfRule>
  </conditionalFormatting>
  <conditionalFormatting sqref="LG72:LM73">
    <cfRule type="cellIs" dxfId="327" priority="954" operator="between">
      <formula>-0.00000045</formula>
      <formula>0.00000045</formula>
    </cfRule>
  </conditionalFormatting>
  <conditionalFormatting sqref="LG35:LP39">
    <cfRule type="cellIs" dxfId="326" priority="70" operator="between">
      <formula>-0.00000045</formula>
      <formula>0.00000045</formula>
    </cfRule>
  </conditionalFormatting>
  <conditionalFormatting sqref="LL8:LL24">
    <cfRule type="cellIs" dxfId="325" priority="929" operator="between">
      <formula>-0.00000045</formula>
      <formula>0.00000045</formula>
    </cfRule>
  </conditionalFormatting>
  <conditionalFormatting sqref="LL40:LR40">
    <cfRule type="cellIs" dxfId="324" priority="99" operator="between">
      <formula>-0.00000045</formula>
      <formula>0.00000045</formula>
    </cfRule>
  </conditionalFormatting>
  <conditionalFormatting sqref="LM8:LM13">
    <cfRule type="cellIs" dxfId="323" priority="975" operator="between">
      <formula>-0.00000045</formula>
      <formula>0.00000045</formula>
    </cfRule>
  </conditionalFormatting>
  <conditionalFormatting sqref="LM15:LM24">
    <cfRule type="cellIs" dxfId="322" priority="927" operator="between">
      <formula>-0.00000045</formula>
      <formula>0.00000045</formula>
    </cfRule>
  </conditionalFormatting>
  <conditionalFormatting sqref="LM67:LM71">
    <cfRule type="cellIs" dxfId="321" priority="1322" operator="between">
      <formula>-0.00000045</formula>
      <formula>0.00000045</formula>
    </cfRule>
  </conditionalFormatting>
  <conditionalFormatting sqref="LN8:LN33">
    <cfRule type="cellIs" dxfId="320" priority="932" operator="between">
      <formula>-0.00000045</formula>
      <formula>0.00000045</formula>
    </cfRule>
  </conditionalFormatting>
  <conditionalFormatting sqref="LN69:LN73">
    <cfRule type="cellIs" dxfId="319" priority="953" operator="between">
      <formula>-0.00000045</formula>
      <formula>0.00000045</formula>
    </cfRule>
  </conditionalFormatting>
  <conditionalFormatting sqref="LO8:LO13">
    <cfRule type="cellIs" dxfId="318" priority="969" operator="between">
      <formula>-0.00000045</formula>
      <formula>0.00000045</formula>
    </cfRule>
  </conditionalFormatting>
  <conditionalFormatting sqref="LO15:LO24">
    <cfRule type="cellIs" dxfId="317" priority="928" operator="between">
      <formula>-0.00000045</formula>
      <formula>0.00000045</formula>
    </cfRule>
  </conditionalFormatting>
  <conditionalFormatting sqref="LO68:LO73">
    <cfRule type="cellIs" dxfId="316" priority="926" operator="between">
      <formula>-0.00000045</formula>
      <formula>0.00000045</formula>
    </cfRule>
  </conditionalFormatting>
  <conditionalFormatting sqref="LP8:LP24">
    <cfRule type="cellIs" dxfId="315" priority="920" operator="between">
      <formula>-0.00000045</formula>
      <formula>0.00000045</formula>
    </cfRule>
  </conditionalFormatting>
  <conditionalFormatting sqref="LP72:LP73">
    <cfRule type="cellIs" dxfId="314" priority="918" operator="between">
      <formula>-0.00000045</formula>
      <formula>0.00000045</formula>
    </cfRule>
  </conditionalFormatting>
  <conditionalFormatting sqref="LQ8">
    <cfRule type="cellIs" dxfId="313" priority="917" operator="between">
      <formula>-0.00000045</formula>
      <formula>0.00000045</formula>
    </cfRule>
  </conditionalFormatting>
  <conditionalFormatting sqref="LQ10:LQ33">
    <cfRule type="cellIs" dxfId="312" priority="922" operator="between">
      <formula>-0.00000045</formula>
      <formula>0.00000045</formula>
    </cfRule>
  </conditionalFormatting>
  <conditionalFormatting sqref="LQ68">
    <cfRule type="cellIs" dxfId="311" priority="924" operator="between">
      <formula>-0.00000045</formula>
      <formula>0.00000045</formula>
    </cfRule>
  </conditionalFormatting>
  <conditionalFormatting sqref="LQ36:LR38">
    <cfRule type="cellIs" dxfId="310" priority="868" operator="between">
      <formula>-0.00000045</formula>
      <formula>0.00000045</formula>
    </cfRule>
  </conditionalFormatting>
  <conditionalFormatting sqref="LQ73:LR73">
    <cfRule type="cellIs" dxfId="309" priority="911" operator="between">
      <formula>-0.00000045</formula>
      <formula>0.00000045</formula>
    </cfRule>
  </conditionalFormatting>
  <conditionalFormatting sqref="LR8:LR13">
    <cfRule type="cellIs" dxfId="308" priority="915" operator="between">
      <formula>-0.00000045</formula>
      <formula>0.00000045</formula>
    </cfRule>
  </conditionalFormatting>
  <conditionalFormatting sqref="LR15:LR23">
    <cfRule type="cellIs" dxfId="307" priority="913" operator="between">
      <formula>-0.00000045</formula>
      <formula>0.00000045</formula>
    </cfRule>
  </conditionalFormatting>
  <conditionalFormatting sqref="LS8:LS33">
    <cfRule type="cellIs" dxfId="306" priority="899" operator="between">
      <formula>-0.00000045</formula>
      <formula>0.00000045</formula>
    </cfRule>
  </conditionalFormatting>
  <conditionalFormatting sqref="LS35:LS40">
    <cfRule type="cellIs" dxfId="305" priority="69" operator="between">
      <formula>-0.00000045</formula>
      <formula>0.00000045</formula>
    </cfRule>
  </conditionalFormatting>
  <conditionalFormatting sqref="LS72:LS73">
    <cfRule type="cellIs" dxfId="304" priority="897" operator="between">
      <formula>-0.00000045</formula>
      <formula>0.00000045</formula>
    </cfRule>
  </conditionalFormatting>
  <conditionalFormatting sqref="LT8">
    <cfRule type="cellIs" dxfId="303" priority="896" operator="between">
      <formula>-0.00000045</formula>
      <formula>0.00000045</formula>
    </cfRule>
  </conditionalFormatting>
  <conditionalFormatting sqref="LT10:LT33">
    <cfRule type="cellIs" dxfId="302" priority="901" operator="between">
      <formula>-0.00000045</formula>
      <formula>0.00000045</formula>
    </cfRule>
  </conditionalFormatting>
  <conditionalFormatting sqref="LT36:LT38">
    <cfRule type="cellIs" dxfId="301" priority="97" operator="between">
      <formula>-0.00000045</formula>
      <formula>0.00000045</formula>
    </cfRule>
  </conditionalFormatting>
  <conditionalFormatting sqref="LT68">
    <cfRule type="cellIs" dxfId="300" priority="902" operator="between">
      <formula>-0.00000045</formula>
      <formula>0.00000045</formula>
    </cfRule>
  </conditionalFormatting>
  <conditionalFormatting sqref="LT73:LU73">
    <cfRule type="cellIs" dxfId="299" priority="890" operator="between">
      <formula>-0.00000045</formula>
      <formula>0.00000045</formula>
    </cfRule>
  </conditionalFormatting>
  <conditionalFormatting sqref="LU8:LU13">
    <cfRule type="cellIs" dxfId="298" priority="894" operator="between">
      <formula>-0.00000045</formula>
      <formula>0.00000045</formula>
    </cfRule>
  </conditionalFormatting>
  <conditionalFormatting sqref="LU15:LU23">
    <cfRule type="cellIs" dxfId="297" priority="892" operator="between">
      <formula>-0.00000045</formula>
      <formula>0.00000045</formula>
    </cfRule>
  </conditionalFormatting>
  <conditionalFormatting sqref="LU25:LU28 LU30:LU33 LL41:LU53 LR54:LS57 LU54:LU57 LT55:LT57 LL58:LU58 LT59:LT60 LR59:LS62 LU59:LU62 LT62 LL63:LU65 LN67:LU67 LU68:LU71 LS69:LT70 LT71">
    <cfRule type="cellIs" dxfId="296" priority="910" operator="between">
      <formula>-0.00000045</formula>
      <formula>0.00000045</formula>
    </cfRule>
  </conditionalFormatting>
  <conditionalFormatting sqref="LU35:LU38 LT40:LU40">
    <cfRule type="cellIs" dxfId="295" priority="96" operator="between">
      <formula>-0.00000045</formula>
      <formula>0.00000045</formula>
    </cfRule>
  </conditionalFormatting>
  <conditionalFormatting sqref="LV8:LV19 LW16:MA16 MC16:MC22 LW17:LX19 LV39:LV73">
    <cfRule type="cellIs" dxfId="294" priority="848" operator="between">
      <formula>-0.00000045</formula>
      <formula>0.00000045</formula>
    </cfRule>
  </conditionalFormatting>
  <conditionalFormatting sqref="LW41:MD51">
    <cfRule type="cellIs" dxfId="293" priority="732" operator="between">
      <formula>-0.00000045</formula>
      <formula>0.00000045</formula>
    </cfRule>
  </conditionalFormatting>
  <conditionalFormatting sqref="LW8:MG15">
    <cfRule type="cellIs" dxfId="292" priority="623" operator="between">
      <formula>-0.00000045</formula>
      <formula>0.00000045</formula>
    </cfRule>
  </conditionalFormatting>
  <conditionalFormatting sqref="LW40:MG40">
    <cfRule type="cellIs" dxfId="291" priority="92" operator="between">
      <formula>-0.00000045</formula>
      <formula>0.00000045</formula>
    </cfRule>
  </conditionalFormatting>
  <conditionalFormatting sqref="LW58:MG67">
    <cfRule type="cellIs" dxfId="290" priority="81" operator="between">
      <formula>-0.00000045</formula>
      <formula>0.00000045</formula>
    </cfRule>
  </conditionalFormatting>
  <conditionalFormatting sqref="LY73:MG73">
    <cfRule type="cellIs" dxfId="289" priority="626" operator="between">
      <formula>-0.00000045</formula>
      <formula>0.00000045</formula>
    </cfRule>
  </conditionalFormatting>
  <conditionalFormatting sqref="LZ33:LZ37">
    <cfRule type="cellIs" dxfId="288" priority="735" operator="between">
      <formula>-0.00000045</formula>
      <formula>0.00000045</formula>
    </cfRule>
  </conditionalFormatting>
  <conditionalFormatting sqref="ME16:MG39">
    <cfRule type="cellIs" dxfId="287" priority="68" operator="between">
      <formula>-0.00000045</formula>
      <formula>0.00000045</formula>
    </cfRule>
  </conditionalFormatting>
  <conditionalFormatting sqref="ME68:MG72">
    <cfRule type="cellIs" dxfId="286" priority="628" operator="between">
      <formula>-0.00000045</formula>
      <formula>0.00000045</formula>
    </cfRule>
  </conditionalFormatting>
  <conditionalFormatting sqref="MH8:MI73">
    <cfRule type="cellIs" dxfId="285" priority="601" operator="between">
      <formula>-0.00000045</formula>
      <formula>0.00000045</formula>
    </cfRule>
  </conditionalFormatting>
  <conditionalFormatting sqref="MJ8:MJ38">
    <cfRule type="cellIs" dxfId="284" priority="600" operator="between">
      <formula>-0.00000045</formula>
      <formula>0.00000045</formula>
    </cfRule>
  </conditionalFormatting>
  <conditionalFormatting sqref="MJ39:MK39">
    <cfRule type="cellIs" dxfId="283" priority="65" operator="between">
      <formula>-0.00000045</formula>
      <formula>0.00000045</formula>
    </cfRule>
  </conditionalFormatting>
  <conditionalFormatting sqref="MJ41:MK73">
    <cfRule type="cellIs" dxfId="282" priority="340" operator="between">
      <formula>-0.00000045</formula>
      <formula>0.00000045</formula>
    </cfRule>
  </conditionalFormatting>
  <conditionalFormatting sqref="MJ40:MM40">
    <cfRule type="cellIs" dxfId="281" priority="89" operator="between">
      <formula>-0.00000045</formula>
      <formula>0.00000045</formula>
    </cfRule>
  </conditionalFormatting>
  <conditionalFormatting sqref="MK9:MK38">
    <cfRule type="cellIs" dxfId="280" priority="379" operator="between">
      <formula>-0.00000045</formula>
      <formula>0.00000045</formula>
    </cfRule>
  </conditionalFormatting>
  <conditionalFormatting sqref="MK8:MM8">
    <cfRule type="cellIs" dxfId="279" priority="389" operator="between">
      <formula>-0.00000045</formula>
      <formula>0.00000045</formula>
    </cfRule>
  </conditionalFormatting>
  <conditionalFormatting sqref="ML9:MM14">
    <cfRule type="cellIs" dxfId="278" priority="385" operator="between">
      <formula>-0.00000045</formula>
      <formula>0.00000045</formula>
    </cfRule>
  </conditionalFormatting>
  <conditionalFormatting sqref="ML17:MM39">
    <cfRule type="cellIs" dxfId="277" priority="64" operator="between">
      <formula>-0.00000045</formula>
      <formula>0.00000045</formula>
    </cfRule>
  </conditionalFormatting>
  <conditionalFormatting sqref="ML41:MM72">
    <cfRule type="cellIs" dxfId="276" priority="335" operator="between">
      <formula>-0.00000045</formula>
      <formula>0.00000045</formula>
    </cfRule>
  </conditionalFormatting>
  <conditionalFormatting sqref="ML16:MS16">
    <cfRule type="cellIs" dxfId="275" priority="378" operator="between">
      <formula>-0.00000045</formula>
      <formula>0.00000045</formula>
    </cfRule>
  </conditionalFormatting>
  <conditionalFormatting sqref="ML73:MS73">
    <cfRule type="cellIs" dxfId="274" priority="344" operator="between">
      <formula>-0.00000045</formula>
      <formula>0.00000045</formula>
    </cfRule>
  </conditionalFormatting>
  <conditionalFormatting sqref="MN8:MP13 ML15:MN15 MB16:MB23 MD16:MD23 LY17:MA23 LV20:LX38 OK24:OT33 MC24:MC35 OV24:PM39 LD25:LD28 LR25:LR28 LY25:MB28 MD25:MD28 LL25:LM33 LO25:LP33 OU25:OU38 LY30:LZ32 LD30:LD33 LF30:LF33 LR30:LR33 MA30:MB35 MD30:MD35 MN32:MP32 MQ32:MS33 MP33 LY33:LY38 MN33:MN38 MA36:MD37 LD36:LE38 LZ38:MD38 LW39:LX39 ME41:MG57 OU41:PM63 LE49:LE51 LC49:LD57 MQ52:MS53 LW52:LX57 LE53 LY53:MD57 LL54:LP57 LE55:LE57 LQ55:LQ57 LQ59:LQ60 LL59:LP62 LQ62 OU64:OU65 OV64:PM72 LB67:LC67 LL67 OU67:OU71 LW68:MA68 LR68:LR71 LP69:LQ70 LL69:LL71 LY69:MD71 LW69:LX73 LQ71 MT71:MV73 MZ73:NB73 OH73:PM73">
    <cfRule type="cellIs" dxfId="273" priority="1647" operator="between">
      <formula>-0.00000045</formula>
      <formula>0.00000045</formula>
    </cfRule>
  </conditionalFormatting>
  <conditionalFormatting sqref="MN40:MP65">
    <cfRule type="cellIs" dxfId="272" priority="621" operator="between">
      <formula>-0.00000045</formula>
      <formula>0.00000045</formula>
    </cfRule>
  </conditionalFormatting>
  <conditionalFormatting sqref="MN17:MS31">
    <cfRule type="cellIs" dxfId="271" priority="594" operator="between">
      <formula>-0.00000045</formula>
      <formula>0.00000045</formula>
    </cfRule>
  </conditionalFormatting>
  <conditionalFormatting sqref="MN67:MS71">
    <cfRule type="cellIs" dxfId="270" priority="612" operator="between">
      <formula>-0.00000045</formula>
      <formula>0.00000045</formula>
    </cfRule>
  </conditionalFormatting>
  <conditionalFormatting sqref="MO14:MO15">
    <cfRule type="cellIs" dxfId="269" priority="620" operator="between">
      <formula>-0.00000045</formula>
      <formula>0.00000045</formula>
    </cfRule>
  </conditionalFormatting>
  <conditionalFormatting sqref="MO34:MS38">
    <cfRule type="cellIs" dxfId="268" priority="588" operator="between">
      <formula>-0.00000045</formula>
      <formula>0.00000045</formula>
    </cfRule>
  </conditionalFormatting>
  <conditionalFormatting sqref="MP15:MS15">
    <cfRule type="cellIs" dxfId="267" priority="609" operator="between">
      <formula>-0.00000045</formula>
      <formula>0.00000045</formula>
    </cfRule>
  </conditionalFormatting>
  <conditionalFormatting sqref="MP39:MS39">
    <cfRule type="cellIs" dxfId="266" priority="67" operator="between">
      <formula>-0.00000045</formula>
      <formula>0.00000045</formula>
    </cfRule>
  </conditionalFormatting>
  <conditionalFormatting sqref="MP72:MS72">
    <cfRule type="cellIs" dxfId="265" priority="587" operator="between">
      <formula>-0.00000045</formula>
      <formula>0.00000045</formula>
    </cfRule>
  </conditionalFormatting>
  <conditionalFormatting sqref="MQ8:MS14">
    <cfRule type="cellIs" dxfId="264" priority="614" operator="between">
      <formula>-0.00000045</formula>
      <formula>0.00000045</formula>
    </cfRule>
  </conditionalFormatting>
  <conditionalFormatting sqref="MQ40:MS40">
    <cfRule type="cellIs" dxfId="263" priority="91" operator="between">
      <formula>-0.00000045</formula>
      <formula>0.00000045</formula>
    </cfRule>
  </conditionalFormatting>
  <conditionalFormatting sqref="MQ41:MV51">
    <cfRule type="cellIs" dxfId="262" priority="615" operator="between">
      <formula>-0.00000045</formula>
      <formula>0.00000045</formula>
    </cfRule>
  </conditionalFormatting>
  <conditionalFormatting sqref="MQ54:MV65">
    <cfRule type="cellIs" dxfId="261" priority="80" operator="between">
      <formula>-0.00000045</formula>
      <formula>0.00000045</formula>
    </cfRule>
  </conditionalFormatting>
  <conditionalFormatting sqref="MT66:MT69">
    <cfRule type="cellIs" dxfId="260" priority="584" operator="between">
      <formula>-0.00000045</formula>
      <formula>0.00000045</formula>
    </cfRule>
  </conditionalFormatting>
  <conditionalFormatting sqref="MT8:MV51">
    <cfRule type="cellIs" dxfId="259" priority="586" operator="between">
      <formula>-0.00000045</formula>
      <formula>0.00000045</formula>
    </cfRule>
  </conditionalFormatting>
  <conditionalFormatting sqref="MT53:MV63">
    <cfRule type="cellIs" dxfId="258" priority="79" operator="between">
      <formula>-0.00000045</formula>
      <formula>0.00000045</formula>
    </cfRule>
  </conditionalFormatting>
  <conditionalFormatting sqref="MU66:MV70">
    <cfRule type="cellIs" dxfId="257" priority="585" operator="between">
      <formula>-0.00000045</formula>
      <formula>0.00000045</formula>
    </cfRule>
  </conditionalFormatting>
  <conditionalFormatting sqref="MW8:MY73">
    <cfRule type="cellIs" dxfId="256" priority="654" operator="between">
      <formula>-0.00000045</formula>
      <formula>0.00000045</formula>
    </cfRule>
  </conditionalFormatting>
  <conditionalFormatting sqref="MZ8:NB38 MZ40:NB51">
    <cfRule type="cellIs" dxfId="255" priority="565" operator="between">
      <formula>-0.00000045</formula>
      <formula>0.00000045</formula>
    </cfRule>
  </conditionalFormatting>
  <conditionalFormatting sqref="MZ53:NB71">
    <cfRule type="cellIs" dxfId="254" priority="78" operator="between">
      <formula>-0.00000045</formula>
      <formula>0.00000045</formula>
    </cfRule>
  </conditionalFormatting>
  <conditionalFormatting sqref="NC8:OC73">
    <cfRule type="cellIs" dxfId="253" priority="221" operator="between">
      <formula>-0.00000045</formula>
      <formula>0.00000045</formula>
    </cfRule>
  </conditionalFormatting>
  <conditionalFormatting sqref="OD10:OG39 OD41:OG73">
    <cfRule type="cellIs" dxfId="252" priority="298" operator="between">
      <formula>-0.00000045</formula>
      <formula>0.00000045</formula>
    </cfRule>
  </conditionalFormatting>
  <conditionalFormatting sqref="OD8:OI9">
    <cfRule type="cellIs" dxfId="251" priority="631" operator="between">
      <formula>-0.00000045</formula>
      <formula>0.00000045</formula>
    </cfRule>
  </conditionalFormatting>
  <conditionalFormatting sqref="OD40:PM40">
    <cfRule type="cellIs" dxfId="250" priority="87" operator="between">
      <formula>-0.00000045</formula>
      <formula>0.00000045</formula>
    </cfRule>
  </conditionalFormatting>
  <conditionalFormatting sqref="OH10:OI33">
    <cfRule type="cellIs" dxfId="249" priority="630" operator="between">
      <formula>-0.00000045</formula>
      <formula>0.00000045</formula>
    </cfRule>
  </conditionalFormatting>
  <conditionalFormatting sqref="OH34:OT39 OH41:OT72">
    <cfRule type="cellIs" dxfId="248" priority="286" operator="between">
      <formula>-0.00000045</formula>
      <formula>0.00000045</formula>
    </cfRule>
  </conditionalFormatting>
  <conditionalFormatting sqref="OJ8:OJ33">
    <cfRule type="cellIs" dxfId="247" priority="295" operator="between">
      <formula>-0.00000045</formula>
      <formula>0.00000045</formula>
    </cfRule>
  </conditionalFormatting>
  <conditionalFormatting sqref="OK8:PM23">
    <cfRule type="cellIs" dxfId="246" priority="287" operator="between">
      <formula>-0.00000045</formula>
      <formula>0.00000045</formula>
    </cfRule>
  </conditionalFormatting>
  <conditionalFormatting sqref="PN8:RG73">
    <cfRule type="cellIs" dxfId="245" priority="63" operator="between">
      <formula>-0.00000045</formula>
      <formula>0.00000045</formula>
    </cfRule>
  </conditionalFormatting>
  <conditionalFormatting sqref="RH11:RU39">
    <cfRule type="cellIs" dxfId="244" priority="62" operator="between">
      <formula>-0.00000045</formula>
      <formula>0.00000045</formula>
    </cfRule>
  </conditionalFormatting>
  <conditionalFormatting sqref="RH8:SV10">
    <cfRule type="cellIs" dxfId="243" priority="132" operator="between">
      <formula>-0.00000045</formula>
      <formula>0.00000045</formula>
    </cfRule>
  </conditionalFormatting>
  <conditionalFormatting sqref="RH40:TK73">
    <cfRule type="cellIs" dxfId="242" priority="35" operator="between">
      <formula>-0.00000045</formula>
      <formula>0.00000045</formula>
    </cfRule>
  </conditionalFormatting>
  <conditionalFormatting sqref="SW8:TG38">
    <cfRule type="cellIs" dxfId="241" priority="41" operator="between">
      <formula>-0.00000045</formula>
      <formula>0.00000045</formula>
    </cfRule>
  </conditionalFormatting>
  <conditionalFormatting sqref="TH8:TK39 RV11:SV38 RV39:TG39">
    <cfRule type="cellIs" dxfId="240" priority="142" operator="between">
      <formula>-0.00000045</formula>
      <formula>0.00000045</formula>
    </cfRule>
  </conditionalFormatting>
  <conditionalFormatting sqref="TL8:UF73 CV41:LA73">
    <cfRule type="cellIs" dxfId="239" priority="368" operator="between">
      <formula>-0.00000045</formula>
      <formula>0.00000045</formula>
    </cfRule>
  </conditionalFormatting>
  <conditionalFormatting sqref="UG8:UU9 UW8:VV17 UV8:UV63 UG10:UL20 UM10:UM72 UY18:VV20 UW18:UX23 UY22:VV23 UG22:UL73 UW24:VV63 UN42:UO72 UP42:UR73 UM73:UO73">
    <cfRule type="cellIs" dxfId="238" priority="30" operator="between">
      <formula>-0.00000045</formula>
      <formula>0.00000045</formula>
    </cfRule>
  </conditionalFormatting>
  <conditionalFormatting sqref="UH21">
    <cfRule type="cellIs" dxfId="237" priority="33" operator="between">
      <formula>-0.00000045</formula>
      <formula>0.00000045</formula>
    </cfRule>
  </conditionalFormatting>
  <conditionalFormatting sqref="UJ21:UL21">
    <cfRule type="cellIs" dxfId="236" priority="23" operator="between">
      <formula>-0.00000045</formula>
      <formula>0.00000045</formula>
    </cfRule>
  </conditionalFormatting>
  <conditionalFormatting sqref="UN10:UR41">
    <cfRule type="cellIs" dxfId="235" priority="15" operator="between">
      <formula>-0.00000045</formula>
      <formula>0.00000045</formula>
    </cfRule>
  </conditionalFormatting>
  <conditionalFormatting sqref="US10:UU63">
    <cfRule type="cellIs" dxfId="234" priority="8" operator="between">
      <formula>-0.00000045</formula>
      <formula>0.00000045</formula>
    </cfRule>
  </conditionalFormatting>
  <conditionalFormatting sqref="US64:VV73">
    <cfRule type="cellIs" dxfId="233" priority="1" operator="between">
      <formula>-0.00000045</formula>
      <formula>0.00000045</formula>
    </cfRule>
  </conditionalFormatting>
  <conditionalFormatting sqref="VW8:VW73">
    <cfRule type="cellIs" dxfId="232" priority="7" operator="between">
      <formula>-0.00000045</formula>
      <formula>0.00000045</formula>
    </cfRule>
  </conditionalFormatting>
  <conditionalFormatting sqref="VX8:VY73">
    <cfRule type="containsErrors" dxfId="231" priority="6">
      <formula>ISERROR(VX8)</formula>
    </cfRule>
    <cfRule type="cellIs" dxfId="230" priority="5" operator="equal">
      <formula>0</formula>
    </cfRule>
  </conditionalFormatting>
  <conditionalFormatting sqref="VZ8:VZ73">
    <cfRule type="cellIs" dxfId="229" priority="4" operator="between">
      <formula>-0.00000045</formula>
      <formula>0.00000045</formula>
    </cfRule>
  </conditionalFormatting>
  <conditionalFormatting sqref="WA8:WD73">
    <cfRule type="cellIs" dxfId="228" priority="2" operator="equal">
      <formula>0</formula>
    </cfRule>
    <cfRule type="containsErrors" dxfId="227" priority="3">
      <formula>ISERROR(WA8)</formula>
    </cfRule>
  </conditionalFormatting>
  <pageMargins left="0.23622047244094491" right="0.23622047244094491" top="0.74803149606299213" bottom="0.74803149606299213" header="0.31496062992125984" footer="0.31496062992125984"/>
  <pageSetup paperSize="8" scale="17" fitToWidth="0" orientation="landscape" r:id="rId1"/>
  <colBreaks count="2" manualBreakCount="2">
    <brk id="194" min="2" max="73" man="1"/>
    <brk id="598" min="2" max="73" man="1"/>
  </colBreaks>
  <ignoredErrors>
    <ignoredError sqref="BH34:CO35 BH21:CO21 BF16:CO16 BF32:BG32 BF19:CO19 BF17:CL18 CN17:CO18 BF20:CL20 CN20:CO20 BH32:CL33 CO33 CN32:CO32 BH39:CO43 BH36:CL38 CO36:CO38 BH48:CO48 BH44:CL47 CO44:CO47 BH52:CO53 BH49:CL51 CN49 CN51 BH57:CO57 BH54:CL56 CO54:CO56 CX32:CX34 CX48:CX51 CX53:CX63 CX16:CX30 CN22:CO30 BH22:CL30 BF21:BG30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D5F3E8"/>
  </sheetPr>
  <dimension ref="A1:HX44"/>
  <sheetViews>
    <sheetView zoomScale="70" zoomScaleNormal="70" zoomScaleSheetLayoutView="70" workbookViewId="0">
      <pane xSplit="3" ySplit="6" topLeftCell="DO7" activePane="bottomRight" state="frozen"/>
      <selection pane="topRight" activeCell="OM51" sqref="OM51"/>
      <selection pane="bottomLeft" activeCell="OM51" sqref="OM51"/>
      <selection pane="bottomRight" activeCell="HZ32" sqref="HZ32"/>
    </sheetView>
  </sheetViews>
  <sheetFormatPr defaultColWidth="9" defaultRowHeight="15.5" outlineLevelCol="2"/>
  <cols>
    <col min="1" max="1" width="31.08203125" style="1" hidden="1" customWidth="1"/>
    <col min="2" max="2" width="32.5" style="3" hidden="1" customWidth="1"/>
    <col min="3" max="3" width="52.5" style="1" customWidth="1"/>
    <col min="4" max="7" width="13" style="1" hidden="1" customWidth="1" outlineLevel="1"/>
    <col min="8" max="19" width="13" style="1" hidden="1" customWidth="1" outlineLevel="2"/>
    <col min="20" max="20" width="11.58203125" style="1" hidden="1" customWidth="1" outlineLevel="2"/>
    <col min="21" max="21" width="11.08203125" style="1" hidden="1" customWidth="1" outlineLevel="1"/>
    <col min="22" max="34" width="11.08203125" style="1" hidden="1" customWidth="1" outlineLevel="2"/>
    <col min="35" max="35" width="11.08203125" style="1" hidden="1" customWidth="1" outlineLevel="1" collapsed="1"/>
    <col min="36" max="48" width="11.08203125" style="1" hidden="1" customWidth="1" outlineLevel="2"/>
    <col min="49" max="49" width="11.08203125" style="1" hidden="1" customWidth="1" outlineLevel="1" collapsed="1"/>
    <col min="50" max="62" width="11.08203125" style="1" hidden="1" customWidth="1" outlineLevel="1"/>
    <col min="63" max="63" width="11.08203125" style="1" hidden="1" customWidth="1" collapsed="1"/>
    <col min="64" max="76" width="11.08203125" style="1" hidden="1" customWidth="1" outlineLevel="1"/>
    <col min="77" max="77" width="11.08203125" style="1" hidden="1" customWidth="1" collapsed="1"/>
    <col min="78" max="90" width="11.08203125" style="1" hidden="1" customWidth="1" outlineLevel="1"/>
    <col min="91" max="91" width="11.08203125" style="1" hidden="1" customWidth="1" collapsed="1"/>
    <col min="92" max="104" width="11.08203125" style="1" hidden="1" customWidth="1" outlineLevel="1"/>
    <col min="105" max="105" width="11.08203125" style="1" hidden="1" customWidth="1" collapsed="1"/>
    <col min="106" max="117" width="11.08203125" style="1" hidden="1" customWidth="1" outlineLevel="1"/>
    <col min="118" max="118" width="13.5" style="1" hidden="1" customWidth="1" outlineLevel="1"/>
    <col min="119" max="119" width="10.58203125" style="1" bestFit="1" customWidth="1" collapsed="1"/>
    <col min="120" max="125" width="11.08203125" style="1" hidden="1" customWidth="1" outlineLevel="1"/>
    <col min="126" max="127" width="10.08203125" style="1" hidden="1" customWidth="1" outlineLevel="1"/>
    <col min="128" max="131" width="11.08203125" style="1" hidden="1" customWidth="1" outlineLevel="1"/>
    <col min="132" max="132" width="11.58203125" style="1" hidden="1" customWidth="1" outlineLevel="1"/>
    <col min="133" max="133" width="12.08203125" style="1" bestFit="1" customWidth="1" collapsed="1"/>
    <col min="134" max="146" width="11.08203125" style="1" hidden="1" customWidth="1" outlineLevel="1"/>
    <col min="147" max="147" width="10.58203125" style="1" bestFit="1" customWidth="1" collapsed="1"/>
    <col min="148" max="160" width="11.08203125" style="1" hidden="1" customWidth="1" outlineLevel="1"/>
    <col min="161" max="161" width="10.58203125" style="1" bestFit="1" customWidth="1" collapsed="1"/>
    <col min="162" max="172" width="8.08203125" style="1" hidden="1" customWidth="1" outlineLevel="1"/>
    <col min="173" max="173" width="11.08203125" style="1" hidden="1" customWidth="1" outlineLevel="1"/>
    <col min="174" max="174" width="11.08203125" style="1" hidden="1" customWidth="1" outlineLevel="1" collapsed="1"/>
    <col min="175" max="175" width="11.08203125" style="1" customWidth="1" collapsed="1"/>
    <col min="176" max="188" width="11.08203125" style="1" hidden="1" customWidth="1" outlineLevel="1"/>
    <col min="189" max="189" width="11.08203125" style="1" customWidth="1" collapsed="1"/>
    <col min="190" max="202" width="11.08203125" style="1" hidden="1" customWidth="1" outlineLevel="1"/>
    <col min="203" max="203" width="11" style="1" customWidth="1" collapsed="1"/>
    <col min="204" max="215" width="11.08203125" style="1" hidden="1" customWidth="1" outlineLevel="1"/>
    <col min="216" max="216" width="11.08203125" style="1" customWidth="1" collapsed="1"/>
    <col min="217" max="220" width="11.08203125" style="1" customWidth="1"/>
    <col min="221" max="228" width="11.08203125" style="1" hidden="1" customWidth="1" outlineLevel="1"/>
    <col min="229" max="229" width="11.08203125" style="1" customWidth="1" collapsed="1"/>
    <col min="230" max="230" width="11.5" style="1" customWidth="1" collapsed="1"/>
    <col min="231" max="231" width="13.58203125" style="1" customWidth="1"/>
    <col min="232" max="232" width="15.08203125" style="1" customWidth="1"/>
    <col min="233" max="238" width="9" style="3"/>
    <col min="239" max="239" width="9" style="3" customWidth="1"/>
    <col min="240" max="16384" width="9" style="3"/>
  </cols>
  <sheetData>
    <row r="1" spans="1:232" ht="29.65" hidden="1" customHeight="1">
      <c r="D1" s="2">
        <v>2007</v>
      </c>
      <c r="E1" s="2">
        <v>2008</v>
      </c>
      <c r="F1" s="2">
        <v>2009</v>
      </c>
      <c r="G1" s="2">
        <v>2010</v>
      </c>
      <c r="H1" s="2">
        <v>2011</v>
      </c>
      <c r="I1" s="2">
        <v>2011</v>
      </c>
      <c r="J1" s="2">
        <v>2011</v>
      </c>
      <c r="K1" s="2">
        <v>2011</v>
      </c>
      <c r="L1" s="2">
        <v>2011</v>
      </c>
      <c r="M1" s="2">
        <v>2011</v>
      </c>
      <c r="N1" s="2">
        <v>2011</v>
      </c>
      <c r="O1" s="2">
        <v>2011</v>
      </c>
      <c r="P1" s="2">
        <v>2011</v>
      </c>
      <c r="Q1" s="2">
        <v>2011</v>
      </c>
      <c r="R1" s="2">
        <v>2011</v>
      </c>
      <c r="S1" s="2">
        <v>2011</v>
      </c>
      <c r="T1" s="2">
        <v>2011</v>
      </c>
      <c r="U1" s="2">
        <v>2011</v>
      </c>
      <c r="V1" s="2">
        <v>2012</v>
      </c>
      <c r="W1" s="2">
        <v>2012</v>
      </c>
      <c r="X1" s="2">
        <v>2012</v>
      </c>
      <c r="Y1" s="2">
        <v>2012</v>
      </c>
      <c r="Z1" s="2">
        <v>2012</v>
      </c>
      <c r="AA1" s="2">
        <v>2012</v>
      </c>
      <c r="AB1" s="2">
        <v>2012</v>
      </c>
      <c r="AC1" s="2">
        <v>2012</v>
      </c>
      <c r="AD1" s="2">
        <v>2012</v>
      </c>
      <c r="AE1" s="2">
        <v>2012</v>
      </c>
      <c r="AF1" s="2">
        <v>2012</v>
      </c>
      <c r="AG1" s="2">
        <v>2012</v>
      </c>
      <c r="AH1" s="2">
        <v>2012</v>
      </c>
      <c r="AI1" s="2">
        <v>2012</v>
      </c>
      <c r="AJ1" s="2">
        <v>2013</v>
      </c>
      <c r="AK1" s="2">
        <v>2013</v>
      </c>
      <c r="AL1" s="2">
        <v>2013</v>
      </c>
      <c r="AM1" s="2">
        <v>2013</v>
      </c>
      <c r="AN1" s="2">
        <v>2013</v>
      </c>
      <c r="AO1" s="2">
        <v>2013</v>
      </c>
      <c r="AP1" s="2">
        <v>2013</v>
      </c>
      <c r="AQ1" s="2">
        <v>2013</v>
      </c>
      <c r="AR1" s="2">
        <v>2013</v>
      </c>
      <c r="AS1" s="2">
        <v>2013</v>
      </c>
      <c r="AT1" s="2">
        <v>2013</v>
      </c>
      <c r="AU1" s="2">
        <v>2013</v>
      </c>
      <c r="AV1" s="2">
        <v>2013</v>
      </c>
      <c r="AW1" s="2">
        <v>2013</v>
      </c>
      <c r="AX1" s="2">
        <v>2014</v>
      </c>
      <c r="AY1" s="2">
        <v>2014</v>
      </c>
      <c r="AZ1" s="2">
        <v>2014</v>
      </c>
      <c r="BA1" s="2">
        <v>2014</v>
      </c>
      <c r="BB1" s="2">
        <v>2014</v>
      </c>
      <c r="BC1" s="2">
        <v>2014</v>
      </c>
      <c r="BD1" s="2">
        <v>2014</v>
      </c>
      <c r="BE1" s="2">
        <v>2014</v>
      </c>
      <c r="BF1" s="2">
        <v>2014</v>
      </c>
      <c r="BG1" s="2">
        <v>2014</v>
      </c>
      <c r="BH1" s="2">
        <v>2014</v>
      </c>
      <c r="BI1" s="2">
        <v>2014</v>
      </c>
      <c r="BJ1" s="2">
        <v>2014</v>
      </c>
      <c r="BK1" s="2">
        <v>2014</v>
      </c>
      <c r="BL1" s="2">
        <v>2015</v>
      </c>
      <c r="BM1" s="2">
        <v>2015</v>
      </c>
      <c r="BN1" s="2">
        <v>2015</v>
      </c>
      <c r="BO1" s="2">
        <v>2015</v>
      </c>
      <c r="BP1" s="2">
        <v>2015</v>
      </c>
      <c r="BQ1" s="2">
        <v>2015</v>
      </c>
      <c r="BR1" s="2">
        <v>2015</v>
      </c>
      <c r="BS1" s="2">
        <v>2015</v>
      </c>
      <c r="BT1" s="2">
        <v>2015</v>
      </c>
      <c r="BU1" s="2">
        <v>2015</v>
      </c>
      <c r="BV1" s="2">
        <v>2015</v>
      </c>
      <c r="BW1" s="2">
        <v>2015</v>
      </c>
      <c r="BX1" s="2">
        <v>2015</v>
      </c>
      <c r="BY1" s="2">
        <v>2015</v>
      </c>
      <c r="BZ1" s="2">
        <v>2016</v>
      </c>
      <c r="CA1" s="2">
        <v>2016</v>
      </c>
      <c r="CB1" s="2">
        <v>2016</v>
      </c>
      <c r="CC1" s="2">
        <v>2016</v>
      </c>
      <c r="CD1" s="2">
        <v>2016</v>
      </c>
      <c r="CE1" s="2">
        <v>2016</v>
      </c>
      <c r="CF1" s="2">
        <v>2016</v>
      </c>
      <c r="CG1" s="2">
        <v>2016</v>
      </c>
      <c r="CH1" s="2">
        <v>2016</v>
      </c>
      <c r="CI1" s="2">
        <v>2016</v>
      </c>
      <c r="CJ1" s="2">
        <v>2016</v>
      </c>
      <c r="CK1" s="2">
        <v>2016</v>
      </c>
      <c r="CL1" s="2">
        <v>2016</v>
      </c>
      <c r="CM1" s="2">
        <v>2016</v>
      </c>
      <c r="CN1" s="2">
        <v>2017</v>
      </c>
      <c r="CO1" s="2">
        <v>2017</v>
      </c>
      <c r="CP1" s="2">
        <v>2017</v>
      </c>
      <c r="CQ1" s="2">
        <v>2017</v>
      </c>
      <c r="CR1" s="2">
        <v>2017</v>
      </c>
      <c r="CS1" s="2">
        <v>2017</v>
      </c>
      <c r="CT1" s="2">
        <v>2017</v>
      </c>
      <c r="CU1" s="2">
        <v>2017</v>
      </c>
      <c r="CV1" s="2">
        <v>2017</v>
      </c>
      <c r="CW1" s="2">
        <v>2017</v>
      </c>
      <c r="CX1" s="2">
        <v>2017</v>
      </c>
      <c r="CY1" s="2">
        <v>2017</v>
      </c>
      <c r="CZ1" s="2">
        <v>2017</v>
      </c>
      <c r="DA1" s="2">
        <v>2017</v>
      </c>
      <c r="DB1" s="2">
        <v>2018</v>
      </c>
      <c r="DC1" s="2">
        <v>2018</v>
      </c>
      <c r="DD1" s="2">
        <v>2018</v>
      </c>
      <c r="DE1" s="2">
        <v>2018</v>
      </c>
      <c r="DF1" s="2">
        <v>2018</v>
      </c>
      <c r="DG1" s="2">
        <v>2018</v>
      </c>
      <c r="DH1" s="2">
        <v>2018</v>
      </c>
      <c r="DI1" s="2">
        <v>2018</v>
      </c>
      <c r="DJ1" s="2">
        <v>2018</v>
      </c>
      <c r="DK1" s="2">
        <v>2018</v>
      </c>
      <c r="DL1" s="2">
        <v>2018</v>
      </c>
      <c r="DM1" s="2">
        <v>2018</v>
      </c>
      <c r="DN1" s="2">
        <v>2018</v>
      </c>
      <c r="DO1" s="2">
        <v>2018</v>
      </c>
      <c r="DP1" s="2">
        <v>2019</v>
      </c>
      <c r="DQ1" s="2">
        <v>2019</v>
      </c>
      <c r="DR1" s="2">
        <v>2019</v>
      </c>
      <c r="DS1" s="2">
        <v>2019</v>
      </c>
      <c r="DT1" s="2">
        <v>2019</v>
      </c>
      <c r="DU1" s="2">
        <v>2019</v>
      </c>
      <c r="DV1" s="2">
        <v>2019</v>
      </c>
      <c r="DW1" s="2">
        <v>2019</v>
      </c>
      <c r="DX1" s="2">
        <v>2019</v>
      </c>
      <c r="DY1" s="2">
        <v>2019</v>
      </c>
      <c r="DZ1" s="2">
        <v>2019</v>
      </c>
      <c r="EA1" s="2">
        <v>2019</v>
      </c>
      <c r="EB1" s="2">
        <v>2019</v>
      </c>
      <c r="EC1" s="2">
        <v>2019</v>
      </c>
      <c r="ED1" s="2">
        <v>2020</v>
      </c>
      <c r="EE1" s="2">
        <v>2020</v>
      </c>
      <c r="EF1" s="2">
        <v>2020</v>
      </c>
      <c r="EG1" s="2">
        <v>2020</v>
      </c>
      <c r="EH1" s="2">
        <v>2020</v>
      </c>
      <c r="EI1" s="2">
        <v>2020</v>
      </c>
      <c r="EJ1" s="2">
        <v>2020</v>
      </c>
      <c r="EK1" s="2">
        <v>2020</v>
      </c>
      <c r="EL1" s="2">
        <v>2020</v>
      </c>
      <c r="EM1" s="2">
        <v>2020</v>
      </c>
      <c r="EN1" s="2">
        <v>2020</v>
      </c>
      <c r="EO1" s="2">
        <v>2020</v>
      </c>
      <c r="EP1" s="2">
        <v>2020</v>
      </c>
      <c r="EQ1" s="2">
        <v>2020</v>
      </c>
      <c r="ER1" s="2">
        <v>2021</v>
      </c>
      <c r="ES1" s="2">
        <v>2021</v>
      </c>
      <c r="ET1" s="2">
        <v>2021</v>
      </c>
      <c r="EU1" s="2">
        <v>2021</v>
      </c>
      <c r="EV1" s="2">
        <v>2021</v>
      </c>
      <c r="EW1" s="2">
        <v>2021</v>
      </c>
      <c r="EX1" s="2">
        <v>2021</v>
      </c>
      <c r="EY1" s="2">
        <v>2021</v>
      </c>
      <c r="EZ1" s="2">
        <v>2021</v>
      </c>
      <c r="FA1" s="2">
        <v>2021</v>
      </c>
      <c r="FB1" s="2">
        <v>2021</v>
      </c>
      <c r="FC1" s="2">
        <v>2021</v>
      </c>
      <c r="FD1" s="2">
        <v>2021</v>
      </c>
      <c r="FE1" s="2">
        <v>2021</v>
      </c>
      <c r="FF1" s="2">
        <v>2022</v>
      </c>
      <c r="FG1" s="2">
        <v>2022</v>
      </c>
      <c r="FH1" s="2">
        <v>2022</v>
      </c>
      <c r="FI1" s="2">
        <v>2022</v>
      </c>
      <c r="FJ1" s="2">
        <v>2022</v>
      </c>
      <c r="FK1" s="2">
        <v>2022</v>
      </c>
      <c r="FL1" s="2">
        <v>2022</v>
      </c>
      <c r="FM1" s="2">
        <v>2022</v>
      </c>
      <c r="FN1" s="2">
        <v>2022</v>
      </c>
      <c r="FO1" s="2">
        <v>2022</v>
      </c>
      <c r="FP1" s="2">
        <v>2022</v>
      </c>
      <c r="FQ1" s="2">
        <v>2022</v>
      </c>
      <c r="FR1" s="2">
        <v>2022</v>
      </c>
      <c r="FS1" s="2">
        <v>2022</v>
      </c>
      <c r="FT1" s="2">
        <v>2023</v>
      </c>
      <c r="FU1" s="2">
        <v>2023</v>
      </c>
      <c r="FV1" s="2">
        <v>2023</v>
      </c>
      <c r="FW1" s="2">
        <v>2023</v>
      </c>
      <c r="FX1" s="2">
        <v>2023</v>
      </c>
      <c r="FY1" s="2">
        <v>2023</v>
      </c>
      <c r="FZ1" s="2">
        <v>2023</v>
      </c>
      <c r="GA1" s="2">
        <v>2023</v>
      </c>
      <c r="GB1" s="2">
        <v>2023</v>
      </c>
      <c r="GC1" s="2">
        <v>2023</v>
      </c>
      <c r="GD1" s="2">
        <v>2023</v>
      </c>
      <c r="GE1" s="2">
        <v>2023</v>
      </c>
      <c r="GF1" s="2">
        <v>2023</v>
      </c>
      <c r="GG1" s="2"/>
      <c r="GH1" s="2"/>
      <c r="GT1" s="2"/>
      <c r="GU1" s="2"/>
    </row>
    <row r="2" spans="1:232" ht="29.65" hidden="1" customHeight="1"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1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  <c r="AC2" s="2" t="s">
        <v>0</v>
      </c>
      <c r="AD2" s="2" t="s">
        <v>0</v>
      </c>
      <c r="AE2" s="2" t="s">
        <v>0</v>
      </c>
      <c r="AF2" s="2" t="s">
        <v>0</v>
      </c>
      <c r="AG2" s="2" t="s">
        <v>0</v>
      </c>
      <c r="AH2" s="2" t="s">
        <v>1</v>
      </c>
      <c r="AI2" s="2" t="s">
        <v>0</v>
      </c>
      <c r="AJ2" s="2" t="s">
        <v>0</v>
      </c>
      <c r="AK2" s="2" t="s">
        <v>0</v>
      </c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1</v>
      </c>
      <c r="AW2" s="2" t="s">
        <v>0</v>
      </c>
      <c r="AX2" s="2" t="s">
        <v>0</v>
      </c>
      <c r="AY2" s="2" t="s">
        <v>0</v>
      </c>
      <c r="AZ2" s="2" t="s">
        <v>0</v>
      </c>
      <c r="BA2" s="2" t="s">
        <v>0</v>
      </c>
      <c r="BB2" s="2" t="s">
        <v>0</v>
      </c>
      <c r="BC2" s="2" t="s">
        <v>0</v>
      </c>
      <c r="BD2" s="2" t="s">
        <v>0</v>
      </c>
      <c r="BE2" s="2" t="s">
        <v>0</v>
      </c>
      <c r="BF2" s="2" t="s">
        <v>0</v>
      </c>
      <c r="BG2" s="2" t="s">
        <v>0</v>
      </c>
      <c r="BH2" s="2" t="s">
        <v>0</v>
      </c>
      <c r="BI2" s="2" t="s">
        <v>0</v>
      </c>
      <c r="BJ2" s="2" t="s">
        <v>1</v>
      </c>
      <c r="BK2" s="2" t="s">
        <v>0</v>
      </c>
      <c r="BL2" s="2" t="s">
        <v>0</v>
      </c>
      <c r="BM2" s="2" t="s">
        <v>0</v>
      </c>
      <c r="BN2" s="2" t="s">
        <v>0</v>
      </c>
      <c r="BO2" s="2" t="s">
        <v>0</v>
      </c>
      <c r="BP2" s="2" t="s">
        <v>0</v>
      </c>
      <c r="BQ2" s="2" t="s">
        <v>0</v>
      </c>
      <c r="BR2" s="2" t="s">
        <v>0</v>
      </c>
      <c r="BS2" s="2" t="s">
        <v>0</v>
      </c>
      <c r="BT2" s="2" t="s">
        <v>0</v>
      </c>
      <c r="BU2" s="2" t="s">
        <v>0</v>
      </c>
      <c r="BV2" s="2" t="s">
        <v>0</v>
      </c>
      <c r="BW2" s="2" t="s">
        <v>0</v>
      </c>
      <c r="BX2" s="2" t="s">
        <v>1</v>
      </c>
      <c r="BY2" s="2" t="s">
        <v>0</v>
      </c>
      <c r="BZ2" s="2" t="s">
        <v>0</v>
      </c>
      <c r="CA2" s="2" t="s">
        <v>0</v>
      </c>
      <c r="CB2" s="2" t="s">
        <v>0</v>
      </c>
      <c r="CC2" s="2" t="s">
        <v>0</v>
      </c>
      <c r="CD2" s="2" t="s">
        <v>0</v>
      </c>
      <c r="CE2" s="2" t="s">
        <v>0</v>
      </c>
      <c r="CF2" s="2" t="s">
        <v>0</v>
      </c>
      <c r="CG2" s="2" t="s">
        <v>0</v>
      </c>
      <c r="CH2" s="2" t="s">
        <v>0</v>
      </c>
      <c r="CI2" s="2" t="s">
        <v>0</v>
      </c>
      <c r="CJ2" s="2" t="s">
        <v>0</v>
      </c>
      <c r="CK2" s="2" t="s">
        <v>0</v>
      </c>
      <c r="CL2" s="2" t="s">
        <v>1</v>
      </c>
      <c r="CM2" s="2" t="s">
        <v>0</v>
      </c>
      <c r="CN2" s="2" t="s">
        <v>0</v>
      </c>
      <c r="CO2" s="2" t="s">
        <v>0</v>
      </c>
      <c r="CP2" s="2" t="s">
        <v>0</v>
      </c>
      <c r="CQ2" s="2" t="s">
        <v>0</v>
      </c>
      <c r="CR2" s="2" t="s">
        <v>0</v>
      </c>
      <c r="CS2" s="2" t="s">
        <v>0</v>
      </c>
      <c r="CT2" s="2" t="s">
        <v>0</v>
      </c>
      <c r="CU2" s="2" t="s">
        <v>0</v>
      </c>
      <c r="CV2" s="2" t="s">
        <v>0</v>
      </c>
      <c r="CW2" s="2" t="s">
        <v>0</v>
      </c>
      <c r="CX2" s="2" t="s">
        <v>0</v>
      </c>
      <c r="CY2" s="2" t="s">
        <v>0</v>
      </c>
      <c r="CZ2" s="2" t="s">
        <v>1</v>
      </c>
      <c r="DA2" s="2" t="s">
        <v>0</v>
      </c>
      <c r="DB2" s="2" t="s">
        <v>0</v>
      </c>
      <c r="DC2" s="2" t="s">
        <v>0</v>
      </c>
      <c r="DD2" s="2" t="s">
        <v>0</v>
      </c>
      <c r="DE2" s="2" t="s">
        <v>0</v>
      </c>
      <c r="DF2" s="2" t="s">
        <v>0</v>
      </c>
      <c r="DG2" s="2" t="s">
        <v>0</v>
      </c>
      <c r="DH2" s="2" t="s">
        <v>0</v>
      </c>
      <c r="DI2" s="2" t="s">
        <v>0</v>
      </c>
      <c r="DJ2" s="2" t="s">
        <v>0</v>
      </c>
      <c r="DK2" s="2" t="s">
        <v>0</v>
      </c>
      <c r="DL2" s="2" t="s">
        <v>0</v>
      </c>
      <c r="DM2" s="2" t="s">
        <v>0</v>
      </c>
      <c r="DN2" s="2" t="s">
        <v>1</v>
      </c>
      <c r="DO2" s="2" t="s">
        <v>0</v>
      </c>
      <c r="DP2" s="2" t="s">
        <v>0</v>
      </c>
      <c r="DQ2" s="2" t="s">
        <v>0</v>
      </c>
      <c r="DR2" s="2" t="s">
        <v>0</v>
      </c>
      <c r="DS2" s="2" t="s">
        <v>0</v>
      </c>
      <c r="DT2" s="2" t="s">
        <v>0</v>
      </c>
      <c r="DU2" s="2" t="s">
        <v>0</v>
      </c>
      <c r="DV2" s="2" t="s">
        <v>0</v>
      </c>
      <c r="DW2" s="2" t="s">
        <v>0</v>
      </c>
      <c r="DX2" s="2" t="s">
        <v>0</v>
      </c>
      <c r="DY2" s="2" t="s">
        <v>0</v>
      </c>
      <c r="DZ2" s="2" t="s">
        <v>0</v>
      </c>
      <c r="EA2" s="2" t="s">
        <v>0</v>
      </c>
      <c r="EB2" s="2" t="s">
        <v>1</v>
      </c>
      <c r="EC2" s="2" t="s">
        <v>0</v>
      </c>
      <c r="ED2" s="2" t="s">
        <v>0</v>
      </c>
      <c r="EE2" s="2" t="s">
        <v>0</v>
      </c>
      <c r="EF2" s="2" t="s">
        <v>0</v>
      </c>
      <c r="EG2" s="2" t="s">
        <v>0</v>
      </c>
      <c r="EH2" s="2" t="s">
        <v>0</v>
      </c>
      <c r="EI2" s="2" t="s">
        <v>0</v>
      </c>
      <c r="EJ2" s="2" t="s">
        <v>0</v>
      </c>
      <c r="EK2" s="2" t="s">
        <v>0</v>
      </c>
      <c r="EL2" s="2" t="s">
        <v>0</v>
      </c>
      <c r="EM2" s="2" t="s">
        <v>0</v>
      </c>
      <c r="EN2" s="2" t="s">
        <v>0</v>
      </c>
      <c r="EO2" s="2" t="s">
        <v>0</v>
      </c>
      <c r="EP2" s="2" t="s">
        <v>1</v>
      </c>
      <c r="EQ2" s="2" t="s">
        <v>0</v>
      </c>
      <c r="ER2" s="2" t="s">
        <v>0</v>
      </c>
      <c r="ES2" s="2" t="s">
        <v>0</v>
      </c>
      <c r="ET2" s="2" t="s">
        <v>0</v>
      </c>
      <c r="EU2" s="2" t="s">
        <v>0</v>
      </c>
      <c r="EV2" s="2" t="s">
        <v>0</v>
      </c>
      <c r="EW2" s="2" t="s">
        <v>0</v>
      </c>
      <c r="EX2" s="2" t="s">
        <v>0</v>
      </c>
      <c r="EY2" s="2" t="s">
        <v>0</v>
      </c>
      <c r="EZ2" s="2" t="s">
        <v>0</v>
      </c>
      <c r="FA2" s="2" t="s">
        <v>0</v>
      </c>
      <c r="FB2" s="2" t="s">
        <v>0</v>
      </c>
      <c r="FC2" s="2" t="s">
        <v>0</v>
      </c>
      <c r="FD2" s="2" t="s">
        <v>1</v>
      </c>
      <c r="FE2" s="2" t="s">
        <v>0</v>
      </c>
      <c r="FF2" s="2" t="s">
        <v>0</v>
      </c>
      <c r="FG2" s="2" t="s">
        <v>0</v>
      </c>
      <c r="FH2" s="2" t="s">
        <v>0</v>
      </c>
      <c r="FI2" s="2" t="s">
        <v>0</v>
      </c>
      <c r="FJ2" s="2" t="s">
        <v>0</v>
      </c>
      <c r="FK2" s="2" t="s">
        <v>0</v>
      </c>
      <c r="FL2" s="2" t="s">
        <v>0</v>
      </c>
      <c r="FM2" s="2" t="s">
        <v>0</v>
      </c>
      <c r="FN2" s="2" t="s">
        <v>0</v>
      </c>
      <c r="FO2" s="2" t="s">
        <v>0</v>
      </c>
      <c r="FP2" s="2" t="s">
        <v>0</v>
      </c>
      <c r="FQ2" s="2" t="s">
        <v>0</v>
      </c>
      <c r="FR2" s="2" t="s">
        <v>1</v>
      </c>
      <c r="FS2" s="2" t="s">
        <v>0</v>
      </c>
      <c r="FT2" s="2" t="s">
        <v>0</v>
      </c>
      <c r="FU2" s="2" t="s">
        <v>0</v>
      </c>
      <c r="FV2" s="2" t="s">
        <v>0</v>
      </c>
      <c r="FW2" s="2" t="s">
        <v>0</v>
      </c>
      <c r="FX2" s="2" t="s">
        <v>0</v>
      </c>
      <c r="FY2" s="2" t="s">
        <v>0</v>
      </c>
      <c r="FZ2" s="2" t="s">
        <v>0</v>
      </c>
      <c r="GA2" s="2" t="s">
        <v>0</v>
      </c>
      <c r="GB2" s="2" t="s">
        <v>0</v>
      </c>
      <c r="GC2" s="2" t="s">
        <v>0</v>
      </c>
      <c r="GD2" s="2" t="s">
        <v>0</v>
      </c>
      <c r="GE2" s="2" t="s">
        <v>0</v>
      </c>
      <c r="GF2" s="2" t="s">
        <v>1</v>
      </c>
      <c r="GG2" s="2"/>
      <c r="GH2" s="2"/>
      <c r="GT2" s="2"/>
      <c r="GU2" s="2"/>
    </row>
    <row r="3" spans="1:232" ht="29.65" customHeight="1">
      <c r="A3" s="34" t="s">
        <v>218</v>
      </c>
      <c r="C3" s="34" t="s">
        <v>219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142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101"/>
      <c r="GV3" s="101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</row>
    <row r="4" spans="1:232" ht="20">
      <c r="A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16"/>
      <c r="GF4" s="16"/>
      <c r="GG4" s="4"/>
      <c r="GH4" s="254"/>
      <c r="GI4" s="16"/>
      <c r="GJ4" s="16"/>
      <c r="GK4" s="16"/>
      <c r="GL4" s="16"/>
      <c r="GM4" s="16"/>
      <c r="GN4" s="16"/>
      <c r="GO4" s="16"/>
      <c r="GP4" s="16"/>
      <c r="GQ4" s="4"/>
      <c r="GR4" s="4"/>
      <c r="GS4" s="4"/>
      <c r="GT4" s="16"/>
      <c r="GU4" s="101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12"/>
      <c r="HW4" s="4"/>
      <c r="HX4" s="4"/>
    </row>
    <row r="5" spans="1:232" ht="70.5" customHeight="1">
      <c r="A5" s="342"/>
      <c r="B5" s="353" t="s">
        <v>4</v>
      </c>
      <c r="C5" s="342"/>
      <c r="D5" s="331">
        <v>2007</v>
      </c>
      <c r="E5" s="329">
        <v>2008</v>
      </c>
      <c r="F5" s="329">
        <v>2009</v>
      </c>
      <c r="G5" s="329">
        <v>2010</v>
      </c>
      <c r="H5" s="354">
        <v>2011</v>
      </c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6"/>
      <c r="T5" s="20">
        <v>2011</v>
      </c>
      <c r="U5" s="329">
        <v>2011</v>
      </c>
      <c r="V5" s="354">
        <v>2012</v>
      </c>
      <c r="W5" s="355"/>
      <c r="X5" s="355"/>
      <c r="Y5" s="355"/>
      <c r="Z5" s="355"/>
      <c r="AA5" s="355"/>
      <c r="AB5" s="355"/>
      <c r="AC5" s="355"/>
      <c r="AD5" s="355"/>
      <c r="AE5" s="355"/>
      <c r="AF5" s="355"/>
      <c r="AG5" s="356"/>
      <c r="AH5" s="20">
        <v>2012</v>
      </c>
      <c r="AI5" s="329">
        <v>2012</v>
      </c>
      <c r="AJ5" s="335">
        <v>2013</v>
      </c>
      <c r="AK5" s="336"/>
      <c r="AL5" s="336"/>
      <c r="AM5" s="336"/>
      <c r="AN5" s="336"/>
      <c r="AO5" s="336"/>
      <c r="AP5" s="336"/>
      <c r="AQ5" s="336"/>
      <c r="AR5" s="336"/>
      <c r="AS5" s="336"/>
      <c r="AT5" s="336"/>
      <c r="AU5" s="337"/>
      <c r="AV5" s="20">
        <v>2013</v>
      </c>
      <c r="AW5" s="330">
        <v>2013</v>
      </c>
      <c r="AX5" s="335">
        <v>2014</v>
      </c>
      <c r="AY5" s="336"/>
      <c r="AZ5" s="336"/>
      <c r="BA5" s="336"/>
      <c r="BB5" s="336"/>
      <c r="BC5" s="336"/>
      <c r="BD5" s="336"/>
      <c r="BE5" s="336"/>
      <c r="BF5" s="336"/>
      <c r="BG5" s="336"/>
      <c r="BH5" s="336"/>
      <c r="BI5" s="337"/>
      <c r="BJ5" s="20">
        <v>2014</v>
      </c>
      <c r="BK5" s="20">
        <v>2014</v>
      </c>
      <c r="BL5" s="335">
        <v>2015</v>
      </c>
      <c r="BM5" s="336"/>
      <c r="BN5" s="336"/>
      <c r="BO5" s="336"/>
      <c r="BP5" s="336"/>
      <c r="BQ5" s="336"/>
      <c r="BR5" s="336"/>
      <c r="BS5" s="336"/>
      <c r="BT5" s="336"/>
      <c r="BU5" s="336"/>
      <c r="BV5" s="336"/>
      <c r="BW5" s="337"/>
      <c r="BX5" s="134">
        <v>2015</v>
      </c>
      <c r="BY5" s="20">
        <v>2015</v>
      </c>
      <c r="BZ5" s="335">
        <v>2016</v>
      </c>
      <c r="CA5" s="336"/>
      <c r="CB5" s="336"/>
      <c r="CC5" s="336"/>
      <c r="CD5" s="336"/>
      <c r="CE5" s="336"/>
      <c r="CF5" s="336"/>
      <c r="CG5" s="336"/>
      <c r="CH5" s="336"/>
      <c r="CI5" s="336"/>
      <c r="CJ5" s="336"/>
      <c r="CK5" s="337"/>
      <c r="CL5" s="134">
        <v>2016</v>
      </c>
      <c r="CM5" s="20">
        <v>2016</v>
      </c>
      <c r="CN5" s="335">
        <v>2017</v>
      </c>
      <c r="CO5" s="336"/>
      <c r="CP5" s="336"/>
      <c r="CQ5" s="336"/>
      <c r="CR5" s="336"/>
      <c r="CS5" s="336"/>
      <c r="CT5" s="336"/>
      <c r="CU5" s="336"/>
      <c r="CV5" s="336"/>
      <c r="CW5" s="336"/>
      <c r="CX5" s="337"/>
      <c r="CY5" s="154"/>
      <c r="CZ5" s="134">
        <v>2017</v>
      </c>
      <c r="DA5" s="20">
        <v>2017</v>
      </c>
      <c r="DB5" s="335">
        <v>2018</v>
      </c>
      <c r="DC5" s="336"/>
      <c r="DD5" s="336"/>
      <c r="DE5" s="336"/>
      <c r="DF5" s="336"/>
      <c r="DG5" s="336"/>
      <c r="DH5" s="336"/>
      <c r="DI5" s="336"/>
      <c r="DJ5" s="336"/>
      <c r="DK5" s="336"/>
      <c r="DL5" s="336"/>
      <c r="DM5" s="336"/>
      <c r="DN5" s="20">
        <f>DB5</f>
        <v>2018</v>
      </c>
      <c r="DO5" s="20">
        <v>2018</v>
      </c>
      <c r="DP5" s="335">
        <v>2019</v>
      </c>
      <c r="DQ5" s="336"/>
      <c r="DR5" s="336"/>
      <c r="DS5" s="336"/>
      <c r="DT5" s="336"/>
      <c r="DU5" s="336"/>
      <c r="DV5" s="336"/>
      <c r="DW5" s="336"/>
      <c r="DX5" s="336"/>
      <c r="DY5" s="336"/>
      <c r="DZ5" s="336"/>
      <c r="EA5" s="337"/>
      <c r="EB5" s="20">
        <f>DP5</f>
        <v>2019</v>
      </c>
      <c r="EC5" s="20">
        <v>2019</v>
      </c>
      <c r="ED5" s="335">
        <v>2020</v>
      </c>
      <c r="EE5" s="336"/>
      <c r="EF5" s="336"/>
      <c r="EG5" s="336"/>
      <c r="EH5" s="336"/>
      <c r="EI5" s="336"/>
      <c r="EJ5" s="336"/>
      <c r="EK5" s="336"/>
      <c r="EL5" s="336"/>
      <c r="EM5" s="336"/>
      <c r="EN5" s="336"/>
      <c r="EO5" s="337"/>
      <c r="EP5" s="134">
        <v>2020</v>
      </c>
      <c r="EQ5" s="134">
        <v>2020</v>
      </c>
      <c r="ER5" s="335">
        <v>2021</v>
      </c>
      <c r="ES5" s="336"/>
      <c r="ET5" s="336"/>
      <c r="EU5" s="336"/>
      <c r="EV5" s="336"/>
      <c r="EW5" s="336"/>
      <c r="EX5" s="336"/>
      <c r="EY5" s="336"/>
      <c r="EZ5" s="336"/>
      <c r="FA5" s="336"/>
      <c r="FB5" s="336"/>
      <c r="FC5" s="337"/>
      <c r="FD5" s="134">
        <v>2021</v>
      </c>
      <c r="FE5" s="20">
        <v>2021</v>
      </c>
      <c r="FF5" s="335">
        <v>2022</v>
      </c>
      <c r="FG5" s="336"/>
      <c r="FH5" s="336"/>
      <c r="FI5" s="336"/>
      <c r="FJ5" s="336"/>
      <c r="FK5" s="336"/>
      <c r="FL5" s="336"/>
      <c r="FM5" s="336"/>
      <c r="FN5" s="336"/>
      <c r="FO5" s="336"/>
      <c r="FP5" s="336"/>
      <c r="FQ5" s="337"/>
      <c r="FR5" s="134">
        <v>2022</v>
      </c>
      <c r="FS5" s="20">
        <v>2022</v>
      </c>
      <c r="FT5" s="20">
        <v>2023</v>
      </c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>
        <v>2023</v>
      </c>
      <c r="GG5" s="20">
        <v>2023</v>
      </c>
      <c r="GH5" s="335">
        <v>2024</v>
      </c>
      <c r="GI5" s="336"/>
      <c r="GJ5" s="336"/>
      <c r="GK5" s="336"/>
      <c r="GL5" s="336"/>
      <c r="GM5" s="336"/>
      <c r="GN5" s="336"/>
      <c r="GO5" s="336"/>
      <c r="GP5" s="336"/>
      <c r="GQ5" s="336"/>
      <c r="GR5" s="336"/>
      <c r="GS5" s="337"/>
      <c r="GT5" s="20">
        <v>2024</v>
      </c>
      <c r="GU5" s="20">
        <v>2024</v>
      </c>
      <c r="GV5" s="335">
        <v>2025</v>
      </c>
      <c r="GW5" s="336"/>
      <c r="GX5" s="336"/>
      <c r="GY5" s="336"/>
      <c r="GZ5" s="336"/>
      <c r="HA5" s="336"/>
      <c r="HB5" s="336"/>
      <c r="HC5" s="336"/>
      <c r="HD5" s="336"/>
      <c r="HE5" s="336"/>
      <c r="HF5" s="336"/>
      <c r="HG5" s="337"/>
      <c r="HH5" s="20">
        <v>2025</v>
      </c>
      <c r="HI5" s="335">
        <v>2026</v>
      </c>
      <c r="HJ5" s="336"/>
      <c r="HK5" s="336"/>
      <c r="HL5" s="336"/>
      <c r="HM5" s="336"/>
      <c r="HN5" s="336"/>
      <c r="HO5" s="336"/>
      <c r="HP5" s="336"/>
      <c r="HQ5" s="336"/>
      <c r="HR5" s="336"/>
      <c r="HS5" s="336"/>
      <c r="HT5" s="337"/>
      <c r="HU5" s="298">
        <v>2025</v>
      </c>
      <c r="HV5" s="270">
        <v>2026</v>
      </c>
      <c r="HW5" s="271" t="s">
        <v>5</v>
      </c>
      <c r="HX5" s="271" t="str">
        <f>HW5</f>
        <v>2026/2025</v>
      </c>
    </row>
    <row r="6" spans="1:232" ht="63" customHeight="1">
      <c r="A6" s="343"/>
      <c r="B6" s="353"/>
      <c r="C6" s="343"/>
      <c r="D6" s="24" t="s">
        <v>0</v>
      </c>
      <c r="E6" s="24" t="s">
        <v>0</v>
      </c>
      <c r="F6" s="24" t="s">
        <v>0</v>
      </c>
      <c r="G6" s="24" t="s">
        <v>0</v>
      </c>
      <c r="H6" s="25" t="s">
        <v>6</v>
      </c>
      <c r="I6" s="25" t="s">
        <v>7</v>
      </c>
      <c r="J6" s="25" t="s">
        <v>8</v>
      </c>
      <c r="K6" s="25" t="s">
        <v>9</v>
      </c>
      <c r="L6" s="25" t="s">
        <v>10</v>
      </c>
      <c r="M6" s="25" t="s">
        <v>11</v>
      </c>
      <c r="N6" s="25" t="s">
        <v>12</v>
      </c>
      <c r="O6" s="25" t="s">
        <v>13</v>
      </c>
      <c r="P6" s="25" t="s">
        <v>14</v>
      </c>
      <c r="Q6" s="25" t="s">
        <v>15</v>
      </c>
      <c r="R6" s="25" t="s">
        <v>16</v>
      </c>
      <c r="S6" s="25" t="s">
        <v>17</v>
      </c>
      <c r="T6" s="24" t="s">
        <v>1</v>
      </c>
      <c r="U6" s="24" t="s">
        <v>0</v>
      </c>
      <c r="V6" s="25" t="s">
        <v>6</v>
      </c>
      <c r="W6" s="25" t="s">
        <v>7</v>
      </c>
      <c r="X6" s="25" t="s">
        <v>8</v>
      </c>
      <c r="Y6" s="25" t="s">
        <v>9</v>
      </c>
      <c r="Z6" s="25" t="s">
        <v>10</v>
      </c>
      <c r="AA6" s="25" t="s">
        <v>11</v>
      </c>
      <c r="AB6" s="25" t="s">
        <v>12</v>
      </c>
      <c r="AC6" s="25" t="s">
        <v>13</v>
      </c>
      <c r="AD6" s="25" t="s">
        <v>14</v>
      </c>
      <c r="AE6" s="25" t="s">
        <v>15</v>
      </c>
      <c r="AF6" s="25" t="s">
        <v>16</v>
      </c>
      <c r="AG6" s="25" t="s">
        <v>17</v>
      </c>
      <c r="AH6" s="24" t="s">
        <v>1</v>
      </c>
      <c r="AI6" s="24" t="s">
        <v>0</v>
      </c>
      <c r="AJ6" s="25" t="s">
        <v>6</v>
      </c>
      <c r="AK6" s="25" t="s">
        <v>7</v>
      </c>
      <c r="AL6" s="25" t="s">
        <v>8</v>
      </c>
      <c r="AM6" s="25" t="s">
        <v>9</v>
      </c>
      <c r="AN6" s="25" t="s">
        <v>10</v>
      </c>
      <c r="AO6" s="25" t="s">
        <v>11</v>
      </c>
      <c r="AP6" s="25" t="s">
        <v>12</v>
      </c>
      <c r="AQ6" s="25" t="s">
        <v>13</v>
      </c>
      <c r="AR6" s="25" t="s">
        <v>14</v>
      </c>
      <c r="AS6" s="25" t="s">
        <v>15</v>
      </c>
      <c r="AT6" s="25" t="s">
        <v>16</v>
      </c>
      <c r="AU6" s="25" t="s">
        <v>17</v>
      </c>
      <c r="AV6" s="24" t="s">
        <v>1</v>
      </c>
      <c r="AW6" s="24" t="s">
        <v>0</v>
      </c>
      <c r="AX6" s="24" t="s">
        <v>6</v>
      </c>
      <c r="AY6" s="24" t="s">
        <v>7</v>
      </c>
      <c r="AZ6" s="24" t="s">
        <v>8</v>
      </c>
      <c r="BA6" s="24" t="s">
        <v>9</v>
      </c>
      <c r="BB6" s="24" t="s">
        <v>10</v>
      </c>
      <c r="BC6" s="24" t="s">
        <v>11</v>
      </c>
      <c r="BD6" s="24" t="s">
        <v>12</v>
      </c>
      <c r="BE6" s="24" t="s">
        <v>13</v>
      </c>
      <c r="BF6" s="25" t="s">
        <v>14</v>
      </c>
      <c r="BG6" s="25" t="s">
        <v>15</v>
      </c>
      <c r="BH6" s="25" t="s">
        <v>16</v>
      </c>
      <c r="BI6" s="24" t="s">
        <v>17</v>
      </c>
      <c r="BJ6" s="25" t="s">
        <v>1</v>
      </c>
      <c r="BK6" s="24" t="s">
        <v>0</v>
      </c>
      <c r="BL6" s="24" t="s">
        <v>6</v>
      </c>
      <c r="BM6" s="24" t="s">
        <v>7</v>
      </c>
      <c r="BN6" s="24" t="s">
        <v>8</v>
      </c>
      <c r="BO6" s="24" t="s">
        <v>9</v>
      </c>
      <c r="BP6" s="24" t="s">
        <v>10</v>
      </c>
      <c r="BQ6" s="24" t="s">
        <v>11</v>
      </c>
      <c r="BR6" s="24" t="s">
        <v>12</v>
      </c>
      <c r="BS6" s="24" t="s">
        <v>13</v>
      </c>
      <c r="BT6" s="25" t="s">
        <v>14</v>
      </c>
      <c r="BU6" s="25" t="s">
        <v>15</v>
      </c>
      <c r="BV6" s="25" t="s">
        <v>16</v>
      </c>
      <c r="BW6" s="24" t="s">
        <v>17</v>
      </c>
      <c r="BX6" s="24" t="s">
        <v>1</v>
      </c>
      <c r="BY6" s="24" t="s">
        <v>0</v>
      </c>
      <c r="BZ6" s="24" t="s">
        <v>6</v>
      </c>
      <c r="CA6" s="24" t="s">
        <v>7</v>
      </c>
      <c r="CB6" s="24" t="s">
        <v>8</v>
      </c>
      <c r="CC6" s="24" t="s">
        <v>9</v>
      </c>
      <c r="CD6" s="24" t="s">
        <v>10</v>
      </c>
      <c r="CE6" s="24" t="s">
        <v>11</v>
      </c>
      <c r="CF6" s="24" t="s">
        <v>12</v>
      </c>
      <c r="CG6" s="24" t="s">
        <v>13</v>
      </c>
      <c r="CH6" s="25" t="s">
        <v>14</v>
      </c>
      <c r="CI6" s="25" t="s">
        <v>15</v>
      </c>
      <c r="CJ6" s="25" t="s">
        <v>16</v>
      </c>
      <c r="CK6" s="24" t="s">
        <v>17</v>
      </c>
      <c r="CL6" s="24" t="s">
        <v>1</v>
      </c>
      <c r="CM6" s="24" t="s">
        <v>0</v>
      </c>
      <c r="CN6" s="24" t="s">
        <v>6</v>
      </c>
      <c r="CO6" s="24" t="s">
        <v>7</v>
      </c>
      <c r="CP6" s="24" t="s">
        <v>8</v>
      </c>
      <c r="CQ6" s="24" t="s">
        <v>9</v>
      </c>
      <c r="CR6" s="24" t="s">
        <v>10</v>
      </c>
      <c r="CS6" s="24" t="s">
        <v>11</v>
      </c>
      <c r="CT6" s="24" t="s">
        <v>12</v>
      </c>
      <c r="CU6" s="24" t="s">
        <v>13</v>
      </c>
      <c r="CV6" s="25" t="s">
        <v>14</v>
      </c>
      <c r="CW6" s="25" t="s">
        <v>15</v>
      </c>
      <c r="CX6" s="25" t="s">
        <v>16</v>
      </c>
      <c r="CY6" s="24" t="s">
        <v>17</v>
      </c>
      <c r="CZ6" s="24" t="s">
        <v>1</v>
      </c>
      <c r="DA6" s="24" t="s">
        <v>0</v>
      </c>
      <c r="DB6" s="24" t="s">
        <v>6</v>
      </c>
      <c r="DC6" s="24" t="s">
        <v>7</v>
      </c>
      <c r="DD6" s="24" t="s">
        <v>8</v>
      </c>
      <c r="DE6" s="24" t="s">
        <v>9</v>
      </c>
      <c r="DF6" s="24" t="s">
        <v>10</v>
      </c>
      <c r="DG6" s="24" t="s">
        <v>11</v>
      </c>
      <c r="DH6" s="24" t="s">
        <v>12</v>
      </c>
      <c r="DI6" s="24" t="s">
        <v>13</v>
      </c>
      <c r="DJ6" s="25" t="s">
        <v>14</v>
      </c>
      <c r="DK6" s="25" t="s">
        <v>15</v>
      </c>
      <c r="DL6" s="25" t="s">
        <v>16</v>
      </c>
      <c r="DM6" s="157" t="s">
        <v>17</v>
      </c>
      <c r="DN6" s="24" t="str">
        <f>'Valsts_Budžets_(ar_APP)'!DN6</f>
        <v>I-XII</v>
      </c>
      <c r="DO6" s="24" t="s">
        <v>18</v>
      </c>
      <c r="DP6" s="24" t="str">
        <f t="shared" ref="DP6:DW6" si="0">DB6</f>
        <v>I</v>
      </c>
      <c r="DQ6" s="24" t="str">
        <f t="shared" si="0"/>
        <v>II</v>
      </c>
      <c r="DR6" s="168" t="str">
        <f t="shared" si="0"/>
        <v>III</v>
      </c>
      <c r="DS6" s="157" t="str">
        <f t="shared" si="0"/>
        <v>IV</v>
      </c>
      <c r="DT6" s="24" t="str">
        <f t="shared" si="0"/>
        <v>V</v>
      </c>
      <c r="DU6" s="168" t="str">
        <f t="shared" si="0"/>
        <v>VI</v>
      </c>
      <c r="DV6" s="171" t="str">
        <f t="shared" si="0"/>
        <v>VII</v>
      </c>
      <c r="DW6" s="157" t="str">
        <f t="shared" si="0"/>
        <v>VIII</v>
      </c>
      <c r="DX6" s="157" t="str">
        <f>DJ6</f>
        <v>IX</v>
      </c>
      <c r="DY6" s="24" t="str">
        <f>DK6</f>
        <v>X</v>
      </c>
      <c r="DZ6" s="168" t="str">
        <f>DL6</f>
        <v>XI</v>
      </c>
      <c r="EA6" s="24" t="str">
        <f>DM6</f>
        <v>XII</v>
      </c>
      <c r="EB6" s="24" t="str">
        <f>'Valsts_Budžets_(ar_APP)'!EB6</f>
        <v>I-XII</v>
      </c>
      <c r="EC6" s="24" t="s">
        <v>18</v>
      </c>
      <c r="ED6" s="24" t="s">
        <v>6</v>
      </c>
      <c r="EE6" s="168" t="s">
        <v>7</v>
      </c>
      <c r="EF6" s="157" t="s">
        <v>8</v>
      </c>
      <c r="EG6" s="24" t="s">
        <v>9</v>
      </c>
      <c r="EH6" s="168" t="s">
        <v>10</v>
      </c>
      <c r="EI6" s="171" t="s">
        <v>11</v>
      </c>
      <c r="EJ6" s="157" t="s">
        <v>12</v>
      </c>
      <c r="EK6" s="157" t="s">
        <v>13</v>
      </c>
      <c r="EL6" s="24" t="s">
        <v>14</v>
      </c>
      <c r="EM6" s="24" t="s">
        <v>15</v>
      </c>
      <c r="EN6" s="24" t="s">
        <v>16</v>
      </c>
      <c r="EO6" s="129" t="s">
        <v>17</v>
      </c>
      <c r="EP6" s="24" t="str">
        <f>'Valsts_Budžets_(ar_APP)'!EP6</f>
        <v>I-XII</v>
      </c>
      <c r="EQ6" s="24" t="s">
        <v>18</v>
      </c>
      <c r="ER6" s="24" t="s">
        <v>6</v>
      </c>
      <c r="ES6" s="168" t="s">
        <v>7</v>
      </c>
      <c r="ET6" s="157" t="s">
        <v>8</v>
      </c>
      <c r="EU6" s="24" t="s">
        <v>9</v>
      </c>
      <c r="EV6" s="168" t="s">
        <v>10</v>
      </c>
      <c r="EW6" s="171" t="s">
        <v>11</v>
      </c>
      <c r="EX6" s="157" t="s">
        <v>12</v>
      </c>
      <c r="EY6" s="157" t="s">
        <v>13</v>
      </c>
      <c r="EZ6" s="24" t="s">
        <v>14</v>
      </c>
      <c r="FA6" s="24" t="s">
        <v>15</v>
      </c>
      <c r="FB6" s="24" t="s">
        <v>16</v>
      </c>
      <c r="FC6" s="129" t="s">
        <v>17</v>
      </c>
      <c r="FD6" s="24" t="str">
        <f>'Valsts_Budžets_(ar_APP)'!FD6</f>
        <v>I-XII</v>
      </c>
      <c r="FE6" s="24" t="s">
        <v>18</v>
      </c>
      <c r="FF6" s="24" t="s">
        <v>6</v>
      </c>
      <c r="FG6" s="168" t="s">
        <v>7</v>
      </c>
      <c r="FH6" s="157" t="s">
        <v>8</v>
      </c>
      <c r="FI6" s="24" t="s">
        <v>9</v>
      </c>
      <c r="FJ6" s="168" t="s">
        <v>10</v>
      </c>
      <c r="FK6" s="171" t="s">
        <v>11</v>
      </c>
      <c r="FL6" s="157" t="s">
        <v>12</v>
      </c>
      <c r="FM6" s="157" t="s">
        <v>13</v>
      </c>
      <c r="FN6" s="24" t="s">
        <v>14</v>
      </c>
      <c r="FO6" s="24" t="s">
        <v>15</v>
      </c>
      <c r="FP6" s="24" t="s">
        <v>16</v>
      </c>
      <c r="FQ6" s="129" t="s">
        <v>17</v>
      </c>
      <c r="FR6" s="24" t="str">
        <f>'Valsts_Budžets_(ar_APP)'!FR6</f>
        <v>I-XII</v>
      </c>
      <c r="FS6" s="24" t="s">
        <v>18</v>
      </c>
      <c r="FT6" s="24" t="s">
        <v>6</v>
      </c>
      <c r="FU6" s="168" t="s">
        <v>7</v>
      </c>
      <c r="FV6" s="157" t="s">
        <v>8</v>
      </c>
      <c r="FW6" s="24" t="s">
        <v>9</v>
      </c>
      <c r="FX6" s="168" t="s">
        <v>10</v>
      </c>
      <c r="FY6" s="171" t="s">
        <v>11</v>
      </c>
      <c r="FZ6" s="157" t="s">
        <v>12</v>
      </c>
      <c r="GA6" s="157" t="s">
        <v>13</v>
      </c>
      <c r="GB6" s="24" t="s">
        <v>14</v>
      </c>
      <c r="GC6" s="24" t="s">
        <v>15</v>
      </c>
      <c r="GD6" s="24" t="s">
        <v>16</v>
      </c>
      <c r="GE6" s="129" t="s">
        <v>17</v>
      </c>
      <c r="GF6" s="24" t="str">
        <f>'Valsts_Budžets_(ar_APP)'!GF6</f>
        <v>I-XII</v>
      </c>
      <c r="GG6" s="24" t="s">
        <v>18</v>
      </c>
      <c r="GH6" s="24" t="s">
        <v>6</v>
      </c>
      <c r="GI6" s="168" t="s">
        <v>7</v>
      </c>
      <c r="GJ6" s="157" t="s">
        <v>8</v>
      </c>
      <c r="GK6" s="24" t="s">
        <v>9</v>
      </c>
      <c r="GL6" s="168" t="s">
        <v>10</v>
      </c>
      <c r="GM6" s="171" t="s">
        <v>11</v>
      </c>
      <c r="GN6" s="157" t="s">
        <v>12</v>
      </c>
      <c r="GO6" s="157" t="s">
        <v>13</v>
      </c>
      <c r="GP6" s="24" t="s">
        <v>14</v>
      </c>
      <c r="GQ6" s="24" t="s">
        <v>15</v>
      </c>
      <c r="GR6" s="24" t="s">
        <v>16</v>
      </c>
      <c r="GS6" s="129" t="s">
        <v>17</v>
      </c>
      <c r="GT6" s="24" t="str">
        <f>'Valsts_Budžets_(ar_APP)'!GT6</f>
        <v>I-XII</v>
      </c>
      <c r="GU6" s="24" t="s">
        <v>18</v>
      </c>
      <c r="GV6" s="24" t="s">
        <v>6</v>
      </c>
      <c r="GW6" s="168" t="s">
        <v>7</v>
      </c>
      <c r="GX6" s="157" t="s">
        <v>8</v>
      </c>
      <c r="GY6" s="24" t="s">
        <v>9</v>
      </c>
      <c r="GZ6" s="168" t="s">
        <v>10</v>
      </c>
      <c r="HA6" s="171" t="s">
        <v>11</v>
      </c>
      <c r="HB6" s="157" t="s">
        <v>12</v>
      </c>
      <c r="HC6" s="157" t="s">
        <v>13</v>
      </c>
      <c r="HD6" s="24" t="s">
        <v>14</v>
      </c>
      <c r="HE6" s="24" t="s">
        <v>15</v>
      </c>
      <c r="HF6" s="24" t="s">
        <v>16</v>
      </c>
      <c r="HG6" s="129" t="s">
        <v>17</v>
      </c>
      <c r="HH6" s="24" t="str">
        <f>'Valsts_Budžets_(ar_APP)'!HH6</f>
        <v>I-XII</v>
      </c>
      <c r="HI6" s="24" t="s">
        <v>6</v>
      </c>
      <c r="HJ6" s="168" t="s">
        <v>7</v>
      </c>
      <c r="HK6" s="157" t="s">
        <v>8</v>
      </c>
      <c r="HL6" s="24" t="s">
        <v>9</v>
      </c>
      <c r="HM6" s="168" t="s">
        <v>10</v>
      </c>
      <c r="HN6" s="171" t="s">
        <v>11</v>
      </c>
      <c r="HO6" s="157" t="s">
        <v>12</v>
      </c>
      <c r="HP6" s="157" t="s">
        <v>13</v>
      </c>
      <c r="HQ6" s="24" t="s">
        <v>14</v>
      </c>
      <c r="HR6" s="24" t="s">
        <v>15</v>
      </c>
      <c r="HS6" s="24" t="s">
        <v>16</v>
      </c>
      <c r="HT6" s="129" t="s">
        <v>17</v>
      </c>
      <c r="HU6" s="272" t="str">
        <f>Kopbudžets!HU6</f>
        <v>I-IV</v>
      </c>
      <c r="HV6" s="272" t="str">
        <f>HU6</f>
        <v>I-IV</v>
      </c>
      <c r="HW6" s="273" t="str">
        <f>"Izmaiņas "&amp;HV6&amp;" "&amp;HW5&amp;", milj. euro"</f>
        <v>Izmaiņas I-IV 2026/2025, milj. euro</v>
      </c>
      <c r="HX6" s="273" t="str">
        <f>"Izmaiņas "&amp;HV6&amp;" "&amp;HX5&amp;", %"</f>
        <v>Izmaiņas I-IV 2026/2025, %</v>
      </c>
    </row>
    <row r="7" spans="1:232" s="12" customFormat="1" ht="20">
      <c r="A7" s="40" t="s">
        <v>25</v>
      </c>
      <c r="C7" s="40" t="s">
        <v>26</v>
      </c>
      <c r="D7" s="39">
        <v>1838.46558784526</v>
      </c>
      <c r="E7" s="40">
        <v>2050.5384075787842</v>
      </c>
      <c r="F7" s="40">
        <v>1776.3996576570428</v>
      </c>
      <c r="G7" s="40">
        <v>1676.2959985998943</v>
      </c>
      <c r="H7" s="40">
        <v>121.92558807291934</v>
      </c>
      <c r="I7" s="40">
        <v>137.87554993995482</v>
      </c>
      <c r="J7" s="40">
        <v>140.96631920137054</v>
      </c>
      <c r="K7" s="40">
        <v>144.1809608368763</v>
      </c>
      <c r="L7" s="40">
        <v>146.36302866802126</v>
      </c>
      <c r="M7" s="40">
        <v>150.3240690149743</v>
      </c>
      <c r="N7" s="40">
        <v>165.83759198866255</v>
      </c>
      <c r="O7" s="40">
        <v>146.47889169668926</v>
      </c>
      <c r="P7" s="40">
        <v>150.42520674327409</v>
      </c>
      <c r="Q7" s="40">
        <v>149.50695215166675</v>
      </c>
      <c r="R7" s="40">
        <v>151.28953876187387</v>
      </c>
      <c r="S7" s="40">
        <v>180.34059424818301</v>
      </c>
      <c r="T7" s="40">
        <v>1785.5142913244661</v>
      </c>
      <c r="U7" s="40">
        <v>1785.5165337704395</v>
      </c>
      <c r="V7" s="40">
        <v>143.47104455865363</v>
      </c>
      <c r="W7" s="40">
        <v>149.82386040773815</v>
      </c>
      <c r="X7" s="40">
        <v>149.48217853057184</v>
      </c>
      <c r="Y7" s="40">
        <v>159.48581396804801</v>
      </c>
      <c r="Z7" s="40">
        <v>157.2006320396583</v>
      </c>
      <c r="AA7" s="40">
        <v>158.39071063909711</v>
      </c>
      <c r="AB7" s="40">
        <v>174.70220146726541</v>
      </c>
      <c r="AC7" s="40">
        <v>164.53362103801342</v>
      </c>
      <c r="AD7" s="40">
        <v>153.21391170226693</v>
      </c>
      <c r="AE7" s="40">
        <v>168.50217557099845</v>
      </c>
      <c r="AF7" s="40">
        <v>166.3818504163323</v>
      </c>
      <c r="AG7" s="40">
        <v>179.49452194352907</v>
      </c>
      <c r="AH7" s="40">
        <v>1924.6825222821726</v>
      </c>
      <c r="AI7" s="40">
        <v>1924.6825829107404</v>
      </c>
      <c r="AJ7" s="40">
        <v>167.58291927763645</v>
      </c>
      <c r="AK7" s="40">
        <v>159.8445412945857</v>
      </c>
      <c r="AL7" s="40">
        <v>155.79706006226488</v>
      </c>
      <c r="AM7" s="40">
        <v>174.97301665898314</v>
      </c>
      <c r="AN7" s="40">
        <v>163.79215920797262</v>
      </c>
      <c r="AO7" s="40">
        <v>158.59867758293922</v>
      </c>
      <c r="AP7" s="40">
        <v>181.27703456440204</v>
      </c>
      <c r="AQ7" s="40">
        <v>172.23159373025766</v>
      </c>
      <c r="AR7" s="40">
        <v>160.17817627674287</v>
      </c>
      <c r="AS7" s="40">
        <v>173.20289582870902</v>
      </c>
      <c r="AT7" s="40">
        <v>166.04614800143426</v>
      </c>
      <c r="AU7" s="40">
        <v>202.73267511283373</v>
      </c>
      <c r="AV7" s="40">
        <v>2036.2568975987615</v>
      </c>
      <c r="AW7" s="40">
        <v>2036.2568995054098</v>
      </c>
      <c r="AX7" s="40">
        <f>AX8+AX9+AX10+AX11+AX13</f>
        <v>167.30260999999999</v>
      </c>
      <c r="AY7" s="40">
        <f t="shared" ref="AY7:BG7" si="1">AY8+AY9+AY10+AY11+AY13</f>
        <v>174.19272100000001</v>
      </c>
      <c r="AZ7" s="40">
        <f t="shared" si="1"/>
        <v>172.946099</v>
      </c>
      <c r="BA7" s="40">
        <f t="shared" si="1"/>
        <v>191.35882000000001</v>
      </c>
      <c r="BB7" s="40">
        <f t="shared" si="1"/>
        <v>181.93568499999998</v>
      </c>
      <c r="BC7" s="40">
        <f t="shared" si="1"/>
        <v>179.94774799999999</v>
      </c>
      <c r="BD7" s="40">
        <f t="shared" si="1"/>
        <v>206.71970021999996</v>
      </c>
      <c r="BE7" s="40">
        <f t="shared" si="1"/>
        <v>188.26791199999997</v>
      </c>
      <c r="BF7" s="40">
        <f t="shared" si="1"/>
        <v>175.19891996000004</v>
      </c>
      <c r="BG7" s="40">
        <f t="shared" si="1"/>
        <v>194.47829593</v>
      </c>
      <c r="BH7" s="40">
        <f>BH8+BH9+BH10+BH11</f>
        <v>178.26219026000001</v>
      </c>
      <c r="BI7" s="40">
        <f>BI8+BI9+BI10+BI11</f>
        <v>211.49562752000006</v>
      </c>
      <c r="BJ7" s="39">
        <f>SUM(AX7:BI7)</f>
        <v>2222.1063288900004</v>
      </c>
      <c r="BK7" s="39">
        <f>BK8+BK9+BK10+BK11</f>
        <v>2222.1063279999998</v>
      </c>
      <c r="BL7" s="40">
        <f>BL8+BL9+BL10+BL11</f>
        <v>177.05200192999999</v>
      </c>
      <c r="BM7" s="40">
        <v>180.35400823000001</v>
      </c>
      <c r="BN7" s="40">
        <v>185.69139772000005</v>
      </c>
      <c r="BO7" s="40">
        <v>197.15644506000004</v>
      </c>
      <c r="BP7" s="40">
        <v>184.10073688</v>
      </c>
      <c r="BQ7" s="40">
        <v>183.24931471000002</v>
      </c>
      <c r="BR7" s="40">
        <v>215.70457934999996</v>
      </c>
      <c r="BS7" s="40">
        <v>194.78766297000001</v>
      </c>
      <c r="BT7" s="40">
        <v>181.73077025999999</v>
      </c>
      <c r="BU7" s="40">
        <v>195.07790918999999</v>
      </c>
      <c r="BV7" s="40">
        <v>185.93004064999997</v>
      </c>
      <c r="BW7" s="40">
        <v>213.40617585000001</v>
      </c>
      <c r="BX7" s="39">
        <f>SUM(BL7:BW7)</f>
        <v>2294.2410427999998</v>
      </c>
      <c r="BY7" s="39">
        <f>BY8+BY9+BY10+BY11</f>
        <v>2294.2410419399998</v>
      </c>
      <c r="BZ7" s="39">
        <v>179.44811551999996</v>
      </c>
      <c r="CA7" s="39">
        <v>183.32596662999998</v>
      </c>
      <c r="CB7" s="39">
        <v>184.03177638000003</v>
      </c>
      <c r="CC7" s="39">
        <v>206.56178546000001</v>
      </c>
      <c r="CD7" s="39">
        <v>187.47870384000001</v>
      </c>
      <c r="CE7" s="39">
        <v>195.57164927000002</v>
      </c>
      <c r="CF7" s="39">
        <v>215.65095424999993</v>
      </c>
      <c r="CG7" s="39">
        <v>195.15398161000002</v>
      </c>
      <c r="CH7" s="39">
        <v>187.42369270999998</v>
      </c>
      <c r="CI7" s="39">
        <v>191.58960443999999</v>
      </c>
      <c r="CJ7" s="39">
        <v>190.32687980000006</v>
      </c>
      <c r="CK7" s="39">
        <v>221.57325633000005</v>
      </c>
      <c r="CL7" s="39">
        <f>SUM(BZ7:CK7)</f>
        <v>2338.1363662399999</v>
      </c>
      <c r="CM7" s="39">
        <f>CM8+CM9+CM10+CM11</f>
        <v>2338.6118579999998</v>
      </c>
      <c r="CN7" s="39">
        <v>188.33798945000001</v>
      </c>
      <c r="CO7" s="39">
        <v>182.37230180000003</v>
      </c>
      <c r="CP7" s="39">
        <v>185.18921679000002</v>
      </c>
      <c r="CQ7" s="39">
        <v>216.83599692999999</v>
      </c>
      <c r="CR7" s="39">
        <v>206.07187583000001</v>
      </c>
      <c r="CS7" s="39">
        <v>209.36627141000002</v>
      </c>
      <c r="CT7" s="39">
        <v>230.88091754000001</v>
      </c>
      <c r="CU7" s="39">
        <v>222.09191694999998</v>
      </c>
      <c r="CV7" s="39">
        <v>198.97654431999996</v>
      </c>
      <c r="CW7" s="39">
        <v>218.03455744000001</v>
      </c>
      <c r="CX7" s="39">
        <v>207.74862768000003</v>
      </c>
      <c r="CY7" s="39">
        <v>238.26667812999997</v>
      </c>
      <c r="CZ7" s="39">
        <f>SUM(CN7:CY7)</f>
        <v>2504.1728942700001</v>
      </c>
      <c r="DA7" s="39">
        <f>DA8+DA9+DA10+DA11</f>
        <v>2504.1915920000001</v>
      </c>
      <c r="DB7" s="39">
        <v>200.98312944000003</v>
      </c>
      <c r="DC7" s="39">
        <v>203.76289704999996</v>
      </c>
      <c r="DD7" s="39">
        <v>198.31935608000001</v>
      </c>
      <c r="DE7" s="39">
        <v>239.41798233999998</v>
      </c>
      <c r="DF7" s="39">
        <v>229.15850018999998</v>
      </c>
      <c r="DG7" s="39">
        <v>235.0284025</v>
      </c>
      <c r="DH7" s="39">
        <v>262.37635897000001</v>
      </c>
      <c r="DI7" s="39">
        <v>237.39566356000003</v>
      </c>
      <c r="DJ7" s="39">
        <v>220.03202860000007</v>
      </c>
      <c r="DK7" s="39">
        <v>250.83697177000002</v>
      </c>
      <c r="DL7" s="39">
        <v>237.19331579999997</v>
      </c>
      <c r="DM7" s="68">
        <v>267.81977946000001</v>
      </c>
      <c r="DN7" s="40">
        <f>SUM(DB7:DM7)</f>
        <v>2782.3243857600005</v>
      </c>
      <c r="DO7" s="39">
        <f>DO8+DO9+DO10+DO11+DO12</f>
        <v>2782.3229569999999</v>
      </c>
      <c r="DP7" s="40">
        <v>235.58160580000001</v>
      </c>
      <c r="DQ7" s="40">
        <v>231.25166449999992</v>
      </c>
      <c r="DR7" s="68">
        <v>225.20685565000014</v>
      </c>
      <c r="DS7" s="40">
        <v>258.83240357</v>
      </c>
      <c r="DT7" s="40">
        <v>256.20375813000004</v>
      </c>
      <c r="DU7" s="68">
        <v>247.18929930999997</v>
      </c>
      <c r="DV7" s="40">
        <v>283.51663150999997</v>
      </c>
      <c r="DW7" s="68">
        <v>259.69841295999998</v>
      </c>
      <c r="DX7" s="40">
        <v>242.62401826000007</v>
      </c>
      <c r="DY7" s="40">
        <v>269.55025118000003</v>
      </c>
      <c r="DZ7" s="68">
        <v>254.56217608</v>
      </c>
      <c r="EA7" s="40">
        <v>286.09893394000005</v>
      </c>
      <c r="EB7" s="40">
        <f>SUM(DP7:EA7)</f>
        <v>3050.3160108900001</v>
      </c>
      <c r="EC7" s="39">
        <f>EC8+EC9+EC10+EC11+EC12</f>
        <v>3050.316014</v>
      </c>
      <c r="ED7" s="40">
        <v>258.27556095</v>
      </c>
      <c r="EE7" s="40">
        <v>248.37482180000001</v>
      </c>
      <c r="EF7" s="68">
        <v>233.05552470999996</v>
      </c>
      <c r="EG7" s="40">
        <v>250.5444962</v>
      </c>
      <c r="EH7" s="40">
        <v>221.41972037000002</v>
      </c>
      <c r="EI7" s="40">
        <v>230.44823076000003</v>
      </c>
      <c r="EJ7" s="40">
        <v>276.77570847999993</v>
      </c>
      <c r="EK7" s="40">
        <v>260.13228602000004</v>
      </c>
      <c r="EL7" s="40">
        <v>257.22573238000001</v>
      </c>
      <c r="EM7" s="40">
        <v>262.81847456000003</v>
      </c>
      <c r="EN7" s="40">
        <v>258.42769091999997</v>
      </c>
      <c r="EO7" s="68">
        <v>350.05845669000001</v>
      </c>
      <c r="EP7" s="40">
        <f>SUM(ED7:EO7)</f>
        <v>3107.5567038400004</v>
      </c>
      <c r="EQ7" s="39">
        <f>EQ8+EQ9+EQ10+EQ11+EQ12</f>
        <v>3107.556705</v>
      </c>
      <c r="ER7" s="40">
        <v>182.21352778999997</v>
      </c>
      <c r="ES7" s="40">
        <v>239.59420369999998</v>
      </c>
      <c r="ET7" s="68">
        <v>237.40708936999997</v>
      </c>
      <c r="EU7" s="40">
        <v>272.91672149999999</v>
      </c>
      <c r="EV7" s="60">
        <v>277.55453232000013</v>
      </c>
      <c r="EW7" s="40">
        <v>304.99349887000005</v>
      </c>
      <c r="EX7" s="68">
        <v>302.13984493999999</v>
      </c>
      <c r="EY7" s="40">
        <v>299.73199095999996</v>
      </c>
      <c r="EZ7" s="40">
        <v>292.09313200000003</v>
      </c>
      <c r="FA7" s="40">
        <v>282.34485721000004</v>
      </c>
      <c r="FB7" s="40">
        <v>260.17876138999998</v>
      </c>
      <c r="FC7" s="40">
        <v>458.94350662000005</v>
      </c>
      <c r="FD7" s="40">
        <f>SUM(ER7:FC7)</f>
        <v>3410.11166667</v>
      </c>
      <c r="FE7" s="39">
        <f>FE8+FE9+FE10+FE11+FE12</f>
        <v>3410.1116660000002</v>
      </c>
      <c r="FF7" s="40">
        <v>373.92079902</v>
      </c>
      <c r="FG7" s="40">
        <v>291.30359618</v>
      </c>
      <c r="FH7" s="40">
        <v>290.85902668</v>
      </c>
      <c r="FI7" s="40">
        <v>302.45979612999997</v>
      </c>
      <c r="FJ7" s="40">
        <v>333.13859347999994</v>
      </c>
      <c r="FK7" s="40">
        <v>332.59181759000006</v>
      </c>
      <c r="FL7" s="40">
        <v>370.69426993000002</v>
      </c>
      <c r="FM7" s="40">
        <v>324.38207928999998</v>
      </c>
      <c r="FN7" s="40">
        <v>337.95253535999984</v>
      </c>
      <c r="FO7" s="40">
        <v>349.92082242999999</v>
      </c>
      <c r="FP7" s="40">
        <v>324.97032395999997</v>
      </c>
      <c r="FQ7" s="40">
        <v>300.96305923999995</v>
      </c>
      <c r="FR7" s="40">
        <f>SUM(FF7:FQ7)</f>
        <v>3933.1567192899997</v>
      </c>
      <c r="FS7" s="39">
        <f>FS8+FS9+FS10+FS11+FS12</f>
        <v>3933.1567189999996</v>
      </c>
      <c r="FT7" s="40">
        <v>386.75558647000003</v>
      </c>
      <c r="FU7" s="40">
        <v>325.76382183999999</v>
      </c>
      <c r="FV7" s="40">
        <v>269.34790381000005</v>
      </c>
      <c r="FW7" s="40">
        <v>358.54638629999994</v>
      </c>
      <c r="FX7" s="40">
        <v>351.91730227000011</v>
      </c>
      <c r="FY7" s="40">
        <v>365.28209239000006</v>
      </c>
      <c r="FZ7" s="40">
        <v>375.55106233000009</v>
      </c>
      <c r="GA7" s="40">
        <v>366.81651082000002</v>
      </c>
      <c r="GB7" s="40">
        <v>370.04979093999998</v>
      </c>
      <c r="GC7" s="40">
        <v>352.59945668</v>
      </c>
      <c r="GD7" s="40">
        <v>361.09713463999992</v>
      </c>
      <c r="GE7" s="40">
        <v>355.95214199999998</v>
      </c>
      <c r="GF7" s="40">
        <f>SUM(FT7:GE7)</f>
        <v>4239.6791904900001</v>
      </c>
      <c r="GG7" s="39">
        <f>GG8+GG9+GG10+GG11+GG12</f>
        <v>4239.67904</v>
      </c>
      <c r="GH7" s="40">
        <v>418.92008040000013</v>
      </c>
      <c r="GI7" s="40">
        <v>375.51964901000008</v>
      </c>
      <c r="GJ7" s="40">
        <v>354.90403723999998</v>
      </c>
      <c r="GK7" s="40">
        <v>418.21987936000011</v>
      </c>
      <c r="GL7" s="40">
        <v>380.82170186000002</v>
      </c>
      <c r="GM7" s="40">
        <v>382.97136043999996</v>
      </c>
      <c r="GN7" s="40">
        <v>394.61549030999993</v>
      </c>
      <c r="GO7" s="40">
        <v>401.39484718999995</v>
      </c>
      <c r="GP7" s="40">
        <v>369.59338244999998</v>
      </c>
      <c r="GQ7" s="40">
        <v>394.06781809000006</v>
      </c>
      <c r="GR7" s="40">
        <v>383.29373721999997</v>
      </c>
      <c r="GS7" s="40">
        <v>374.70253742</v>
      </c>
      <c r="GT7" s="40">
        <f>SUM(GH7:GS7)</f>
        <v>4649.0245209900004</v>
      </c>
      <c r="GU7" s="39">
        <f>GU8+GU9+GU10+GU11+GU12</f>
        <v>4649.0245209999994</v>
      </c>
      <c r="GV7" s="40">
        <v>467.81538360999997</v>
      </c>
      <c r="GW7" s="40">
        <v>380.80492088999995</v>
      </c>
      <c r="GX7" s="40">
        <v>399.31507610999984</v>
      </c>
      <c r="GY7" s="40">
        <v>411.87429662</v>
      </c>
      <c r="GZ7" s="40">
        <v>423.67229733999994</v>
      </c>
      <c r="HA7" s="40">
        <v>427.82150490000004</v>
      </c>
      <c r="HB7" s="40">
        <v>459.36436483</v>
      </c>
      <c r="HC7" s="40">
        <v>457.10574472000019</v>
      </c>
      <c r="HD7" s="40">
        <v>413.07954783000002</v>
      </c>
      <c r="HE7" s="40">
        <v>455.65055234000005</v>
      </c>
      <c r="HF7" s="40">
        <v>429.51529581999995</v>
      </c>
      <c r="HG7" s="40">
        <v>463.33525662999989</v>
      </c>
      <c r="HH7" s="40">
        <f>SUM(GV7:HG7)</f>
        <v>5189.3542416399996</v>
      </c>
      <c r="HI7" s="40">
        <v>509.61005454000008</v>
      </c>
      <c r="HJ7" s="40">
        <v>417.71858872000001</v>
      </c>
      <c r="HK7" s="40">
        <v>426.99035978000001</v>
      </c>
      <c r="HL7" s="40">
        <v>462.96577572000007</v>
      </c>
      <c r="HM7" s="40"/>
      <c r="HN7" s="40"/>
      <c r="HO7" s="40"/>
      <c r="HP7" s="40"/>
      <c r="HQ7" s="40"/>
      <c r="HR7" s="40"/>
      <c r="HS7" s="40"/>
      <c r="HT7" s="40"/>
      <c r="HU7" s="299">
        <f>ROUND(SUM(GV7:GY7),6)</f>
        <v>1659.809677</v>
      </c>
      <c r="HV7" s="299">
        <f>ROUND(SUM(HI7:HL7),6)</f>
        <v>1817.2847790000001</v>
      </c>
      <c r="HW7" s="279">
        <f t="shared" ref="HW7:HW8" si="2">HV7-HU7</f>
        <v>157.47510200000011</v>
      </c>
      <c r="HX7" s="279">
        <f t="shared" ref="HX7:HX8" si="3">HV7/HU7*100-100</f>
        <v>9.4875396969986525</v>
      </c>
    </row>
    <row r="8" spans="1:232" s="12" customFormat="1" ht="20.5">
      <c r="A8" s="46" t="s">
        <v>40</v>
      </c>
      <c r="B8" s="15" t="s">
        <v>43</v>
      </c>
      <c r="C8" s="46" t="s">
        <v>41</v>
      </c>
      <c r="D8" s="45">
        <v>1799.9025403953308</v>
      </c>
      <c r="E8" s="42">
        <v>1994.434029971372</v>
      </c>
      <c r="F8" s="42">
        <v>1660.0354821543419</v>
      </c>
      <c r="G8" s="42">
        <v>1555.5149102737037</v>
      </c>
      <c r="H8" s="42">
        <v>119.20410953836347</v>
      </c>
      <c r="I8" s="42">
        <v>135.90171370680875</v>
      </c>
      <c r="J8" s="42">
        <v>138.87079327949186</v>
      </c>
      <c r="K8" s="42">
        <v>139.03380601134884</v>
      </c>
      <c r="L8" s="42">
        <v>143.82835755061154</v>
      </c>
      <c r="M8" s="42">
        <v>144.43206925401677</v>
      </c>
      <c r="N8" s="42">
        <v>163.00185257909743</v>
      </c>
      <c r="O8" s="42">
        <v>144.21692819050546</v>
      </c>
      <c r="P8" s="42">
        <v>147.54324249719693</v>
      </c>
      <c r="Q8" s="42">
        <v>146.4518784753644</v>
      </c>
      <c r="R8" s="42">
        <v>148.72454766905142</v>
      </c>
      <c r="S8" s="42">
        <v>178.35989835003787</v>
      </c>
      <c r="T8" s="42">
        <v>1749.5691971018946</v>
      </c>
      <c r="U8" s="42">
        <v>1749.5691971018946</v>
      </c>
      <c r="V8" s="42">
        <v>140.12271273356441</v>
      </c>
      <c r="W8" s="42">
        <v>146.77011963506183</v>
      </c>
      <c r="X8" s="42">
        <v>147.06572387180495</v>
      </c>
      <c r="Y8" s="42">
        <v>156.4826039692432</v>
      </c>
      <c r="Z8" s="42">
        <v>153.59468927325401</v>
      </c>
      <c r="AA8" s="42">
        <v>154.36978019476268</v>
      </c>
      <c r="AB8" s="42">
        <v>171.66341398170758</v>
      </c>
      <c r="AC8" s="42">
        <v>160.07909459820945</v>
      </c>
      <c r="AD8" s="42">
        <v>149.68581425262235</v>
      </c>
      <c r="AE8" s="42">
        <v>165.19288592552118</v>
      </c>
      <c r="AF8" s="42">
        <v>161.95085685340436</v>
      </c>
      <c r="AG8" s="42">
        <v>176.93434442604197</v>
      </c>
      <c r="AH8" s="42">
        <v>1883.9120397151976</v>
      </c>
      <c r="AI8" s="42">
        <v>1883.9120409104103</v>
      </c>
      <c r="AJ8" s="42">
        <v>161.33790502046091</v>
      </c>
      <c r="AK8" s="42">
        <v>155.07053887001211</v>
      </c>
      <c r="AL8" s="42">
        <v>152.64250203470669</v>
      </c>
      <c r="AM8" s="42">
        <v>171.52268199461108</v>
      </c>
      <c r="AN8" s="42">
        <v>158.59792346580178</v>
      </c>
      <c r="AO8" s="42">
        <v>155.51946488636946</v>
      </c>
      <c r="AP8" s="42">
        <v>177.61799022202493</v>
      </c>
      <c r="AQ8" s="42">
        <v>166.51254830649796</v>
      </c>
      <c r="AR8" s="42">
        <v>154.57398079692203</v>
      </c>
      <c r="AS8" s="42">
        <v>169.31643246196666</v>
      </c>
      <c r="AT8" s="42">
        <v>159.6534467646741</v>
      </c>
      <c r="AU8" s="42">
        <v>198.47405820114855</v>
      </c>
      <c r="AV8" s="42">
        <v>1980.8394730251964</v>
      </c>
      <c r="AW8" s="42">
        <v>1980.8394744480681</v>
      </c>
      <c r="AX8" s="42">
        <v>148.13804400000001</v>
      </c>
      <c r="AY8" s="42">
        <v>152.61350200000001</v>
      </c>
      <c r="AZ8" s="42">
        <v>154.34897100000001</v>
      </c>
      <c r="BA8" s="42">
        <v>172.467646</v>
      </c>
      <c r="BB8" s="42">
        <v>160.16077899999999</v>
      </c>
      <c r="BC8" s="42">
        <v>160.40488099999999</v>
      </c>
      <c r="BD8" s="42">
        <v>186.87765947999998</v>
      </c>
      <c r="BE8" s="42">
        <v>165.463706</v>
      </c>
      <c r="BF8" s="42">
        <v>153.75098231000004</v>
      </c>
      <c r="BG8" s="42">
        <v>175.01610313999998</v>
      </c>
      <c r="BH8" s="42">
        <v>155.80574494000001</v>
      </c>
      <c r="BI8" s="42">
        <v>191.07232320000006</v>
      </c>
      <c r="BJ8" s="45">
        <f t="shared" ref="BJ8:BJ42" si="4">SUM(AX8:BI8)</f>
        <v>1976.1203420699999</v>
      </c>
      <c r="BK8" s="45">
        <v>1976.1203419999999</v>
      </c>
      <c r="BL8" s="42">
        <v>157.3858257</v>
      </c>
      <c r="BM8" s="42">
        <v>159.32040165000001</v>
      </c>
      <c r="BN8" s="42">
        <v>166.50347086000005</v>
      </c>
      <c r="BO8" s="42">
        <v>177.72226172000003</v>
      </c>
      <c r="BP8" s="42">
        <v>160.66838643</v>
      </c>
      <c r="BQ8" s="42">
        <v>165.59198394000003</v>
      </c>
      <c r="BR8" s="42">
        <v>195.97377599999999</v>
      </c>
      <c r="BS8" s="42">
        <v>171.21675989000002</v>
      </c>
      <c r="BT8" s="42">
        <v>162.34785893</v>
      </c>
      <c r="BU8" s="42">
        <v>175.10483925999998</v>
      </c>
      <c r="BV8" s="42">
        <v>162.41979723999998</v>
      </c>
      <c r="BW8" s="42">
        <v>194.49005961000003</v>
      </c>
      <c r="BX8" s="45">
        <f t="shared" ref="BX8:BX42" si="5">SUM(BL8:BW8)</f>
        <v>2048.7454212300004</v>
      </c>
      <c r="BY8" s="45">
        <v>2048.7454212300004</v>
      </c>
      <c r="BZ8" s="45">
        <v>161.39029950999998</v>
      </c>
      <c r="CA8" s="45">
        <v>162.66842315999997</v>
      </c>
      <c r="CB8" s="45">
        <v>166.78362495000002</v>
      </c>
      <c r="CC8" s="45">
        <v>188.87658620000002</v>
      </c>
      <c r="CD8" s="45">
        <v>165.51293248000002</v>
      </c>
      <c r="CE8" s="45">
        <v>177.63488606999999</v>
      </c>
      <c r="CF8" s="45">
        <v>196.98521888999994</v>
      </c>
      <c r="CG8" s="45">
        <v>172.34779499000004</v>
      </c>
      <c r="CH8" s="45">
        <v>170.72851227999999</v>
      </c>
      <c r="CI8" s="45">
        <v>172.03352106</v>
      </c>
      <c r="CJ8" s="45">
        <v>166.82329861000005</v>
      </c>
      <c r="CK8" s="45">
        <v>203.13172518000002</v>
      </c>
      <c r="CL8" s="45">
        <f t="shared" ref="CL8:CL42" si="6">SUM(BZ8:CK8)</f>
        <v>2104.9168233800001</v>
      </c>
      <c r="CM8" s="45">
        <v>2104.9168239999999</v>
      </c>
      <c r="CN8" s="45">
        <v>170.82025884000001</v>
      </c>
      <c r="CO8" s="45">
        <v>161.31337772000003</v>
      </c>
      <c r="CP8" s="45">
        <v>165.29099899000002</v>
      </c>
      <c r="CQ8" s="45">
        <v>195.05160624000001</v>
      </c>
      <c r="CR8" s="45">
        <v>186.17727800000003</v>
      </c>
      <c r="CS8" s="45">
        <v>191.28330054000003</v>
      </c>
      <c r="CT8" s="45">
        <v>213.28743256000001</v>
      </c>
      <c r="CU8" s="45">
        <v>186.7784092</v>
      </c>
      <c r="CV8" s="45">
        <v>180.98094883999997</v>
      </c>
      <c r="CW8" s="45">
        <v>199.86176251000003</v>
      </c>
      <c r="CX8" s="45">
        <v>185.86341786000003</v>
      </c>
      <c r="CY8" s="45">
        <v>220.26289441</v>
      </c>
      <c r="CZ8" s="45">
        <f t="shared" ref="CZ8:CZ42" si="7">SUM(CN8:CY8)</f>
        <v>2256.9716857100002</v>
      </c>
      <c r="DA8" s="45">
        <v>2256.9903840000002</v>
      </c>
      <c r="DB8" s="45">
        <v>181.75206439000002</v>
      </c>
      <c r="DC8" s="45">
        <v>181.43439970999998</v>
      </c>
      <c r="DD8" s="45">
        <v>181.07308328000002</v>
      </c>
      <c r="DE8" s="45">
        <v>220.95350297000002</v>
      </c>
      <c r="DF8" s="45">
        <v>206.70613542999999</v>
      </c>
      <c r="DG8" s="45">
        <v>216.78296347</v>
      </c>
      <c r="DH8" s="45">
        <v>244.20716179000001</v>
      </c>
      <c r="DI8" s="45">
        <v>214.27476944000003</v>
      </c>
      <c r="DJ8" s="45">
        <v>202.34247002999999</v>
      </c>
      <c r="DK8" s="45">
        <v>230.78368494</v>
      </c>
      <c r="DL8" s="45">
        <v>214.04518825</v>
      </c>
      <c r="DM8" s="69">
        <v>248.86721048000001</v>
      </c>
      <c r="DN8" s="42">
        <f>SUM(DB8:DM8)</f>
        <v>2543.2226341800001</v>
      </c>
      <c r="DO8" s="45">
        <v>2543.223645</v>
      </c>
      <c r="DP8" s="42">
        <v>215.90091520000001</v>
      </c>
      <c r="DQ8" s="42">
        <v>207.99268469999998</v>
      </c>
      <c r="DR8" s="69">
        <v>206.10569971000001</v>
      </c>
      <c r="DS8" s="42">
        <v>240.29015004000001</v>
      </c>
      <c r="DT8" s="42">
        <v>229.41528928</v>
      </c>
      <c r="DU8" s="69">
        <v>228.51998144000001</v>
      </c>
      <c r="DV8" s="42">
        <v>263.03059425000004</v>
      </c>
      <c r="DW8" s="69">
        <v>234.99714339999997</v>
      </c>
      <c r="DX8" s="42">
        <v>222.74379739000003</v>
      </c>
      <c r="DY8" s="42">
        <v>249.04644328000003</v>
      </c>
      <c r="DZ8" s="69">
        <v>229.81192466000002</v>
      </c>
      <c r="EA8" s="42">
        <v>267.14435761999999</v>
      </c>
      <c r="EB8" s="42">
        <f>SUM(DP8:EA8)</f>
        <v>2794.99898097</v>
      </c>
      <c r="EC8" s="45">
        <v>2794.998979</v>
      </c>
      <c r="ED8" s="42">
        <v>234.18338947999999</v>
      </c>
      <c r="EE8" s="42">
        <v>223.01926175000003</v>
      </c>
      <c r="EF8" s="42">
        <v>212.35812472999996</v>
      </c>
      <c r="EG8" s="42">
        <v>230.89572601999998</v>
      </c>
      <c r="EH8" s="42">
        <v>195.52266638</v>
      </c>
      <c r="EI8" s="42">
        <v>210.49713252999999</v>
      </c>
      <c r="EJ8" s="42">
        <v>255.08218350999996</v>
      </c>
      <c r="EK8" s="42">
        <v>234.62107521999999</v>
      </c>
      <c r="EL8" s="42">
        <v>236.47018047000003</v>
      </c>
      <c r="EM8" s="42">
        <v>241.27757502000003</v>
      </c>
      <c r="EN8" s="42">
        <v>233.60964103999999</v>
      </c>
      <c r="EO8" s="69">
        <v>308.33102771</v>
      </c>
      <c r="EP8" s="42">
        <f>SUM(ED8:EO8)</f>
        <v>2815.8679838600001</v>
      </c>
      <c r="EQ8" s="42">
        <v>2815.867984</v>
      </c>
      <c r="ER8" s="42">
        <v>158.13683691000003</v>
      </c>
      <c r="ES8" s="42">
        <v>211.52899499</v>
      </c>
      <c r="ET8" s="42">
        <v>213.37904165999996</v>
      </c>
      <c r="EU8" s="42">
        <v>246.69299178</v>
      </c>
      <c r="EV8" s="43">
        <v>245.98410279000001</v>
      </c>
      <c r="EW8" s="42">
        <v>244.72803843</v>
      </c>
      <c r="EX8" s="69">
        <v>275.04180285000001</v>
      </c>
      <c r="EY8" s="42">
        <v>270.27114040999999</v>
      </c>
      <c r="EZ8" s="42">
        <v>264.82137295000001</v>
      </c>
      <c r="FA8" s="42">
        <v>254.86422797</v>
      </c>
      <c r="FB8" s="42">
        <v>230.43596550000001</v>
      </c>
      <c r="FC8" s="42">
        <v>402.16522719</v>
      </c>
      <c r="FD8" s="42">
        <f>SUM(ER8:FC8)</f>
        <v>3018.0497434300005</v>
      </c>
      <c r="FE8" s="42">
        <v>3018.049387</v>
      </c>
      <c r="FF8" s="42">
        <v>324.40309428</v>
      </c>
      <c r="FG8" s="42">
        <v>264.20934139999997</v>
      </c>
      <c r="FH8" s="42">
        <v>267.74331712999998</v>
      </c>
      <c r="FI8" s="42">
        <v>279.99831092999995</v>
      </c>
      <c r="FJ8" s="42">
        <v>303.6354437999999</v>
      </c>
      <c r="FK8" s="42">
        <v>308.24892879000004</v>
      </c>
      <c r="FL8" s="42">
        <v>297.50948893000003</v>
      </c>
      <c r="FM8" s="42">
        <v>293.33245684999991</v>
      </c>
      <c r="FN8" s="42">
        <v>313.25612588999991</v>
      </c>
      <c r="FO8" s="42">
        <v>323.73266083999994</v>
      </c>
      <c r="FP8" s="42">
        <v>291.30847344999995</v>
      </c>
      <c r="FQ8" s="42">
        <v>272.14850333999993</v>
      </c>
      <c r="FR8" s="42">
        <f>SUM(FF8:FQ8)</f>
        <v>3539.5261456299995</v>
      </c>
      <c r="FS8" s="42">
        <v>3539.526147</v>
      </c>
      <c r="FT8" s="42">
        <v>359.11639807999995</v>
      </c>
      <c r="FU8" s="42">
        <v>294.02487065999992</v>
      </c>
      <c r="FV8" s="42">
        <v>242.33721191999999</v>
      </c>
      <c r="FW8" s="42">
        <v>333.00796165999998</v>
      </c>
      <c r="FX8" s="42">
        <v>319.93156350000004</v>
      </c>
      <c r="FY8" s="42">
        <v>338.91268451000002</v>
      </c>
      <c r="FZ8" s="42">
        <v>347.67293251000001</v>
      </c>
      <c r="GA8" s="42">
        <v>337.88128081000002</v>
      </c>
      <c r="GB8" s="42">
        <v>340.04097743000005</v>
      </c>
      <c r="GC8" s="42">
        <v>320.07862481999996</v>
      </c>
      <c r="GD8" s="42">
        <v>327.16108714999996</v>
      </c>
      <c r="GE8" s="42">
        <v>323.46731599999998</v>
      </c>
      <c r="GF8" s="42">
        <f>SUM(FT8:GE8)</f>
        <v>3883.6329090499994</v>
      </c>
      <c r="GG8" s="42">
        <v>3883.632908</v>
      </c>
      <c r="GH8" s="42">
        <v>384.09372719000004</v>
      </c>
      <c r="GI8" s="42">
        <v>339.47916679000002</v>
      </c>
      <c r="GJ8" s="42">
        <v>324.40245212000002</v>
      </c>
      <c r="GK8" s="42">
        <v>388.86291010000002</v>
      </c>
      <c r="GL8" s="42">
        <v>351.48272125999995</v>
      </c>
      <c r="GM8" s="42">
        <v>339.52644792999996</v>
      </c>
      <c r="GN8" s="42">
        <v>362.38715750999995</v>
      </c>
      <c r="GO8" s="42">
        <v>364.86733365999999</v>
      </c>
      <c r="GP8" s="42">
        <v>337.29143038999996</v>
      </c>
      <c r="GQ8" s="42">
        <v>362.6819612000001</v>
      </c>
      <c r="GR8" s="42">
        <v>345.10678924000001</v>
      </c>
      <c r="GS8" s="42">
        <v>344.49479077999996</v>
      </c>
      <c r="GT8" s="42">
        <f>SUM(GH8:GS8)</f>
        <v>4244.67688817</v>
      </c>
      <c r="GU8" s="42">
        <v>4244.6768890000003</v>
      </c>
      <c r="GV8" s="42">
        <v>417.17922419999991</v>
      </c>
      <c r="GW8" s="42">
        <v>346.07441292999994</v>
      </c>
      <c r="GX8" s="42">
        <v>350.71940897999997</v>
      </c>
      <c r="GY8" s="42">
        <v>378.23775142000005</v>
      </c>
      <c r="GZ8" s="42">
        <v>390.27365368</v>
      </c>
      <c r="HA8" s="42">
        <v>385.50452448999999</v>
      </c>
      <c r="HB8" s="42">
        <v>420.80675130999998</v>
      </c>
      <c r="HC8" s="42">
        <v>404.57182614000004</v>
      </c>
      <c r="HD8" s="42">
        <v>375.15243782000005</v>
      </c>
      <c r="HE8" s="42">
        <v>414.38893010999999</v>
      </c>
      <c r="HF8" s="42">
        <v>387.73866429000003</v>
      </c>
      <c r="HG8" s="42">
        <v>380.41691560999999</v>
      </c>
      <c r="HH8" s="42">
        <f>SUM(GV8:HG8)</f>
        <v>4651.06450098</v>
      </c>
      <c r="HI8" s="42">
        <v>442.91271295999996</v>
      </c>
      <c r="HJ8" s="42">
        <v>373.70109547999999</v>
      </c>
      <c r="HK8" s="42">
        <v>374.58557979</v>
      </c>
      <c r="HL8" s="42">
        <v>416.73530896000005</v>
      </c>
      <c r="HM8" s="42"/>
      <c r="HN8" s="42"/>
      <c r="HO8" s="42"/>
      <c r="HP8" s="42"/>
      <c r="HQ8" s="42"/>
      <c r="HR8" s="42"/>
      <c r="HS8" s="42"/>
      <c r="HT8" s="42"/>
      <c r="HU8" s="300">
        <f>ROUND(SUM(GV8:GY8),6)</f>
        <v>1492.2107980000001</v>
      </c>
      <c r="HV8" s="300">
        <f>ROUND(SUM(HI8:HL8),6)</f>
        <v>1607.9346969999999</v>
      </c>
      <c r="HW8" s="280">
        <f t="shared" si="2"/>
        <v>115.72389899999985</v>
      </c>
      <c r="HX8" s="280">
        <f t="shared" si="3"/>
        <v>7.7551978014837886</v>
      </c>
    </row>
    <row r="9" spans="1:232" s="12" customFormat="1" ht="20.5">
      <c r="A9" s="46" t="s">
        <v>90</v>
      </c>
      <c r="B9" s="13" t="s">
        <v>91</v>
      </c>
      <c r="C9" s="46" t="s">
        <v>92</v>
      </c>
      <c r="D9" s="45">
        <v>12.380320829135862</v>
      </c>
      <c r="E9" s="42">
        <v>32.101768060511894</v>
      </c>
      <c r="F9" s="42">
        <v>92.325622790991503</v>
      </c>
      <c r="G9" s="42">
        <v>97.406791936300877</v>
      </c>
      <c r="H9" s="42">
        <v>1.0656513053425991</v>
      </c>
      <c r="I9" s="42">
        <v>0.17173920467157272</v>
      </c>
      <c r="J9" s="42">
        <v>0.23169333128439795</v>
      </c>
      <c r="K9" s="42">
        <v>3.3191430327658922</v>
      </c>
      <c r="L9" s="42">
        <v>0.74772055935936621</v>
      </c>
      <c r="M9" s="42">
        <v>4.1133516599222544</v>
      </c>
      <c r="N9" s="42">
        <v>1.0283179947752146</v>
      </c>
      <c r="O9" s="42">
        <v>0.46674464004188931</v>
      </c>
      <c r="P9" s="42">
        <v>1.0629635004923137</v>
      </c>
      <c r="Q9" s="42">
        <v>1.247337806842306</v>
      </c>
      <c r="R9" s="42">
        <v>0.75709728459143655</v>
      </c>
      <c r="S9" s="42">
        <v>0.19133784099122944</v>
      </c>
      <c r="T9" s="42">
        <v>14.403098161080473</v>
      </c>
      <c r="U9" s="42">
        <v>14.403101006824095</v>
      </c>
      <c r="V9" s="42">
        <v>1.5206145667924487</v>
      </c>
      <c r="W9" s="42">
        <v>1.3063249355439071</v>
      </c>
      <c r="X9" s="42">
        <v>0.65549143146595634</v>
      </c>
      <c r="Y9" s="42">
        <v>1.2508024997011968</v>
      </c>
      <c r="Z9" s="42">
        <v>1.8578536832459689</v>
      </c>
      <c r="AA9" s="42">
        <v>0.60637674230653216</v>
      </c>
      <c r="AB9" s="42">
        <v>1.2057259207403486</v>
      </c>
      <c r="AC9" s="42">
        <v>1.9145266674634749</v>
      </c>
      <c r="AD9" s="42">
        <v>1.3762528386292623</v>
      </c>
      <c r="AE9" s="42">
        <v>1.1648852311597544</v>
      </c>
      <c r="AF9" s="42">
        <v>2.2801236191029077</v>
      </c>
      <c r="AG9" s="42">
        <v>0.39687878839619584</v>
      </c>
      <c r="AH9" s="42">
        <v>15.535856924547954</v>
      </c>
      <c r="AI9" s="42">
        <v>15.535856369627947</v>
      </c>
      <c r="AJ9" s="42">
        <v>4.1442934303162762</v>
      </c>
      <c r="AK9" s="42">
        <v>2.6204660189754185</v>
      </c>
      <c r="AL9" s="42">
        <v>0.80646809067677472</v>
      </c>
      <c r="AM9" s="42">
        <v>1.196760405461551</v>
      </c>
      <c r="AN9" s="42">
        <v>2.877339912692586</v>
      </c>
      <c r="AO9" s="42">
        <v>0.73947644008855962</v>
      </c>
      <c r="AP9" s="42">
        <v>1.3136806278848725</v>
      </c>
      <c r="AQ9" s="42">
        <v>3.3676601157648505</v>
      </c>
      <c r="AR9" s="42">
        <v>3.2451380470230675</v>
      </c>
      <c r="AS9" s="42">
        <v>1.5078229492148594</v>
      </c>
      <c r="AT9" s="42">
        <v>4.0549911497373383</v>
      </c>
      <c r="AU9" s="42">
        <v>1.1101587355791942</v>
      </c>
      <c r="AV9" s="42">
        <v>26.984255923415351</v>
      </c>
      <c r="AW9" s="42">
        <v>26.984254500543539</v>
      </c>
      <c r="AX9" s="42">
        <v>1.707562</v>
      </c>
      <c r="AY9" s="42">
        <v>4.1021029999999996</v>
      </c>
      <c r="AZ9" s="42">
        <v>1.252545</v>
      </c>
      <c r="BA9" s="42">
        <v>1.4423619999999999</v>
      </c>
      <c r="BB9" s="42">
        <v>4.3565379999999996</v>
      </c>
      <c r="BC9" s="42">
        <v>2.146706</v>
      </c>
      <c r="BD9" s="42">
        <v>2.38547676</v>
      </c>
      <c r="BE9" s="42">
        <v>5.3713350000000002</v>
      </c>
      <c r="BF9" s="42">
        <v>2.52156037</v>
      </c>
      <c r="BG9" s="42">
        <v>1.9721937099999998</v>
      </c>
      <c r="BH9" s="42">
        <v>5.1560085000000004</v>
      </c>
      <c r="BI9" s="42">
        <v>1.7646523799999998</v>
      </c>
      <c r="BJ9" s="45">
        <f t="shared" si="4"/>
        <v>34.179042720000005</v>
      </c>
      <c r="BK9" s="45">
        <v>34.179042000000003</v>
      </c>
      <c r="BL9" s="42">
        <v>2.2478947200000001</v>
      </c>
      <c r="BM9" s="42">
        <v>3.6261924300000006</v>
      </c>
      <c r="BN9" s="42">
        <v>1.7752463200000002</v>
      </c>
      <c r="BO9" s="42">
        <v>2.0132400700000002</v>
      </c>
      <c r="BP9" s="42">
        <v>5.9962418899999994</v>
      </c>
      <c r="BQ9" s="42">
        <v>2.2910193099999998</v>
      </c>
      <c r="BR9" s="42">
        <v>2.3152100199999999</v>
      </c>
      <c r="BS9" s="42">
        <v>6.15035358</v>
      </c>
      <c r="BT9" s="42">
        <v>2.3114180200000001</v>
      </c>
      <c r="BU9" s="42">
        <v>2.5637572099999999</v>
      </c>
      <c r="BV9" s="42">
        <v>6.1631325100000005</v>
      </c>
      <c r="BW9" s="42">
        <v>2.2086157799999997</v>
      </c>
      <c r="BX9" s="45">
        <f t="shared" si="5"/>
        <v>39.662321860000006</v>
      </c>
      <c r="BY9" s="45">
        <v>39.662320999999999</v>
      </c>
      <c r="BZ9" s="45">
        <v>2.2031683699999998</v>
      </c>
      <c r="CA9" s="45">
        <v>5.0147325599999997</v>
      </c>
      <c r="CB9" s="45">
        <v>1.5229595</v>
      </c>
      <c r="CC9" s="45">
        <v>1.9314953700000002</v>
      </c>
      <c r="CD9" s="45">
        <v>6.2141872399999993</v>
      </c>
      <c r="CE9" s="45">
        <v>2.1825098999999994</v>
      </c>
      <c r="CF9" s="45">
        <v>2.7003445699999991</v>
      </c>
      <c r="CG9" s="45">
        <v>6.8440385900000003</v>
      </c>
      <c r="CH9" s="45">
        <v>2.3979673599999995</v>
      </c>
      <c r="CI9" s="45">
        <v>3.3680458900000008</v>
      </c>
      <c r="CJ9" s="45">
        <v>6.3134391600000015</v>
      </c>
      <c r="CK9" s="45">
        <v>4.4637948899999991</v>
      </c>
      <c r="CL9" s="45">
        <f t="shared" si="6"/>
        <v>45.156683399999991</v>
      </c>
      <c r="CM9" s="45">
        <v>45.632173999999999</v>
      </c>
      <c r="CN9" s="45">
        <v>2.4948466200000001</v>
      </c>
      <c r="CO9" s="45">
        <v>6.0534262799999992</v>
      </c>
      <c r="CP9" s="45">
        <v>4.9714688300000001</v>
      </c>
      <c r="CQ9" s="45">
        <v>6.8216465900000012</v>
      </c>
      <c r="CR9" s="45">
        <v>4.9154238799999996</v>
      </c>
      <c r="CS9" s="45">
        <v>3.1585497100000004</v>
      </c>
      <c r="CT9" s="45">
        <v>2.6596906300000001</v>
      </c>
      <c r="CU9" s="45">
        <v>20.31418189</v>
      </c>
      <c r="CV9" s="45">
        <v>3.0712085900000003</v>
      </c>
      <c r="CW9" s="45">
        <v>3.2401008699999991</v>
      </c>
      <c r="CX9" s="45">
        <v>6.9557665800000006</v>
      </c>
      <c r="CY9" s="45">
        <v>3.0090671200000005</v>
      </c>
      <c r="CZ9" s="45">
        <f t="shared" si="7"/>
        <v>67.665377589999991</v>
      </c>
      <c r="DA9" s="45">
        <v>67.665377000000007</v>
      </c>
      <c r="DB9" s="45">
        <v>3.8464845699999994</v>
      </c>
      <c r="DC9" s="45">
        <v>5.9921438999999994</v>
      </c>
      <c r="DD9" s="45">
        <v>1.9519276300000001</v>
      </c>
      <c r="DE9" s="45">
        <v>3.0476125500000002</v>
      </c>
      <c r="DF9" s="45">
        <v>7.0883552699999992</v>
      </c>
      <c r="DG9" s="45">
        <v>2.92926442</v>
      </c>
      <c r="DH9" s="45">
        <v>3.7704581399999997</v>
      </c>
      <c r="DI9" s="45">
        <v>7.7924221000000014</v>
      </c>
      <c r="DJ9" s="45">
        <v>2.37021076</v>
      </c>
      <c r="DK9" s="45">
        <v>4.5706386599999993</v>
      </c>
      <c r="DL9" s="45">
        <v>7.7308817299999992</v>
      </c>
      <c r="DM9" s="69">
        <v>2.1163129199999999</v>
      </c>
      <c r="DN9" s="42">
        <f t="shared" ref="DN9:DN42" si="8">SUM(DB9:DM9)</f>
        <v>53.20671265</v>
      </c>
      <c r="DO9" s="45">
        <v>53.204507999999997</v>
      </c>
      <c r="DP9" s="42">
        <v>3.1347884399999999</v>
      </c>
      <c r="DQ9" s="42">
        <v>6.6740915300000001</v>
      </c>
      <c r="DR9" s="69">
        <v>2.6180494199999997</v>
      </c>
      <c r="DS9" s="42">
        <v>1.9254181499999998</v>
      </c>
      <c r="DT9" s="42">
        <v>10.292909629999999</v>
      </c>
      <c r="DU9" s="69">
        <v>2.1768548999999999</v>
      </c>
      <c r="DV9" s="42">
        <v>3.9046343000000001</v>
      </c>
      <c r="DW9" s="69">
        <v>8.2127299199999992</v>
      </c>
      <c r="DX9" s="42">
        <v>3.3927045899999992</v>
      </c>
      <c r="DY9" s="42">
        <v>3.9252656799999999</v>
      </c>
      <c r="DZ9" s="69">
        <v>8.2604472000000015</v>
      </c>
      <c r="EA9" s="42">
        <v>2.4756961800000004</v>
      </c>
      <c r="EB9" s="42">
        <f t="shared" ref="EB9:EB42" si="9">SUM(DP9:EA9)</f>
        <v>56.993589940000007</v>
      </c>
      <c r="EC9" s="45">
        <v>56.993592999999997</v>
      </c>
      <c r="ED9" s="42">
        <v>7.40121786</v>
      </c>
      <c r="EE9" s="42">
        <v>8.7729833900000003</v>
      </c>
      <c r="EF9" s="42">
        <v>4.1338555299999999</v>
      </c>
      <c r="EG9" s="42">
        <v>2.9828803800000001</v>
      </c>
      <c r="EH9" s="42">
        <v>9.3248700099999997</v>
      </c>
      <c r="EI9" s="69">
        <v>3.3815526799999995</v>
      </c>
      <c r="EJ9" s="42">
        <v>5.03347575</v>
      </c>
      <c r="EK9" s="42">
        <v>8.9334823699999983</v>
      </c>
      <c r="EL9" s="42">
        <v>4.0905470099999999</v>
      </c>
      <c r="EM9" s="42">
        <v>4.8819212699999994</v>
      </c>
      <c r="EN9" s="42">
        <v>8.4014538000000005</v>
      </c>
      <c r="EO9" s="69">
        <v>3.5247282800000002</v>
      </c>
      <c r="EP9" s="42">
        <f t="shared" ref="EP9:EP42" si="10">SUM(ED9:EO9)</f>
        <v>70.862968330000015</v>
      </c>
      <c r="EQ9" s="42">
        <v>70.862971000000002</v>
      </c>
      <c r="ER9" s="42">
        <v>2.8717999999999999</v>
      </c>
      <c r="ES9" s="42">
        <v>7.0709374999999994</v>
      </c>
      <c r="ET9" s="42">
        <v>3.0309521300000002</v>
      </c>
      <c r="EU9" s="42">
        <v>5.0856436699999996</v>
      </c>
      <c r="EV9" s="43">
        <v>10.382320239999999</v>
      </c>
      <c r="EW9" s="42">
        <v>4.4517577699999995</v>
      </c>
      <c r="EX9" s="69">
        <v>5.69906544</v>
      </c>
      <c r="EY9" s="42">
        <v>8.4469208099999999</v>
      </c>
      <c r="EZ9" s="42">
        <v>6.1317899999999996</v>
      </c>
      <c r="FA9" s="42">
        <v>6.3305383399999995</v>
      </c>
      <c r="FB9" s="42">
        <v>8.7554656600000005</v>
      </c>
      <c r="FC9" s="42">
        <v>6.0348678600000003</v>
      </c>
      <c r="FD9" s="42">
        <f t="shared" ref="FD9:FD40" si="11">SUM(ER9:FC9)</f>
        <v>74.292059420000001</v>
      </c>
      <c r="FE9" s="42">
        <v>74.292188999999993</v>
      </c>
      <c r="FF9" s="42">
        <v>29.383001270000001</v>
      </c>
      <c r="FG9" s="42">
        <v>6.975569000000001</v>
      </c>
      <c r="FH9" s="42">
        <v>2.9122487499999994</v>
      </c>
      <c r="FI9" s="42">
        <v>2.0361797100000003</v>
      </c>
      <c r="FJ9" s="42">
        <v>9.3918316900000001</v>
      </c>
      <c r="FK9" s="42">
        <v>4.2160464500000003</v>
      </c>
      <c r="FL9" s="42">
        <v>5.2062237100000006</v>
      </c>
      <c r="FM9" s="42">
        <v>10.919555000000001</v>
      </c>
      <c r="FN9" s="42">
        <v>4.5706130299999996</v>
      </c>
      <c r="FO9" s="42">
        <v>5.5297046000000005</v>
      </c>
      <c r="FP9" s="42">
        <v>11.763918200000001</v>
      </c>
      <c r="FQ9" s="42">
        <v>8.0659698400000011</v>
      </c>
      <c r="FR9" s="42">
        <f t="shared" ref="FR9:FR40" si="12">SUM(FF9:FQ9)</f>
        <v>100.97086125000001</v>
      </c>
      <c r="FS9" s="42">
        <v>100.970861</v>
      </c>
      <c r="FT9" s="42">
        <v>4.719474739999999</v>
      </c>
      <c r="FU9" s="42">
        <v>9.6786331100000016</v>
      </c>
      <c r="FV9" s="42">
        <v>4.6131978100000008</v>
      </c>
      <c r="FW9" s="42">
        <v>3.1315465700000003</v>
      </c>
      <c r="FX9" s="42">
        <v>9.5885590699999987</v>
      </c>
      <c r="FY9" s="42">
        <v>3.8746837799999998</v>
      </c>
      <c r="FZ9" s="42">
        <v>5.3982317400000008</v>
      </c>
      <c r="GA9" s="42">
        <v>6.1221834300000006</v>
      </c>
      <c r="GB9" s="42">
        <v>7.6075322000000005</v>
      </c>
      <c r="GC9" s="42">
        <v>9.6378727800000021</v>
      </c>
      <c r="GD9" s="42">
        <v>11.3698537</v>
      </c>
      <c r="GE9" s="42">
        <v>7.9273126300000003</v>
      </c>
      <c r="GF9" s="42">
        <f t="shared" ref="GF9:GF42" si="13">SUM(FT9:GE9)</f>
        <v>83.669081560000009</v>
      </c>
      <c r="GG9" s="42">
        <v>83.668932999999996</v>
      </c>
      <c r="GH9" s="42">
        <v>10.47357272</v>
      </c>
      <c r="GI9" s="42">
        <v>11.876946089999999</v>
      </c>
      <c r="GJ9" s="42">
        <v>6.2754963799999981</v>
      </c>
      <c r="GK9" s="42">
        <v>5.1124640700000006</v>
      </c>
      <c r="GL9" s="42">
        <v>5.0273076000000003</v>
      </c>
      <c r="GM9" s="42">
        <v>19.251306330000006</v>
      </c>
      <c r="GN9" s="42">
        <v>8.003217939999999</v>
      </c>
      <c r="GO9" s="42">
        <v>12.34771574</v>
      </c>
      <c r="GP9" s="42">
        <v>8.1180942900000002</v>
      </c>
      <c r="GQ9" s="42">
        <v>7.1304736399999999</v>
      </c>
      <c r="GR9" s="42">
        <v>14.01945847</v>
      </c>
      <c r="GS9" s="42">
        <v>10.015296480000002</v>
      </c>
      <c r="GT9" s="42">
        <f t="shared" ref="GT9:GT42" si="14">SUM(GH9:GS9)</f>
        <v>117.65134975000002</v>
      </c>
      <c r="GU9" s="42">
        <v>117.651349</v>
      </c>
      <c r="GV9" s="42">
        <v>23.77295488</v>
      </c>
      <c r="GW9" s="42">
        <v>7.9483973300000006</v>
      </c>
      <c r="GX9" s="42">
        <v>21.320020140000004</v>
      </c>
      <c r="GY9" s="42">
        <v>6.3316891899999996</v>
      </c>
      <c r="GZ9" s="42">
        <v>6.2001583800000004</v>
      </c>
      <c r="HA9" s="42">
        <v>15.109028039999998</v>
      </c>
      <c r="HB9" s="42">
        <v>11.295424689999999</v>
      </c>
      <c r="HC9" s="42">
        <v>25.279222650000001</v>
      </c>
      <c r="HD9" s="42">
        <v>10.751922099999998</v>
      </c>
      <c r="HE9" s="42">
        <v>14.80268787</v>
      </c>
      <c r="HF9" s="42">
        <v>14.473830920000003</v>
      </c>
      <c r="HG9" s="42">
        <v>56.993803460000002</v>
      </c>
      <c r="HH9" s="42">
        <f t="shared" ref="HH9:HH42" si="15">SUM(GV9:HG9)</f>
        <v>214.27913965000002</v>
      </c>
      <c r="HI9" s="42">
        <v>36.261598069999998</v>
      </c>
      <c r="HJ9" s="42">
        <v>13.848720219999999</v>
      </c>
      <c r="HK9" s="42">
        <v>21.050734200000001</v>
      </c>
      <c r="HL9" s="42">
        <v>15.389760110000001</v>
      </c>
      <c r="HM9" s="42"/>
      <c r="HN9" s="42"/>
      <c r="HO9" s="42"/>
      <c r="HP9" s="42"/>
      <c r="HQ9" s="42"/>
      <c r="HR9" s="42"/>
      <c r="HS9" s="42"/>
      <c r="HT9" s="42"/>
      <c r="HU9" s="300">
        <f t="shared" ref="HU9:HU42" si="16">ROUND(SUM(GV9:GY9),6)</f>
        <v>59.373061999999997</v>
      </c>
      <c r="HV9" s="300">
        <f t="shared" ref="HV9:HV42" si="17">ROUND(SUM(HI9:HL9),6)</f>
        <v>86.550813000000005</v>
      </c>
      <c r="HW9" s="280">
        <f t="shared" ref="HW9:HW42" si="18">HV9-HU9</f>
        <v>27.177751000000008</v>
      </c>
      <c r="HX9" s="280">
        <f t="shared" ref="HX9:HX40" si="19">HV9/HU9*100-100</f>
        <v>45.774548397049188</v>
      </c>
    </row>
    <row r="10" spans="1:232" s="12" customFormat="1" ht="20.5">
      <c r="A10" s="46" t="s">
        <v>93</v>
      </c>
      <c r="B10" s="13" t="s">
        <v>94</v>
      </c>
      <c r="C10" s="46" t="s">
        <v>95</v>
      </c>
      <c r="D10" s="45">
        <v>2.239605921423327</v>
      </c>
      <c r="E10" s="42">
        <v>0.10985993249896131</v>
      </c>
      <c r="F10" s="42">
        <v>9.5161666695124103E-2</v>
      </c>
      <c r="G10" s="42">
        <v>8.7951975230647517E-2</v>
      </c>
      <c r="H10" s="42">
        <v>7.1940398745596211E-3</v>
      </c>
      <c r="I10" s="42">
        <v>5.2731629302052918E-3</v>
      </c>
      <c r="J10" s="42">
        <v>3.8360624014661272E-3</v>
      </c>
      <c r="K10" s="42">
        <v>3.9911554288251071E-3</v>
      </c>
      <c r="L10" s="42">
        <v>5.5278569843085698E-3</v>
      </c>
      <c r="M10" s="42">
        <v>4.2615010728453452E-3</v>
      </c>
      <c r="N10" s="42">
        <v>5.2831230328797222E-3</v>
      </c>
      <c r="O10" s="42">
        <v>3.1516610605517329E-3</v>
      </c>
      <c r="P10" s="42">
        <v>5.9632557583622183E-3</v>
      </c>
      <c r="Q10" s="42">
        <v>3.0278712130266763E-3</v>
      </c>
      <c r="R10" s="42">
        <v>3.7791475290408138E-3</v>
      </c>
      <c r="S10" s="42">
        <v>3.1786956249537568E-3</v>
      </c>
      <c r="T10" s="42">
        <v>5.4467532911024984E-2</v>
      </c>
      <c r="U10" s="42">
        <v>5.4467532911024984E-2</v>
      </c>
      <c r="V10" s="42">
        <v>5.4752107273151546E-3</v>
      </c>
      <c r="W10" s="42">
        <v>2.4744736797172469E-3</v>
      </c>
      <c r="X10" s="42">
        <v>5.1792533907035251E-3</v>
      </c>
      <c r="Y10" s="42">
        <v>4.7424317448392442E-3</v>
      </c>
      <c r="Z10" s="42">
        <v>5.3030432382285813E-3</v>
      </c>
      <c r="AA10" s="42">
        <v>5.4780564709364203E-3</v>
      </c>
      <c r="AB10" s="42">
        <v>5.3229634435774413E-3</v>
      </c>
      <c r="AC10" s="42">
        <v>9.4763262588146921E-3</v>
      </c>
      <c r="AD10" s="42">
        <v>3.6951980922134762E-3</v>
      </c>
      <c r="AE10" s="42">
        <v>5.3997985213516146E-3</v>
      </c>
      <c r="AF10" s="42">
        <v>4.3155702016493928E-3</v>
      </c>
      <c r="AG10" s="42">
        <v>4.5958759483440614E-3</v>
      </c>
      <c r="AH10" s="42">
        <v>6.1458201717690848E-2</v>
      </c>
      <c r="AI10" s="42">
        <v>6.1458102116664109E-2</v>
      </c>
      <c r="AJ10" s="42">
        <v>6.1596120682295497E-3</v>
      </c>
      <c r="AK10" s="42">
        <v>5.4737878555045222E-3</v>
      </c>
      <c r="AL10" s="42">
        <v>9.9074564174364398E-3</v>
      </c>
      <c r="AM10" s="42">
        <v>6.1026971958042363E-3</v>
      </c>
      <c r="AN10" s="42">
        <v>5.9675243737941164E-3</v>
      </c>
      <c r="AO10" s="42">
        <v>5.7242132941759004E-3</v>
      </c>
      <c r="AP10" s="42">
        <v>5.8053169873819735E-3</v>
      </c>
      <c r="AQ10" s="42">
        <v>7.7816859323509829E-3</v>
      </c>
      <c r="AR10" s="42">
        <v>5.2276310322650413E-3</v>
      </c>
      <c r="AS10" s="42">
        <v>4.7239344113010175E-3</v>
      </c>
      <c r="AT10" s="42">
        <v>-2.4074991035907592E-3</v>
      </c>
      <c r="AU10" s="42">
        <v>2.2125656655340607E-3</v>
      </c>
      <c r="AV10" s="42">
        <v>6.2678926130187079E-2</v>
      </c>
      <c r="AW10" s="42">
        <v>6.2678926130187079E-2</v>
      </c>
      <c r="AX10" s="42">
        <v>4.3199999999999998E-4</v>
      </c>
      <c r="AY10" s="42">
        <v>4.4700000000000002E-4</v>
      </c>
      <c r="AZ10" s="42">
        <v>8.7299999999999999E-3</v>
      </c>
      <c r="BA10" s="42">
        <v>3.0299999999999999E-4</v>
      </c>
      <c r="BB10" s="42">
        <v>2.7500000000000002E-4</v>
      </c>
      <c r="BC10" s="42">
        <v>4.5899999999999999E-4</v>
      </c>
      <c r="BD10" s="42">
        <v>1.3294159999999999E-2</v>
      </c>
      <c r="BE10" s="42">
        <v>1.73E-4</v>
      </c>
      <c r="BF10" s="42">
        <v>2.0441000000000003E-4</v>
      </c>
      <c r="BG10" s="42">
        <v>3.7970999999999995E-4</v>
      </c>
      <c r="BH10" s="42">
        <v>2.4169E-4</v>
      </c>
      <c r="BI10" s="42">
        <v>4.7512000000000005E-4</v>
      </c>
      <c r="BJ10" s="45">
        <f t="shared" si="4"/>
        <v>2.541408999999999E-2</v>
      </c>
      <c r="BK10" s="45">
        <v>2.5413999999999999E-2</v>
      </c>
      <c r="BL10" s="42">
        <v>4.8359E-4</v>
      </c>
      <c r="BM10" s="42">
        <v>-1.0811000000000002E-4</v>
      </c>
      <c r="BN10" s="42">
        <v>7.1378999999999995E-4</v>
      </c>
      <c r="BO10" s="42">
        <v>2.6170000000000002E-4</v>
      </c>
      <c r="BP10" s="42">
        <v>2.1014100000000001E-2</v>
      </c>
      <c r="BQ10" s="42">
        <v>-2.0602830000000003E-2</v>
      </c>
      <c r="BR10" s="42">
        <v>-5.4410000000000005E-4</v>
      </c>
      <c r="BS10" s="42">
        <v>5.0184999999999997E-4</v>
      </c>
      <c r="BT10" s="42">
        <v>2.4754600000000001E-3</v>
      </c>
      <c r="BU10" s="42">
        <v>-1.6819700000000003E-3</v>
      </c>
      <c r="BV10" s="42">
        <v>-6.9430999999999996E-4</v>
      </c>
      <c r="BW10" s="42">
        <v>2.4831000000000001E-4</v>
      </c>
      <c r="BX10" s="45">
        <f t="shared" si="5"/>
        <v>2.0674799999999974E-3</v>
      </c>
      <c r="BY10" s="45">
        <v>2.0674799999999974E-3</v>
      </c>
      <c r="BZ10" s="45">
        <v>3.8735000000000002E-3</v>
      </c>
      <c r="CA10" s="45">
        <v>-2.7099200000000002E-3</v>
      </c>
      <c r="CB10" s="45">
        <v>8.6127000000000003E-4</v>
      </c>
      <c r="CC10" s="45">
        <v>-1.4136399999999999E-3</v>
      </c>
      <c r="CD10" s="45">
        <v>9.4010999999999997E-4</v>
      </c>
      <c r="CE10" s="45">
        <v>-6.2587000000000005E-4</v>
      </c>
      <c r="CF10" s="45">
        <v>1.5835199999999999E-3</v>
      </c>
      <c r="CG10" s="45">
        <v>-1.4956E-4</v>
      </c>
      <c r="CH10" s="45">
        <v>-2.0901999999999997E-4</v>
      </c>
      <c r="CI10" s="45">
        <v>6.7918000000000004E-4</v>
      </c>
      <c r="CJ10" s="45">
        <v>-4.7865000000000006E-4</v>
      </c>
      <c r="CK10" s="45">
        <v>6.9052999999999996E-4</v>
      </c>
      <c r="CL10" s="45">
        <f t="shared" si="6"/>
        <v>3.0414500000000002E-3</v>
      </c>
      <c r="CM10" s="45">
        <v>3.042E-3</v>
      </c>
      <c r="CN10" s="45">
        <v>9.4072000000000003E-4</v>
      </c>
      <c r="CO10" s="45">
        <v>2.2080000000000039E-5</v>
      </c>
      <c r="CP10" s="45">
        <v>-4.5422000000000003E-4</v>
      </c>
      <c r="CQ10" s="45">
        <v>1.26249E-3</v>
      </c>
      <c r="CR10" s="45">
        <v>7.001799999999999E-4</v>
      </c>
      <c r="CS10" s="45">
        <v>5.8191999999999966E-4</v>
      </c>
      <c r="CT10" s="45">
        <v>-2.2409E-4</v>
      </c>
      <c r="CU10" s="45">
        <v>7.7351000000000004E-4</v>
      </c>
      <c r="CV10" s="45">
        <v>3.9512999999999999E-4</v>
      </c>
      <c r="CW10" s="45">
        <v>1.8660000000000025E-5</v>
      </c>
      <c r="CX10" s="45">
        <v>-3.3106699999999999E-3</v>
      </c>
      <c r="CY10" s="45">
        <v>6.0192999999999998E-4</v>
      </c>
      <c r="CZ10" s="45">
        <f t="shared" si="7"/>
        <v>1.3076399999999992E-3</v>
      </c>
      <c r="DA10" s="45">
        <v>1.307E-3</v>
      </c>
      <c r="DB10" s="45">
        <v>0</v>
      </c>
      <c r="DC10" s="45">
        <v>0.98754005</v>
      </c>
      <c r="DD10" s="45">
        <v>-3.4311999999999998E-4</v>
      </c>
      <c r="DE10" s="45">
        <v>5.3773000000000004E-4</v>
      </c>
      <c r="DF10" s="45">
        <v>-4.3282999999999999E-4</v>
      </c>
      <c r="DG10" s="45">
        <v>6.0522000000000006E-4</v>
      </c>
      <c r="DH10" s="45">
        <v>-0.98785062000000001</v>
      </c>
      <c r="DI10" s="45">
        <v>6.003E-5</v>
      </c>
      <c r="DJ10" s="45">
        <v>6.0057999999999997E-4</v>
      </c>
      <c r="DK10" s="45">
        <v>-5.1359000000000008E-4</v>
      </c>
      <c r="DL10" s="45">
        <v>-1.0193999999999999E-4</v>
      </c>
      <c r="DM10" s="69">
        <v>8.2843999999999995E-4</v>
      </c>
      <c r="DN10" s="42">
        <f t="shared" si="8"/>
        <v>9.2994999999988499E-4</v>
      </c>
      <c r="DO10" s="45">
        <v>9.3000000000000005E-4</v>
      </c>
      <c r="DP10" s="42">
        <v>1.1764199999999999E-3</v>
      </c>
      <c r="DQ10" s="42">
        <v>-1.13215E-3</v>
      </c>
      <c r="DR10" s="69">
        <v>9.5390000000000007E-5</v>
      </c>
      <c r="DS10" s="42">
        <v>-4.1000000000000014E-6</v>
      </c>
      <c r="DT10" s="42">
        <v>1.0244E-4</v>
      </c>
      <c r="DU10" s="69">
        <v>1.7769999999999998E-4</v>
      </c>
      <c r="DV10" s="42">
        <v>-3.5061000000000001E-4</v>
      </c>
      <c r="DW10" s="69">
        <v>-2.0820000000000001E-5</v>
      </c>
      <c r="DX10" s="42">
        <v>8.6249999999999996E-5</v>
      </c>
      <c r="DY10" s="42">
        <v>6.2030000000000001E-5</v>
      </c>
      <c r="DZ10" s="69">
        <v>4.8899999999999938E-6</v>
      </c>
      <c r="EA10" s="42">
        <v>6.9649000000000002E-4</v>
      </c>
      <c r="EB10" s="42">
        <f t="shared" si="9"/>
        <v>8.9392999999999981E-4</v>
      </c>
      <c r="EC10" s="45">
        <v>8.9800000000000004E-4</v>
      </c>
      <c r="ED10" s="42">
        <v>3.2491000000000003E-4</v>
      </c>
      <c r="EE10" s="42">
        <v>3.0050000000000002E-5</v>
      </c>
      <c r="EF10" s="42">
        <v>3.2279999999999999E-4</v>
      </c>
      <c r="EG10" s="42">
        <v>-5.3999999999999998E-5</v>
      </c>
      <c r="EH10" s="42">
        <v>-1.6544999999999998E-4</v>
      </c>
      <c r="EI10" s="69">
        <v>2.9800000000000003E-6</v>
      </c>
      <c r="EJ10" s="42">
        <v>5.503E-5</v>
      </c>
      <c r="EK10" s="42">
        <v>3.7740999999999995E-4</v>
      </c>
      <c r="EL10" s="42">
        <v>-4.4376999999999996E-4</v>
      </c>
      <c r="EM10" s="42">
        <v>8.3499999999999997E-6</v>
      </c>
      <c r="EN10" s="42">
        <v>0</v>
      </c>
      <c r="EO10" s="69">
        <v>8.6043000000000003E-4</v>
      </c>
      <c r="EP10" s="42">
        <f t="shared" si="10"/>
        <v>1.3187400000000001E-3</v>
      </c>
      <c r="EQ10" s="42">
        <v>1.3190000000000001E-3</v>
      </c>
      <c r="ER10" s="42">
        <v>1.3857999999999999E-4</v>
      </c>
      <c r="ES10" s="42">
        <v>2.3915000000000001E-4</v>
      </c>
      <c r="ET10" s="42">
        <v>-2.2431E-4</v>
      </c>
      <c r="EU10" s="42">
        <v>1.6227999999999997E-4</v>
      </c>
      <c r="EV10" s="43">
        <v>-1.8999999999999998E-6</v>
      </c>
      <c r="EW10" s="42">
        <v>2.1176999999999999E-4</v>
      </c>
      <c r="EX10" s="69">
        <v>-2.0322E-4</v>
      </c>
      <c r="EY10" s="42">
        <v>6.6951999999999995E-4</v>
      </c>
      <c r="EZ10" s="42">
        <v>-6.7173999999999999E-4</v>
      </c>
      <c r="FA10" s="42">
        <v>1.6544999999999998E-4</v>
      </c>
      <c r="FB10" s="42">
        <v>1.5538999999999999E-4</v>
      </c>
      <c r="FC10" s="42">
        <v>5.1216E-4</v>
      </c>
      <c r="FD10" s="42">
        <f t="shared" si="11"/>
        <v>1.15313E-3</v>
      </c>
      <c r="FE10" s="42">
        <v>1.1529999999999999E-3</v>
      </c>
      <c r="FF10" s="42">
        <v>6.9407000000000008E-4</v>
      </c>
      <c r="FG10" s="42">
        <v>-6.3250000000000003E-4</v>
      </c>
      <c r="FH10" s="42">
        <v>3.0938999999999999E-4</v>
      </c>
      <c r="FI10" s="42">
        <v>-1.6594000000000003E-4</v>
      </c>
      <c r="FJ10" s="42">
        <v>-2.0501999999999999E-4</v>
      </c>
      <c r="FK10" s="42">
        <v>2.1160000000000001E-5</v>
      </c>
      <c r="FL10" s="42">
        <v>2.5292000000000001E-4</v>
      </c>
      <c r="FM10" s="42">
        <v>-2.3487000000000001E-4</v>
      </c>
      <c r="FN10" s="42">
        <v>2.3380000000000002E-4</v>
      </c>
      <c r="FO10" s="42">
        <v>-2.4794999999999998E-4</v>
      </c>
      <c r="FP10" s="42">
        <v>1.2664999999999999E-4</v>
      </c>
      <c r="FQ10" s="42">
        <v>7.7936999999999993E-4</v>
      </c>
      <c r="FR10" s="42">
        <f t="shared" si="12"/>
        <v>9.3108000000000004E-4</v>
      </c>
      <c r="FS10" s="42">
        <v>9.3099999999999997E-4</v>
      </c>
      <c r="FT10" s="42">
        <v>3.0230950000000003E-2</v>
      </c>
      <c r="FU10" s="42">
        <v>-5.4380000000000005E-5</v>
      </c>
      <c r="FV10" s="42">
        <v>-2.1570000000000002E-5</v>
      </c>
      <c r="FW10" s="42">
        <v>5.8740000000000003E-5</v>
      </c>
      <c r="FX10" s="42">
        <v>-5.8740000000000003E-5</v>
      </c>
      <c r="FY10" s="42">
        <v>1.0485979999999999E-2</v>
      </c>
      <c r="FZ10" s="42">
        <v>6.9999999999999994E-5</v>
      </c>
      <c r="GA10" s="42">
        <v>1.7388999999999998E-4</v>
      </c>
      <c r="GB10" s="42">
        <v>-6.5487E-4</v>
      </c>
      <c r="GC10" s="42">
        <v>8.4640000000000003E-5</v>
      </c>
      <c r="GD10" s="42">
        <v>-8.4640000000000003E-5</v>
      </c>
      <c r="GE10" s="42">
        <v>3.0848E-2</v>
      </c>
      <c r="GF10" s="42">
        <f t="shared" si="13"/>
        <v>7.1078000000000002E-2</v>
      </c>
      <c r="GG10" s="42">
        <v>7.1078000000000002E-2</v>
      </c>
      <c r="GH10" s="42">
        <v>3.4197699999999999E-3</v>
      </c>
      <c r="GI10" s="42">
        <v>-1.0572799999999999E-3</v>
      </c>
      <c r="GJ10" s="42"/>
      <c r="GK10" s="42">
        <v>1.05153E-2</v>
      </c>
      <c r="GL10" s="42">
        <v>-4.0818000000000007E-4</v>
      </c>
      <c r="GM10" s="42">
        <v>2.0380259999999997E-2</v>
      </c>
      <c r="GN10" s="42">
        <v>-4.7238000000000005E-4</v>
      </c>
      <c r="GO10" s="42">
        <v>5.7615999999999993E-4</v>
      </c>
      <c r="GP10" s="42">
        <v>9.5693400000000008E-3</v>
      </c>
      <c r="GQ10" s="42">
        <v>-1.4740000000000011E-5</v>
      </c>
      <c r="GR10" s="42">
        <v>2.4239999999999998E-5</v>
      </c>
      <c r="GS10" s="42">
        <v>2.0843E-2</v>
      </c>
      <c r="GT10" s="42">
        <f t="shared" si="14"/>
        <v>6.3375490000000007E-2</v>
      </c>
      <c r="GU10" s="42">
        <v>6.3375000000000001E-2</v>
      </c>
      <c r="GV10" s="42">
        <v>1.0045E-2</v>
      </c>
      <c r="GW10" s="42">
        <v>1.9138E-4</v>
      </c>
      <c r="GX10" s="42">
        <v>-2.3138E-4</v>
      </c>
      <c r="GY10" s="42">
        <v>2.0148559999999999E-2</v>
      </c>
      <c r="GZ10" s="42">
        <v>-9.8560000000000005E-5</v>
      </c>
      <c r="HA10" s="42">
        <v>1.0999999999999999E-4</v>
      </c>
      <c r="HB10" s="42">
        <v>1.015021E-2</v>
      </c>
      <c r="HC10" s="42">
        <v>3.1327960000000002E-2</v>
      </c>
      <c r="HD10" s="42">
        <v>-1.1516400000000001E-2</v>
      </c>
      <c r="HE10" s="42">
        <v>-9.6769999999999997E-5</v>
      </c>
      <c r="HF10" s="42">
        <v>1.0092E-2</v>
      </c>
      <c r="HG10" s="42">
        <v>2.0756E-2</v>
      </c>
      <c r="HH10" s="42">
        <f t="shared" si="15"/>
        <v>9.0878E-2</v>
      </c>
      <c r="HI10" s="42">
        <v>1.0075E-4</v>
      </c>
      <c r="HJ10" s="42">
        <v>1.990925E-2</v>
      </c>
      <c r="HK10" s="42">
        <v>1.0461980000000001E-2</v>
      </c>
      <c r="HL10" s="42">
        <v>-3.5975999999999998E-4</v>
      </c>
      <c r="HM10" s="42"/>
      <c r="HN10" s="42"/>
      <c r="HO10" s="42"/>
      <c r="HP10" s="42"/>
      <c r="HQ10" s="42"/>
      <c r="HR10" s="42"/>
      <c r="HS10" s="42"/>
      <c r="HT10" s="42"/>
      <c r="HU10" s="300">
        <f t="shared" si="16"/>
        <v>3.0154E-2</v>
      </c>
      <c r="HV10" s="300">
        <f t="shared" si="17"/>
        <v>3.0112E-2</v>
      </c>
      <c r="HW10" s="280">
        <f t="shared" si="18"/>
        <v>-4.200000000000037E-5</v>
      </c>
      <c r="HX10" s="280">
        <f t="shared" si="19"/>
        <v>-0.13928500364794161</v>
      </c>
    </row>
    <row r="11" spans="1:232" s="12" customFormat="1" ht="20.25" customHeight="1">
      <c r="A11" s="51" t="s">
        <v>220</v>
      </c>
      <c r="B11" s="13" t="s">
        <v>103</v>
      </c>
      <c r="C11" s="51" t="s">
        <v>104</v>
      </c>
      <c r="D11" s="45">
        <v>23.943120699369956</v>
      </c>
      <c r="E11" s="42">
        <v>23.89274961440174</v>
      </c>
      <c r="F11" s="42">
        <v>23.943391045013975</v>
      </c>
      <c r="G11" s="42">
        <v>23.286344414658998</v>
      </c>
      <c r="H11" s="42">
        <v>1.6486331893387061</v>
      </c>
      <c r="I11" s="42">
        <v>1.7968238655443054</v>
      </c>
      <c r="J11" s="42">
        <v>1.8599965281927819</v>
      </c>
      <c r="K11" s="42">
        <v>1.8240206373327417</v>
      </c>
      <c r="L11" s="42">
        <v>1.7814227010660157</v>
      </c>
      <c r="M11" s="42">
        <v>1.7743865999624364</v>
      </c>
      <c r="N11" s="42">
        <v>1.8021382917570192</v>
      </c>
      <c r="O11" s="42">
        <v>1.7920672050813597</v>
      </c>
      <c r="P11" s="42">
        <v>1.8130374898264667</v>
      </c>
      <c r="Q11" s="42">
        <v>1.804707998247022</v>
      </c>
      <c r="R11" s="42">
        <v>1.804114660701988</v>
      </c>
      <c r="S11" s="42">
        <v>1.7861793615289612</v>
      </c>
      <c r="T11" s="42">
        <v>21.487528528579801</v>
      </c>
      <c r="U11" s="42">
        <v>21.48976812880974</v>
      </c>
      <c r="V11" s="42">
        <v>1.8222420475694503</v>
      </c>
      <c r="W11" s="42">
        <v>1.7449413634526838</v>
      </c>
      <c r="X11" s="42">
        <v>1.7557839739102226</v>
      </c>
      <c r="Y11" s="42">
        <v>1.7476650673587517</v>
      </c>
      <c r="Z11" s="42">
        <v>1.7427860399200914</v>
      </c>
      <c r="AA11" s="42">
        <v>3.4090756455569404</v>
      </c>
      <c r="AB11" s="42">
        <v>1.8277386013739252</v>
      </c>
      <c r="AC11" s="42">
        <v>2.5305234460816957</v>
      </c>
      <c r="AD11" s="42">
        <v>2.1481494129230909</v>
      </c>
      <c r="AE11" s="42">
        <v>2.1390046157961535</v>
      </c>
      <c r="AF11" s="42">
        <v>2.1465543736233714</v>
      </c>
      <c r="AG11" s="42">
        <v>2.1587028531425547</v>
      </c>
      <c r="AH11" s="42">
        <v>25.17316744070893</v>
      </c>
      <c r="AI11" s="42">
        <v>25.173227528585496</v>
      </c>
      <c r="AJ11" s="42">
        <v>2.0945612147910371</v>
      </c>
      <c r="AK11" s="42">
        <v>2.1480626177426423</v>
      </c>
      <c r="AL11" s="42">
        <v>2.3381824804639701</v>
      </c>
      <c r="AM11" s="42">
        <v>2.2473947217147314</v>
      </c>
      <c r="AN11" s="42">
        <v>2.3110051451044673</v>
      </c>
      <c r="AO11" s="42">
        <v>2.3340120431870051</v>
      </c>
      <c r="AP11" s="42">
        <v>2.3395583975048519</v>
      </c>
      <c r="AQ11" s="42">
        <v>2.3436036220624814</v>
      </c>
      <c r="AR11" s="42">
        <v>2.3538298017654991</v>
      </c>
      <c r="AS11" s="42">
        <v>2.3739164831162034</v>
      </c>
      <c r="AT11" s="42">
        <v>2.3401175861264307</v>
      </c>
      <c r="AU11" s="42">
        <v>3.1462456104404639</v>
      </c>
      <c r="AV11" s="42">
        <v>28.370489724019787</v>
      </c>
      <c r="AW11" s="42">
        <v>28.37049163066801</v>
      </c>
      <c r="AX11" s="42">
        <v>17.456572000000001</v>
      </c>
      <c r="AY11" s="42">
        <v>17.476669000000001</v>
      </c>
      <c r="AZ11" s="42">
        <v>17.335853</v>
      </c>
      <c r="BA11" s="42">
        <v>17.448509000000001</v>
      </c>
      <c r="BB11" s="42">
        <v>17.418092999999999</v>
      </c>
      <c r="BC11" s="42">
        <v>17.395702</v>
      </c>
      <c r="BD11" s="42">
        <v>17.443269820000001</v>
      </c>
      <c r="BE11" s="42">
        <v>17.432697999999998</v>
      </c>
      <c r="BF11" s="42">
        <v>18.926172869999998</v>
      </c>
      <c r="BG11" s="42">
        <v>17.48961937</v>
      </c>
      <c r="BH11" s="42">
        <v>17.300195129999999</v>
      </c>
      <c r="BI11" s="42">
        <v>18.658176820000001</v>
      </c>
      <c r="BJ11" s="45">
        <f t="shared" si="4"/>
        <v>211.78153000999995</v>
      </c>
      <c r="BK11" s="45">
        <v>211.78153</v>
      </c>
      <c r="BL11" s="42">
        <v>17.417797919999998</v>
      </c>
      <c r="BM11" s="42">
        <v>17.40752226</v>
      </c>
      <c r="BN11" s="42">
        <v>17.411966749999998</v>
      </c>
      <c r="BO11" s="42">
        <v>17.420681569999999</v>
      </c>
      <c r="BP11" s="42">
        <v>17.415094460000002</v>
      </c>
      <c r="BQ11" s="42">
        <v>15.38691429</v>
      </c>
      <c r="BR11" s="42">
        <v>17.416137429999999</v>
      </c>
      <c r="BS11" s="42">
        <v>17.420047649999997</v>
      </c>
      <c r="BT11" s="42">
        <v>17.069017850000002</v>
      </c>
      <c r="BU11" s="42">
        <v>17.410994689999999</v>
      </c>
      <c r="BV11" s="42">
        <v>17.347805210000001</v>
      </c>
      <c r="BW11" s="42">
        <v>16.707252149999999</v>
      </c>
      <c r="BX11" s="45">
        <f t="shared" si="5"/>
        <v>205.83123222999996</v>
      </c>
      <c r="BY11" s="45">
        <v>205.83123222999996</v>
      </c>
      <c r="BZ11" s="45">
        <v>15.850774139999999</v>
      </c>
      <c r="CA11" s="45">
        <v>15.645520830000001</v>
      </c>
      <c r="CB11" s="45">
        <v>15.72433066</v>
      </c>
      <c r="CC11" s="45">
        <v>15.75511753</v>
      </c>
      <c r="CD11" s="45">
        <v>15.750644010000002</v>
      </c>
      <c r="CE11" s="45">
        <v>15.754879170000001</v>
      </c>
      <c r="CF11" s="45">
        <v>15.96380727</v>
      </c>
      <c r="CG11" s="45">
        <v>15.96229759</v>
      </c>
      <c r="CH11" s="45">
        <v>14.297422089999998</v>
      </c>
      <c r="CI11" s="45">
        <v>16.187358309999997</v>
      </c>
      <c r="CJ11" s="45">
        <v>17.190620679999999</v>
      </c>
      <c r="CK11" s="45">
        <v>13.97704573</v>
      </c>
      <c r="CL11" s="45">
        <f t="shared" si="6"/>
        <v>188.05981801000001</v>
      </c>
      <c r="CM11" s="45">
        <v>188.05981800000001</v>
      </c>
      <c r="CN11" s="45">
        <v>15.02194327</v>
      </c>
      <c r="CO11" s="45">
        <v>15.005475720000002</v>
      </c>
      <c r="CP11" s="45">
        <v>14.92720319</v>
      </c>
      <c r="CQ11" s="45">
        <v>14.96148161</v>
      </c>
      <c r="CR11" s="45">
        <v>14.978473770000001</v>
      </c>
      <c r="CS11" s="45">
        <v>14.92383924</v>
      </c>
      <c r="CT11" s="45">
        <v>14.934018439999999</v>
      </c>
      <c r="CU11" s="45">
        <v>14.998552349999999</v>
      </c>
      <c r="CV11" s="45">
        <v>14.923991760000002</v>
      </c>
      <c r="CW11" s="45">
        <v>14.932675400000001</v>
      </c>
      <c r="CX11" s="45">
        <v>14.932753910000001</v>
      </c>
      <c r="CY11" s="45">
        <v>14.99411467</v>
      </c>
      <c r="CZ11" s="45">
        <f t="shared" si="7"/>
        <v>179.53452332999998</v>
      </c>
      <c r="DA11" s="45">
        <v>179.534524</v>
      </c>
      <c r="DB11" s="45">
        <v>15.3428001</v>
      </c>
      <c r="DC11" s="45">
        <v>15.34782877</v>
      </c>
      <c r="DD11" s="45">
        <v>15.294624000000001</v>
      </c>
      <c r="DE11" s="45">
        <v>15.41632909</v>
      </c>
      <c r="DF11" s="45">
        <v>15.364442319999998</v>
      </c>
      <c r="DG11" s="45">
        <v>15.31556939</v>
      </c>
      <c r="DH11" s="45">
        <v>15.386589659999999</v>
      </c>
      <c r="DI11" s="45">
        <v>15.328411990000001</v>
      </c>
      <c r="DJ11" s="45">
        <v>15.31874723</v>
      </c>
      <c r="DK11" s="45">
        <v>15.48316176</v>
      </c>
      <c r="DL11" s="45">
        <v>15.41734776</v>
      </c>
      <c r="DM11" s="69">
        <v>16.835192929999998</v>
      </c>
      <c r="DN11" s="42">
        <f t="shared" si="8"/>
        <v>185.851045</v>
      </c>
      <c r="DO11" s="45">
        <v>185.851045</v>
      </c>
      <c r="DP11" s="42">
        <v>16.52246495</v>
      </c>
      <c r="DQ11" s="42">
        <v>16.585762850000002</v>
      </c>
      <c r="DR11" s="69">
        <v>16.483011130000001</v>
      </c>
      <c r="DS11" s="42">
        <v>16.616839479999999</v>
      </c>
      <c r="DT11" s="42">
        <v>16.495456780000001</v>
      </c>
      <c r="DU11" s="69">
        <v>16.49228527</v>
      </c>
      <c r="DV11" s="42">
        <v>16.58175357</v>
      </c>
      <c r="DW11" s="69">
        <v>16.488560460000002</v>
      </c>
      <c r="DX11" s="42">
        <v>16.487430030000002</v>
      </c>
      <c r="DY11" s="42">
        <v>16.578480190000001</v>
      </c>
      <c r="DZ11" s="69">
        <v>16.489799329999997</v>
      </c>
      <c r="EA11" s="42">
        <v>16.478183650000002</v>
      </c>
      <c r="EB11" s="42">
        <f t="shared" si="9"/>
        <v>198.30002769000004</v>
      </c>
      <c r="EC11" s="45">
        <v>198.30002500000001</v>
      </c>
      <c r="ED11" s="42">
        <v>16.673480000000001</v>
      </c>
      <c r="EE11" s="42">
        <v>16.580660999999999</v>
      </c>
      <c r="EF11" s="42">
        <v>16.562977</v>
      </c>
      <c r="EG11" s="42">
        <v>16.665943800000001</v>
      </c>
      <c r="EH11" s="42">
        <v>16.572349429999999</v>
      </c>
      <c r="EI11" s="69">
        <v>16.569542569999999</v>
      </c>
      <c r="EJ11" s="42">
        <v>16.659994189999999</v>
      </c>
      <c r="EK11" s="42">
        <v>16.577351020000002</v>
      </c>
      <c r="EL11" s="42">
        <v>16.66544867</v>
      </c>
      <c r="EM11" s="42">
        <v>16.658969920000001</v>
      </c>
      <c r="EN11" s="42">
        <v>16.416596080000001</v>
      </c>
      <c r="EO11" s="69">
        <v>38.201840269999998</v>
      </c>
      <c r="EP11" s="42">
        <f t="shared" si="10"/>
        <v>220.80515395</v>
      </c>
      <c r="EQ11" s="42">
        <v>220.80515199999999</v>
      </c>
      <c r="ER11" s="42">
        <v>21.17146477</v>
      </c>
      <c r="ES11" s="42">
        <v>20.992854560000001</v>
      </c>
      <c r="ET11" s="42">
        <v>20.99731989</v>
      </c>
      <c r="EU11" s="42">
        <v>21.13792377</v>
      </c>
      <c r="EV11" s="43">
        <v>21.18811019</v>
      </c>
      <c r="EW11" s="42">
        <v>55.813490900000005</v>
      </c>
      <c r="EX11" s="69">
        <v>21.399179870000001</v>
      </c>
      <c r="EY11" s="42">
        <v>21.013260219999999</v>
      </c>
      <c r="EZ11" s="42">
        <v>21.14064106</v>
      </c>
      <c r="FA11" s="42">
        <v>21.149925449999998</v>
      </c>
      <c r="FB11" s="42">
        <v>20.987174839999994</v>
      </c>
      <c r="FC11" s="42">
        <v>50.742899410000007</v>
      </c>
      <c r="FD11" s="42">
        <f t="shared" si="11"/>
        <v>317.73424492999999</v>
      </c>
      <c r="FE11" s="42">
        <v>317.73447199999998</v>
      </c>
      <c r="FF11" s="42">
        <v>20.134009400000004</v>
      </c>
      <c r="FG11" s="42">
        <v>20.119318280000002</v>
      </c>
      <c r="FH11" s="42">
        <v>20.20315141</v>
      </c>
      <c r="FI11" s="42">
        <v>20.425471429999998</v>
      </c>
      <c r="FJ11" s="42">
        <v>20.111523009999999</v>
      </c>
      <c r="FK11" s="42">
        <v>20.126821190000001</v>
      </c>
      <c r="FL11" s="42">
        <v>67.978304370000004</v>
      </c>
      <c r="FM11" s="42">
        <v>20.130302310000001</v>
      </c>
      <c r="FN11" s="42">
        <v>20.125562640000002</v>
      </c>
      <c r="FO11" s="42">
        <v>20.65870494</v>
      </c>
      <c r="FP11" s="42">
        <v>21.89780566</v>
      </c>
      <c r="FQ11" s="42">
        <v>20.747806690000008</v>
      </c>
      <c r="FR11" s="42">
        <f t="shared" si="12"/>
        <v>292.65878133000001</v>
      </c>
      <c r="FS11" s="42">
        <v>292.65877999999998</v>
      </c>
      <c r="FT11" s="42">
        <v>22.824670999999999</v>
      </c>
      <c r="FU11" s="42">
        <v>22.056467999999999</v>
      </c>
      <c r="FV11" s="42">
        <v>22.397515649999995</v>
      </c>
      <c r="FW11" s="42">
        <v>22.406819329999998</v>
      </c>
      <c r="FX11" s="42">
        <v>22.397238440000002</v>
      </c>
      <c r="FY11" s="42">
        <v>22.484238120000001</v>
      </c>
      <c r="FZ11" s="42">
        <v>22.479828080000001</v>
      </c>
      <c r="GA11" s="42">
        <v>22.812872689999999</v>
      </c>
      <c r="GB11" s="42">
        <v>22.40193618</v>
      </c>
      <c r="GC11" s="42">
        <v>22.882874440000002</v>
      </c>
      <c r="GD11" s="42">
        <v>22.566278430000001</v>
      </c>
      <c r="GE11" s="42">
        <v>24.526664789999998</v>
      </c>
      <c r="GF11" s="42">
        <f t="shared" si="13"/>
        <v>272.23740515000003</v>
      </c>
      <c r="GG11" s="42">
        <v>272.30612100000002</v>
      </c>
      <c r="GH11" s="42">
        <v>24.349360719999993</v>
      </c>
      <c r="GI11" s="42">
        <v>24.164593409999995</v>
      </c>
      <c r="GJ11" s="42">
        <v>24.226088739999998</v>
      </c>
      <c r="GK11" s="42">
        <v>24.233989889999993</v>
      </c>
      <c r="GL11" s="42">
        <v>24.312081179999996</v>
      </c>
      <c r="GM11" s="42">
        <v>24.173225919999997</v>
      </c>
      <c r="GN11" s="42">
        <v>24.225587239999992</v>
      </c>
      <c r="GO11" s="42">
        <v>24.179221629999997</v>
      </c>
      <c r="GP11" s="42">
        <v>24.174288429999994</v>
      </c>
      <c r="GQ11" s="42">
        <v>24.255397989999999</v>
      </c>
      <c r="GR11" s="42">
        <v>24.167465269999997</v>
      </c>
      <c r="GS11" s="42">
        <v>20.171607160000001</v>
      </c>
      <c r="GT11" s="42">
        <f t="shared" si="14"/>
        <v>286.63290757999994</v>
      </c>
      <c r="GU11" s="42">
        <v>286.63290799999999</v>
      </c>
      <c r="GV11" s="42">
        <v>26.853159529999999</v>
      </c>
      <c r="GW11" s="42">
        <v>26.781919250000001</v>
      </c>
      <c r="GX11" s="42">
        <v>27.275878369999997</v>
      </c>
      <c r="GY11" s="42">
        <v>27.284707450000006</v>
      </c>
      <c r="GZ11" s="42">
        <v>27.198583840000001</v>
      </c>
      <c r="HA11" s="42">
        <v>27.207842370000002</v>
      </c>
      <c r="HB11" s="42">
        <v>27.252038619999997</v>
      </c>
      <c r="HC11" s="42">
        <v>27.223367969999998</v>
      </c>
      <c r="HD11" s="42">
        <v>27.18670431</v>
      </c>
      <c r="HE11" s="42">
        <v>26.45903113</v>
      </c>
      <c r="HF11" s="42">
        <v>27.292708609999998</v>
      </c>
      <c r="HG11" s="42">
        <v>25.903781560000002</v>
      </c>
      <c r="HH11" s="42">
        <f t="shared" si="15"/>
        <v>323.91972301000004</v>
      </c>
      <c r="HI11" s="42">
        <v>30.43564276</v>
      </c>
      <c r="HJ11" s="42">
        <v>30.148863770000002</v>
      </c>
      <c r="HK11" s="42">
        <v>31.343583810000002</v>
      </c>
      <c r="HL11" s="42">
        <v>30.841066410000003</v>
      </c>
      <c r="HM11" s="42"/>
      <c r="HN11" s="42"/>
      <c r="HO11" s="42"/>
      <c r="HP11" s="42"/>
      <c r="HQ11" s="42"/>
      <c r="HR11" s="42"/>
      <c r="HS11" s="42"/>
      <c r="HT11" s="42"/>
      <c r="HU11" s="300">
        <f t="shared" si="16"/>
        <v>108.19566500000001</v>
      </c>
      <c r="HV11" s="300">
        <f t="shared" si="17"/>
        <v>122.76915700000001</v>
      </c>
      <c r="HW11" s="280">
        <f t="shared" si="18"/>
        <v>14.573492000000002</v>
      </c>
      <c r="HX11" s="280">
        <f t="shared" si="19"/>
        <v>13.469571077547343</v>
      </c>
    </row>
    <row r="12" spans="1:232" s="12" customFormat="1" ht="20.25" hidden="1" customHeight="1">
      <c r="A12" s="51" t="s">
        <v>221</v>
      </c>
      <c r="B12" s="13"/>
      <c r="C12" s="51" t="s">
        <v>107</v>
      </c>
      <c r="D12" s="45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5"/>
      <c r="BK12" s="45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>
        <f t="shared" si="7"/>
        <v>0</v>
      </c>
      <c r="DA12" s="45"/>
      <c r="DB12" s="45">
        <v>4.1780379999999999E-2</v>
      </c>
      <c r="DC12" s="45">
        <v>9.8462000000000007E-4</v>
      </c>
      <c r="DD12" s="45">
        <v>6.429000000000001E-5</v>
      </c>
      <c r="DE12" s="45">
        <v>0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0</v>
      </c>
      <c r="DM12" s="69">
        <v>2.3468999999999999E-4</v>
      </c>
      <c r="DN12" s="42">
        <f>SUM(DB12:DM12)</f>
        <v>4.3063980000000002E-2</v>
      </c>
      <c r="DO12" s="45">
        <v>4.2828999999999999E-2</v>
      </c>
      <c r="DP12" s="42">
        <v>2.2260790000000003E-2</v>
      </c>
      <c r="DQ12" s="42">
        <v>2.5756999999999999E-4</v>
      </c>
      <c r="DR12" s="69">
        <v>0</v>
      </c>
      <c r="DS12" s="42">
        <v>0</v>
      </c>
      <c r="DT12" s="42">
        <v>0</v>
      </c>
      <c r="DU12" s="69">
        <v>0</v>
      </c>
      <c r="DV12" s="42">
        <v>0</v>
      </c>
      <c r="DW12" s="69">
        <v>0</v>
      </c>
      <c r="DX12" s="42">
        <v>0</v>
      </c>
      <c r="DY12" s="42">
        <v>0</v>
      </c>
      <c r="DZ12" s="69">
        <v>0</v>
      </c>
      <c r="EA12" s="42">
        <v>0</v>
      </c>
      <c r="EB12" s="42">
        <f>SUM(DP12:EA12)</f>
        <v>2.2518360000000001E-2</v>
      </c>
      <c r="EC12" s="45">
        <v>2.2519000000000001E-2</v>
      </c>
      <c r="ED12" s="42">
        <v>1.7148759999999999E-2</v>
      </c>
      <c r="EE12" s="42">
        <v>1.88557E-3</v>
      </c>
      <c r="EF12" s="42">
        <v>2.4444000000000001E-4</v>
      </c>
      <c r="EG12" s="42">
        <v>0</v>
      </c>
      <c r="EH12" s="42">
        <v>0</v>
      </c>
      <c r="EI12" s="69">
        <v>0</v>
      </c>
      <c r="EJ12" s="179"/>
      <c r="EK12" s="42"/>
      <c r="EL12" s="42">
        <v>0</v>
      </c>
      <c r="EM12" s="42">
        <v>0</v>
      </c>
      <c r="EN12" s="42">
        <v>0</v>
      </c>
      <c r="EO12" s="69">
        <v>0</v>
      </c>
      <c r="EP12" s="42">
        <f>SUM(ED12:EO12)</f>
        <v>1.9278769999999997E-2</v>
      </c>
      <c r="EQ12" s="42">
        <v>1.9279000000000001E-2</v>
      </c>
      <c r="ER12" s="42">
        <v>3.3287529999999996E-2</v>
      </c>
      <c r="ES12" s="42">
        <v>1.1774999999999999E-3</v>
      </c>
      <c r="ET12" s="42">
        <v>0</v>
      </c>
      <c r="EU12" s="42">
        <v>0</v>
      </c>
      <c r="EV12" s="43">
        <v>0</v>
      </c>
      <c r="EW12" s="42">
        <v>0</v>
      </c>
      <c r="EX12" s="69">
        <v>0</v>
      </c>
      <c r="EY12" s="42">
        <v>0</v>
      </c>
      <c r="EZ12" s="42">
        <v>0</v>
      </c>
      <c r="FA12" s="42">
        <v>0</v>
      </c>
      <c r="FB12" s="42">
        <v>0</v>
      </c>
      <c r="FC12" s="42"/>
      <c r="FD12" s="42">
        <f>SUM(ER12:FC12)</f>
        <v>3.4465029999999994E-2</v>
      </c>
      <c r="FE12" s="42">
        <v>3.4465000000000003E-2</v>
      </c>
      <c r="FF12" s="42"/>
      <c r="FG12" s="42">
        <v>0</v>
      </c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>
        <f>SUM(FF12:FQ12)</f>
        <v>0</v>
      </c>
      <c r="FS12" s="42"/>
      <c r="FT12" s="42">
        <v>6.4811439999999998E-2</v>
      </c>
      <c r="FU12" s="42">
        <v>3.9047499999999998E-3</v>
      </c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>
        <f t="shared" si="13"/>
        <v>6.8716189999999996E-2</v>
      </c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>
        <f t="shared" si="14"/>
        <v>0</v>
      </c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>
        <f t="shared" si="15"/>
        <v>0</v>
      </c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300">
        <f t="shared" si="16"/>
        <v>0</v>
      </c>
      <c r="HV12" s="300">
        <f t="shared" si="17"/>
        <v>0</v>
      </c>
      <c r="HW12" s="280"/>
      <c r="HX12" s="280"/>
    </row>
    <row r="13" spans="1:232" s="12" customFormat="1" ht="20.25" hidden="1" customHeight="1">
      <c r="A13" s="46" t="s">
        <v>111</v>
      </c>
      <c r="B13" s="13"/>
      <c r="C13" s="46" t="s">
        <v>113</v>
      </c>
      <c r="D13" s="4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>
        <v>7.6840000000000003E-5</v>
      </c>
      <c r="AN13" s="42">
        <v>-7.6840000000000003E-5</v>
      </c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5"/>
      <c r="BK13" s="45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5">
        <f t="shared" si="5"/>
        <v>0</v>
      </c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>
        <f t="shared" si="6"/>
        <v>0</v>
      </c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>
        <f>SUM(CN13:CY13)</f>
        <v>0</v>
      </c>
      <c r="DA13" s="45"/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69">
        <v>0</v>
      </c>
      <c r="DN13" s="42">
        <f t="shared" si="8"/>
        <v>0</v>
      </c>
      <c r="DO13" s="45"/>
      <c r="DP13" s="42">
        <v>0</v>
      </c>
      <c r="DQ13" s="42">
        <v>0</v>
      </c>
      <c r="DR13" s="69">
        <v>0</v>
      </c>
      <c r="DS13" s="42">
        <v>0</v>
      </c>
      <c r="DT13" s="42">
        <v>0</v>
      </c>
      <c r="DU13" s="69">
        <v>0</v>
      </c>
      <c r="DV13" s="42">
        <v>0</v>
      </c>
      <c r="DW13" s="69">
        <v>0</v>
      </c>
      <c r="DX13" s="42">
        <v>0</v>
      </c>
      <c r="DY13" s="42">
        <v>0</v>
      </c>
      <c r="DZ13" s="69">
        <v>0</v>
      </c>
      <c r="EA13" s="42">
        <v>0</v>
      </c>
      <c r="EB13" s="42">
        <f t="shared" si="9"/>
        <v>0</v>
      </c>
      <c r="EC13" s="45"/>
      <c r="ED13" s="42">
        <v>0</v>
      </c>
      <c r="EE13" s="42"/>
      <c r="EF13" s="42">
        <v>0</v>
      </c>
      <c r="EG13" s="42"/>
      <c r="EH13" s="42"/>
      <c r="EJ13" s="42"/>
      <c r="EK13" s="42"/>
      <c r="EL13" s="42">
        <v>0</v>
      </c>
      <c r="EM13" s="42">
        <v>0</v>
      </c>
      <c r="EN13" s="42">
        <v>0</v>
      </c>
      <c r="EO13" s="69">
        <v>0</v>
      </c>
      <c r="EP13" s="42">
        <f t="shared" si="10"/>
        <v>0</v>
      </c>
      <c r="EQ13" s="42"/>
      <c r="ER13" s="42">
        <v>0</v>
      </c>
      <c r="ES13" s="42">
        <v>0</v>
      </c>
      <c r="ET13" s="42">
        <v>0</v>
      </c>
      <c r="EU13" s="42">
        <v>0</v>
      </c>
      <c r="EV13" s="43">
        <v>0</v>
      </c>
      <c r="EW13" s="42">
        <v>0</v>
      </c>
      <c r="EX13" s="69">
        <v>0</v>
      </c>
      <c r="EY13" s="42">
        <v>0</v>
      </c>
      <c r="EZ13" s="42">
        <v>0</v>
      </c>
      <c r="FA13" s="42">
        <v>0</v>
      </c>
      <c r="FB13" s="42">
        <v>0</v>
      </c>
      <c r="FC13" s="42"/>
      <c r="FD13" s="42">
        <f t="shared" si="11"/>
        <v>0</v>
      </c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>
        <f t="shared" si="12"/>
        <v>0</v>
      </c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>
        <f t="shared" si="13"/>
        <v>0</v>
      </c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>
        <f t="shared" si="14"/>
        <v>0</v>
      </c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>
        <f t="shared" si="15"/>
        <v>0</v>
      </c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300">
        <f t="shared" si="16"/>
        <v>0</v>
      </c>
      <c r="HV13" s="300">
        <f t="shared" si="17"/>
        <v>0</v>
      </c>
      <c r="HW13" s="280">
        <f t="shared" si="18"/>
        <v>0</v>
      </c>
      <c r="HX13" s="280"/>
    </row>
    <row r="14" spans="1:232" s="12" customFormat="1" ht="21" customHeight="1">
      <c r="A14" s="51"/>
      <c r="B14" s="13"/>
      <c r="C14" s="51"/>
      <c r="D14" s="4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5"/>
      <c r="BK14" s="137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5">
        <f t="shared" si="5"/>
        <v>0</v>
      </c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>
        <f t="shared" si="6"/>
        <v>0</v>
      </c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>
        <f t="shared" si="7"/>
        <v>0</v>
      </c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69"/>
      <c r="DN14" s="42">
        <f t="shared" si="8"/>
        <v>0</v>
      </c>
      <c r="DO14" s="45"/>
      <c r="DP14" s="42"/>
      <c r="DQ14" s="42"/>
      <c r="DR14" s="69"/>
      <c r="DS14" s="42"/>
      <c r="DT14" s="42"/>
      <c r="DU14" s="69"/>
      <c r="DV14" s="42"/>
      <c r="DW14" s="69"/>
      <c r="DX14" s="42"/>
      <c r="DY14" s="42"/>
      <c r="DZ14" s="69"/>
      <c r="EA14" s="42"/>
      <c r="EB14" s="42"/>
      <c r="EC14" s="45"/>
      <c r="ED14" s="42"/>
      <c r="EE14" s="42"/>
      <c r="EF14" s="42"/>
      <c r="EG14" s="42"/>
      <c r="EH14" s="69"/>
      <c r="EI14" s="42"/>
      <c r="EJ14" s="42"/>
      <c r="EK14" s="42"/>
      <c r="EL14" s="42"/>
      <c r="EM14" s="42"/>
      <c r="EN14" s="42"/>
      <c r="EO14" s="69"/>
      <c r="EP14" s="42"/>
      <c r="EQ14" s="42"/>
      <c r="ER14" s="42"/>
      <c r="ES14" s="42"/>
      <c r="ET14" s="42"/>
      <c r="EU14" s="42"/>
      <c r="EV14" s="69"/>
      <c r="EW14" s="42"/>
      <c r="EX14" s="69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300"/>
      <c r="HV14" s="300"/>
      <c r="HW14" s="280"/>
      <c r="HX14" s="280"/>
    </row>
    <row r="15" spans="1:232" s="12" customFormat="1" ht="20">
      <c r="A15" s="53" t="s">
        <v>114</v>
      </c>
      <c r="B15" s="13"/>
      <c r="C15" s="53" t="s">
        <v>115</v>
      </c>
      <c r="D15" s="54">
        <v>1298.285187619877</v>
      </c>
      <c r="E15" s="53">
        <v>1727.131995549257</v>
      </c>
      <c r="F15" s="53">
        <v>2079.4880720656115</v>
      </c>
      <c r="G15" s="53">
        <v>2154.0411537213795</v>
      </c>
      <c r="H15" s="53">
        <v>155.72256418574739</v>
      </c>
      <c r="I15" s="53">
        <v>166.32294584265316</v>
      </c>
      <c r="J15" s="53">
        <v>170.96115133095432</v>
      </c>
      <c r="K15" s="53">
        <v>165.7983207266891</v>
      </c>
      <c r="L15" s="53">
        <v>164.09461243817626</v>
      </c>
      <c r="M15" s="53">
        <v>164.18336549023621</v>
      </c>
      <c r="N15" s="53">
        <v>158.45360868748614</v>
      </c>
      <c r="O15" s="53">
        <v>168.29697753569985</v>
      </c>
      <c r="P15" s="53">
        <v>161.43554248410655</v>
      </c>
      <c r="Q15" s="53">
        <v>159.32381005230476</v>
      </c>
      <c r="R15" s="53">
        <v>170.5386466212486</v>
      </c>
      <c r="S15" s="53">
        <v>158.04555039527381</v>
      </c>
      <c r="T15" s="53">
        <v>1963.1770957905758</v>
      </c>
      <c r="U15" s="53">
        <v>1963.1822698789422</v>
      </c>
      <c r="V15" s="53">
        <v>172.63427214415398</v>
      </c>
      <c r="W15" s="53">
        <v>166.43495799682415</v>
      </c>
      <c r="X15" s="53">
        <v>186.70970284745104</v>
      </c>
      <c r="Y15" s="53">
        <v>178.04740190721736</v>
      </c>
      <c r="Z15" s="53">
        <v>146.14880073249441</v>
      </c>
      <c r="AA15" s="53">
        <v>150.09715084148638</v>
      </c>
      <c r="AB15" s="53">
        <v>167.99369240926347</v>
      </c>
      <c r="AC15" s="53">
        <v>164.29797070022369</v>
      </c>
      <c r="AD15" s="53">
        <v>159.85199287425797</v>
      </c>
      <c r="AE15" s="53">
        <v>170.34497669335974</v>
      </c>
      <c r="AF15" s="53">
        <v>165.85139526809755</v>
      </c>
      <c r="AG15" s="53">
        <v>166.67416946972415</v>
      </c>
      <c r="AH15" s="53">
        <v>1995.0864838845539</v>
      </c>
      <c r="AI15" s="53">
        <v>1995.088724594624</v>
      </c>
      <c r="AJ15" s="53">
        <v>168.4018332280408</v>
      </c>
      <c r="AK15" s="53">
        <v>169.40069635346416</v>
      </c>
      <c r="AL15" s="53">
        <v>170.72695232241139</v>
      </c>
      <c r="AM15" s="53">
        <v>193.58336605938493</v>
      </c>
      <c r="AN15" s="53">
        <v>148.93054393543576</v>
      </c>
      <c r="AO15" s="53">
        <v>165.35742255308736</v>
      </c>
      <c r="AP15" s="53">
        <v>173.23223259970064</v>
      </c>
      <c r="AQ15" s="53">
        <v>165.35268296708614</v>
      </c>
      <c r="AR15" s="53">
        <v>174.73160511323215</v>
      </c>
      <c r="AS15" s="53">
        <v>176.90551704315854</v>
      </c>
      <c r="AT15" s="53">
        <v>184.37213647048114</v>
      </c>
      <c r="AU15" s="53">
        <v>203.17299133186492</v>
      </c>
      <c r="AV15" s="53">
        <v>2094.1679799773478</v>
      </c>
      <c r="AW15" s="53">
        <v>2094.1680397379641</v>
      </c>
      <c r="AX15" s="53">
        <f>AX16+AX37</f>
        <v>139.216669</v>
      </c>
      <c r="AY15" s="53">
        <f>AY16+AY37</f>
        <v>176.402387</v>
      </c>
      <c r="AZ15" s="53">
        <f t="shared" ref="AZ15:BG15" si="20">AZ16+AZ37</f>
        <v>175.02249600000002</v>
      </c>
      <c r="BA15" s="53">
        <f t="shared" si="20"/>
        <v>217.13115400000001</v>
      </c>
      <c r="BB15" s="53">
        <f t="shared" si="20"/>
        <v>135.10394300000002</v>
      </c>
      <c r="BC15" s="53">
        <f t="shared" si="20"/>
        <v>176.78147900000002</v>
      </c>
      <c r="BD15" s="53">
        <f t="shared" si="20"/>
        <v>177.40516664</v>
      </c>
      <c r="BE15" s="53">
        <f t="shared" si="20"/>
        <v>169.43293699999998</v>
      </c>
      <c r="BF15" s="53">
        <f t="shared" si="20"/>
        <v>183.19786595000002</v>
      </c>
      <c r="BG15" s="53">
        <f t="shared" si="20"/>
        <v>179.07371438000004</v>
      </c>
      <c r="BH15" s="53">
        <f>BH16+BH37</f>
        <v>174.38196826999999</v>
      </c>
      <c r="BI15" s="53">
        <f>BI16+BI37</f>
        <v>218.60471708999998</v>
      </c>
      <c r="BJ15" s="54">
        <f t="shared" si="4"/>
        <v>2121.75449733</v>
      </c>
      <c r="BK15" s="54">
        <f>BK16+BK37</f>
        <v>2121.7545</v>
      </c>
      <c r="BL15" s="53">
        <f>BL16+BL37</f>
        <v>146.75883397000001</v>
      </c>
      <c r="BM15" s="53">
        <v>184.09521849999999</v>
      </c>
      <c r="BN15" s="53">
        <v>221.43650722999996</v>
      </c>
      <c r="BO15" s="53">
        <v>186.26244231000001</v>
      </c>
      <c r="BP15" s="53">
        <v>145.05780581000002</v>
      </c>
      <c r="BQ15" s="53">
        <v>202.68863988999999</v>
      </c>
      <c r="BR15" s="53">
        <v>182.22909837000003</v>
      </c>
      <c r="BS15" s="53">
        <v>168.72143775000004</v>
      </c>
      <c r="BT15" s="53">
        <v>201.47237555999996</v>
      </c>
      <c r="BU15" s="53">
        <v>170.85351258000003</v>
      </c>
      <c r="BV15" s="53">
        <v>186.72868993999998</v>
      </c>
      <c r="BW15" s="53">
        <v>206.80453006000005</v>
      </c>
      <c r="BX15" s="54">
        <f t="shared" si="5"/>
        <v>2203.10909197</v>
      </c>
      <c r="BY15" s="54">
        <f>BY16+BY37</f>
        <v>2203.1090896500004</v>
      </c>
      <c r="BZ15" s="54">
        <v>169.84246782</v>
      </c>
      <c r="CA15" s="54">
        <v>193.46969720000004</v>
      </c>
      <c r="CB15" s="54">
        <v>209.86621653999995</v>
      </c>
      <c r="CC15" s="54">
        <v>194.55086351999998</v>
      </c>
      <c r="CD15" s="54">
        <v>189.37445424000001</v>
      </c>
      <c r="CE15" s="54">
        <v>191.41191111999998</v>
      </c>
      <c r="CF15" s="54">
        <v>172.27283684999998</v>
      </c>
      <c r="CG15" s="54">
        <v>208.21365997000001</v>
      </c>
      <c r="CH15" s="54">
        <v>193.36058416</v>
      </c>
      <c r="CI15" s="54">
        <v>176.19151043000005</v>
      </c>
      <c r="CJ15" s="54">
        <v>209.66667957999999</v>
      </c>
      <c r="CK15" s="54">
        <v>182.56851293999998</v>
      </c>
      <c r="CL15" s="54">
        <f t="shared" si="6"/>
        <v>2290.7893943700001</v>
      </c>
      <c r="CM15" s="54">
        <f>CM16+CM37</f>
        <v>2290.7893960000006</v>
      </c>
      <c r="CN15" s="54">
        <v>210.13711692000001</v>
      </c>
      <c r="CO15" s="54">
        <v>197.15260104000001</v>
      </c>
      <c r="CP15" s="54">
        <v>202.93244506000002</v>
      </c>
      <c r="CQ15" s="54">
        <v>217.27378963999996</v>
      </c>
      <c r="CR15" s="54">
        <v>175.85637643000004</v>
      </c>
      <c r="CS15" s="54">
        <v>197.55041271999997</v>
      </c>
      <c r="CT15" s="54">
        <v>178.03294251</v>
      </c>
      <c r="CU15" s="54">
        <v>212.87779546999997</v>
      </c>
      <c r="CV15" s="54">
        <v>184.55311781999998</v>
      </c>
      <c r="CW15" s="54">
        <v>217.42687320000005</v>
      </c>
      <c r="CX15" s="54">
        <v>202.34172273000001</v>
      </c>
      <c r="CY15" s="54">
        <v>194.21663476000001</v>
      </c>
      <c r="CZ15" s="54">
        <f t="shared" si="7"/>
        <v>2390.3518283000003</v>
      </c>
      <c r="DA15" s="54">
        <f>DA16+DA37</f>
        <v>2390.3518279999998</v>
      </c>
      <c r="DB15" s="54">
        <v>216.6930208</v>
      </c>
      <c r="DC15" s="54">
        <v>206.90863479999993</v>
      </c>
      <c r="DD15" s="54">
        <v>213.42858765999995</v>
      </c>
      <c r="DE15" s="54">
        <v>223.54746243999986</v>
      </c>
      <c r="DF15" s="54">
        <v>194.25357908999996</v>
      </c>
      <c r="DG15" s="54">
        <v>197.16365643999995</v>
      </c>
      <c r="DH15" s="54">
        <v>219.85613323000001</v>
      </c>
      <c r="DI15" s="54">
        <v>210.49613929</v>
      </c>
      <c r="DJ15" s="54">
        <v>195.30529179999996</v>
      </c>
      <c r="DK15" s="54">
        <v>237.05562364000008</v>
      </c>
      <c r="DL15" s="54">
        <v>221.51864413999994</v>
      </c>
      <c r="DM15" s="75">
        <v>243.86588235999997</v>
      </c>
      <c r="DN15" s="53">
        <f t="shared" si="8"/>
        <v>2580.0926556899999</v>
      </c>
      <c r="DO15" s="54">
        <f>DO16+DO37</f>
        <v>2580.0912269999999</v>
      </c>
      <c r="DP15" s="53">
        <v>205.51875502999999</v>
      </c>
      <c r="DQ15" s="53">
        <v>224.87897514000002</v>
      </c>
      <c r="DR15" s="75">
        <v>213.06643087999996</v>
      </c>
      <c r="DS15" s="53">
        <v>256.88617350999994</v>
      </c>
      <c r="DT15" s="53">
        <v>207.94697528999998</v>
      </c>
      <c r="DU15" s="75">
        <v>207.93244985999999</v>
      </c>
      <c r="DV15" s="53">
        <v>239.13658014000004</v>
      </c>
      <c r="DW15" s="75">
        <v>207.65618684999998</v>
      </c>
      <c r="DX15" s="53">
        <v>229.68900498000002</v>
      </c>
      <c r="DY15" s="53">
        <v>256.4957551600001</v>
      </c>
      <c r="DZ15" s="75">
        <v>225.36304130000002</v>
      </c>
      <c r="EA15" s="53">
        <v>276.19500538999995</v>
      </c>
      <c r="EB15" s="53">
        <f t="shared" si="9"/>
        <v>2750.7653335300001</v>
      </c>
      <c r="EC15" s="54">
        <f>EC16+EC37</f>
        <v>2750.7653329999998</v>
      </c>
      <c r="ED15" s="53">
        <v>235.78144470000004</v>
      </c>
      <c r="EE15" s="53">
        <v>229.20223733</v>
      </c>
      <c r="EF15" s="75">
        <v>268.42603206000001</v>
      </c>
      <c r="EG15" s="53">
        <v>267.90680473000003</v>
      </c>
      <c r="EH15" s="53">
        <v>217.2254416099999</v>
      </c>
      <c r="EI15" s="53">
        <v>268.17787807999986</v>
      </c>
      <c r="EJ15" s="53">
        <v>232.3977931</v>
      </c>
      <c r="EK15" s="53">
        <v>232.00005263999998</v>
      </c>
      <c r="EL15" s="53">
        <v>266.85581147999994</v>
      </c>
      <c r="EM15" s="53">
        <v>234.65530576000003</v>
      </c>
      <c r="EN15" s="53">
        <v>257.57036436000004</v>
      </c>
      <c r="EO15" s="75">
        <v>282.44628352000018</v>
      </c>
      <c r="EP15" s="53">
        <f t="shared" si="10"/>
        <v>2992.6454493699998</v>
      </c>
      <c r="EQ15" s="54">
        <f>EQ16+EQ37</f>
        <v>2992.6454500000004</v>
      </c>
      <c r="ER15" s="53">
        <v>245.02160283000001</v>
      </c>
      <c r="ES15" s="53">
        <v>264.13980256999992</v>
      </c>
      <c r="ET15" s="75">
        <v>304.16759483000004</v>
      </c>
      <c r="EU15" s="53">
        <v>266.30584263999998</v>
      </c>
      <c r="EV15" s="61">
        <v>243.23111800000001</v>
      </c>
      <c r="EW15" s="53">
        <v>277.70546079000002</v>
      </c>
      <c r="EX15" s="75">
        <v>241.03807406000001</v>
      </c>
      <c r="EY15" s="53">
        <v>273.53456054000003</v>
      </c>
      <c r="EZ15" s="53">
        <v>262.89069720999993</v>
      </c>
      <c r="FA15" s="53">
        <v>249.947821</v>
      </c>
      <c r="FB15" s="53">
        <v>284.91762399999999</v>
      </c>
      <c r="FC15" s="53">
        <v>296.68698386999995</v>
      </c>
      <c r="FD15" s="53">
        <f t="shared" si="11"/>
        <v>3209.5871823400003</v>
      </c>
      <c r="FE15" s="54">
        <f>FE16+FE37</f>
        <v>3209.5871810000003</v>
      </c>
      <c r="FF15" s="53">
        <v>265.36662044000002</v>
      </c>
      <c r="FG15" s="53">
        <v>301.12213484999972</v>
      </c>
      <c r="FH15" s="53">
        <v>311.44910354999985</v>
      </c>
      <c r="FI15" s="53">
        <v>292.90869565000003</v>
      </c>
      <c r="FJ15" s="53">
        <v>276.05581411999998</v>
      </c>
      <c r="FK15" s="53">
        <v>272.36903666999996</v>
      </c>
      <c r="FL15" s="53">
        <v>248.83314229000007</v>
      </c>
      <c r="FM15" s="53">
        <v>300.86701075000002</v>
      </c>
      <c r="FN15" s="53">
        <v>368.20206208999997</v>
      </c>
      <c r="FO15" s="53">
        <v>298.05141809999986</v>
      </c>
      <c r="FP15" s="53">
        <v>347.4936928300001</v>
      </c>
      <c r="FQ15" s="53">
        <v>306.91174908999983</v>
      </c>
      <c r="FR15" s="53">
        <f t="shared" si="12"/>
        <v>3589.6304804299989</v>
      </c>
      <c r="FS15" s="54">
        <f>FS16+FS37</f>
        <v>3589.6304800000003</v>
      </c>
      <c r="FT15" s="53">
        <v>364.90521285999989</v>
      </c>
      <c r="FU15" s="53">
        <v>338.75330067000004</v>
      </c>
      <c r="FV15" s="53">
        <v>346.0877598400001</v>
      </c>
      <c r="FW15" s="53">
        <v>349.81634816999991</v>
      </c>
      <c r="FX15" s="53">
        <v>311.04183935000003</v>
      </c>
      <c r="FY15" s="53">
        <v>328.13966420000008</v>
      </c>
      <c r="FZ15" s="53">
        <v>293.93646448999993</v>
      </c>
      <c r="GA15" s="53">
        <v>354.47108375000005</v>
      </c>
      <c r="GB15" s="53">
        <v>298.87827929000008</v>
      </c>
      <c r="GC15" s="53">
        <v>331.47876240999994</v>
      </c>
      <c r="GD15" s="53">
        <v>349.79326602000032</v>
      </c>
      <c r="GE15" s="53">
        <v>320.96442743999989</v>
      </c>
      <c r="GF15" s="53">
        <f t="shared" si="13"/>
        <v>3988.2664084900002</v>
      </c>
      <c r="GG15" s="54">
        <f>GG16+GG37</f>
        <v>3988.2664070000001</v>
      </c>
      <c r="GH15" s="53">
        <v>384.08264101000009</v>
      </c>
      <c r="GI15" s="53">
        <v>354.88367021000016</v>
      </c>
      <c r="GJ15" s="53">
        <v>327.12669612000008</v>
      </c>
      <c r="GK15" s="53">
        <v>361.92633219999982</v>
      </c>
      <c r="GL15" s="53">
        <v>349.32547698000002</v>
      </c>
      <c r="GM15" s="53">
        <v>346.07669369000001</v>
      </c>
      <c r="GN15" s="53">
        <v>352.48513959999997</v>
      </c>
      <c r="GO15" s="53">
        <v>350.61446241000004</v>
      </c>
      <c r="GP15" s="53">
        <v>356.70781605999991</v>
      </c>
      <c r="GQ15" s="53">
        <v>376.13474137999992</v>
      </c>
      <c r="GR15" s="53">
        <v>374.05955856999998</v>
      </c>
      <c r="GS15" s="53">
        <v>378.46633363999996</v>
      </c>
      <c r="GT15" s="53">
        <f t="shared" si="14"/>
        <v>4311.8895618699999</v>
      </c>
      <c r="GU15" s="54">
        <f>GU16+GU37</f>
        <v>4311.8895619999994</v>
      </c>
      <c r="GV15" s="53">
        <v>385.05931139999996</v>
      </c>
      <c r="GW15" s="53">
        <v>382.31642269000008</v>
      </c>
      <c r="GX15" s="53">
        <v>381.99531788999991</v>
      </c>
      <c r="GY15" s="53">
        <v>445.21819496000018</v>
      </c>
      <c r="GZ15" s="53">
        <v>318.52961986000003</v>
      </c>
      <c r="HA15" s="53">
        <v>374.58323345999986</v>
      </c>
      <c r="HB15" s="53">
        <v>383.75959828000026</v>
      </c>
      <c r="HC15" s="53">
        <v>378.06376706999998</v>
      </c>
      <c r="HD15" s="53">
        <v>396.58540724000005</v>
      </c>
      <c r="HE15" s="53">
        <v>405.00633397999991</v>
      </c>
      <c r="HF15" s="53">
        <v>401.27163918999997</v>
      </c>
      <c r="HG15" s="53">
        <v>461.74251105000013</v>
      </c>
      <c r="HH15" s="53">
        <f t="shared" si="15"/>
        <v>4714.1313570700004</v>
      </c>
      <c r="HI15" s="53">
        <v>363.38657853999996</v>
      </c>
      <c r="HJ15" s="53">
        <v>415.26681387999997</v>
      </c>
      <c r="HK15" s="53">
        <v>429.39686532999991</v>
      </c>
      <c r="HL15" s="53">
        <v>471.91720112000007</v>
      </c>
      <c r="HM15" s="53"/>
      <c r="HN15" s="53"/>
      <c r="HO15" s="53"/>
      <c r="HP15" s="53"/>
      <c r="HQ15" s="53"/>
      <c r="HR15" s="53"/>
      <c r="HS15" s="53"/>
      <c r="HT15" s="53"/>
      <c r="HU15" s="301">
        <f t="shared" si="16"/>
        <v>1594.5892469999999</v>
      </c>
      <c r="HV15" s="301">
        <f t="shared" si="17"/>
        <v>1679.967459</v>
      </c>
      <c r="HW15" s="279">
        <f t="shared" si="18"/>
        <v>85.378212000000076</v>
      </c>
      <c r="HX15" s="279">
        <f t="shared" si="19"/>
        <v>5.3542448101056408</v>
      </c>
    </row>
    <row r="16" spans="1:232" s="12" customFormat="1" ht="20.5">
      <c r="A16" s="42" t="s">
        <v>116</v>
      </c>
      <c r="B16" s="13" t="s">
        <v>28</v>
      </c>
      <c r="C16" s="42" t="s">
        <v>117</v>
      </c>
      <c r="D16" s="45">
        <v>1297.3767095804806</v>
      </c>
      <c r="E16" s="42">
        <v>1724.9753217113164</v>
      </c>
      <c r="F16" s="42">
        <v>2077.4982925538275</v>
      </c>
      <c r="G16" s="42">
        <v>2154.0247750439671</v>
      </c>
      <c r="H16" s="42">
        <v>155.72256418574739</v>
      </c>
      <c r="I16" s="42">
        <v>166.32294584265316</v>
      </c>
      <c r="J16" s="42">
        <v>170.96115133095432</v>
      </c>
      <c r="K16" s="42">
        <v>165.7983207266891</v>
      </c>
      <c r="L16" s="42">
        <v>164.08745112435335</v>
      </c>
      <c r="M16" s="42">
        <v>164.18244062355933</v>
      </c>
      <c r="N16" s="42">
        <v>158.45181444613291</v>
      </c>
      <c r="O16" s="42">
        <v>168.27541675915333</v>
      </c>
      <c r="P16" s="42">
        <v>161.42523093209488</v>
      </c>
      <c r="Q16" s="42">
        <v>159.31754372485076</v>
      </c>
      <c r="R16" s="42">
        <v>170.52825254267194</v>
      </c>
      <c r="S16" s="42">
        <v>158.04249122088095</v>
      </c>
      <c r="T16" s="42">
        <v>1963.1156234597413</v>
      </c>
      <c r="U16" s="42">
        <v>1963.1207975481075</v>
      </c>
      <c r="V16" s="42">
        <v>172.63427214415398</v>
      </c>
      <c r="W16" s="42">
        <v>166.41646066328593</v>
      </c>
      <c r="X16" s="42">
        <v>186.70970284745104</v>
      </c>
      <c r="Y16" s="42">
        <v>178.04740190721736</v>
      </c>
      <c r="Z16" s="42">
        <v>146.14781183658602</v>
      </c>
      <c r="AA16" s="42">
        <v>149.83844428887713</v>
      </c>
      <c r="AB16" s="42">
        <v>167.9456832915009</v>
      </c>
      <c r="AC16" s="42">
        <v>164.27621783598275</v>
      </c>
      <c r="AD16" s="42">
        <v>159.75247437407867</v>
      </c>
      <c r="AE16" s="42">
        <v>170.27683820809216</v>
      </c>
      <c r="AF16" s="42">
        <v>165.73435410157032</v>
      </c>
      <c r="AG16" s="42">
        <v>166.62971468574455</v>
      </c>
      <c r="AH16" s="42">
        <v>1994.4093761845409</v>
      </c>
      <c r="AI16" s="42">
        <v>1994.4116168946109</v>
      </c>
      <c r="AJ16" s="42">
        <v>168.40140778936942</v>
      </c>
      <c r="AK16" s="42">
        <v>169.32037950836934</v>
      </c>
      <c r="AL16" s="42">
        <v>170.68018394886769</v>
      </c>
      <c r="AM16" s="42">
        <v>193.55009789358053</v>
      </c>
      <c r="AN16" s="42">
        <v>148.92097227676564</v>
      </c>
      <c r="AO16" s="42">
        <v>165.29913460936481</v>
      </c>
      <c r="AP16" s="42">
        <v>173.21082833905328</v>
      </c>
      <c r="AQ16" s="42">
        <v>165.28283988138941</v>
      </c>
      <c r="AR16" s="42">
        <v>174.68135212662423</v>
      </c>
      <c r="AS16" s="42">
        <v>176.83906892960198</v>
      </c>
      <c r="AT16" s="42">
        <v>184.19600343765833</v>
      </c>
      <c r="AU16" s="42">
        <v>202.97166350789124</v>
      </c>
      <c r="AV16" s="42">
        <v>2093.3539322485362</v>
      </c>
      <c r="AW16" s="42">
        <v>2093.3539905862804</v>
      </c>
      <c r="AX16" s="42">
        <f>AX17+AX22+AX23+AX26+AX30+AX36</f>
        <v>139.18977000000001</v>
      </c>
      <c r="AY16" s="42">
        <f>AY17+AY22+AY23+AY26+AY30+AY36</f>
        <v>176.274563</v>
      </c>
      <c r="AZ16" s="42">
        <f t="shared" ref="AZ16:BG16" si="21">AZ17+AZ22+AZ23+AZ26+AZ30+AZ36</f>
        <v>175.00080300000002</v>
      </c>
      <c r="BA16" s="42">
        <f t="shared" si="21"/>
        <v>217.11194900000001</v>
      </c>
      <c r="BB16" s="42">
        <f t="shared" si="21"/>
        <v>135.03986</v>
      </c>
      <c r="BC16" s="42">
        <f t="shared" si="21"/>
        <v>176.77497300000002</v>
      </c>
      <c r="BD16" s="42">
        <f t="shared" si="21"/>
        <v>177.36466539</v>
      </c>
      <c r="BE16" s="42">
        <f t="shared" si="21"/>
        <v>169.39223699999999</v>
      </c>
      <c r="BF16" s="42">
        <f t="shared" si="21"/>
        <v>183.16565091000001</v>
      </c>
      <c r="BG16" s="42">
        <f t="shared" si="21"/>
        <v>179.04211815000005</v>
      </c>
      <c r="BH16" s="42">
        <f>BH17+BH22+BH23+BH26+BH30+BH36</f>
        <v>174.20017534999999</v>
      </c>
      <c r="BI16" s="42">
        <f>BI17+BI22+BI23+BI26+BI30+BI36</f>
        <v>218.53087063999999</v>
      </c>
      <c r="BJ16" s="45">
        <f t="shared" si="4"/>
        <v>2121.0876354400002</v>
      </c>
      <c r="BK16" s="45">
        <f>BK17+BK22+BK23+BK26+BK30+BK36</f>
        <v>2121.087638</v>
      </c>
      <c r="BL16" s="42">
        <f>BL17+BL22+BL23+BL26+BL30+BL36</f>
        <v>146.74938629000002</v>
      </c>
      <c r="BM16" s="42">
        <v>184.09337853</v>
      </c>
      <c r="BN16" s="42">
        <v>221.34151160999997</v>
      </c>
      <c r="BO16" s="42">
        <v>186.18015177000001</v>
      </c>
      <c r="BP16" s="42">
        <v>144.96273362000002</v>
      </c>
      <c r="BQ16" s="42">
        <v>202.56319751999999</v>
      </c>
      <c r="BR16" s="42">
        <v>182.15337774000002</v>
      </c>
      <c r="BS16" s="42">
        <v>168.69377579000005</v>
      </c>
      <c r="BT16" s="42">
        <v>201.44533931999996</v>
      </c>
      <c r="BU16" s="42">
        <v>170.64229740000002</v>
      </c>
      <c r="BV16" s="42">
        <v>186.63828272999999</v>
      </c>
      <c r="BW16" s="42">
        <v>206.77952933000006</v>
      </c>
      <c r="BX16" s="45">
        <f t="shared" si="5"/>
        <v>2202.2429616499999</v>
      </c>
      <c r="BY16" s="45">
        <f>BY17+BY22+BY23+BY26+BY30+BY36</f>
        <v>2202.2429593300003</v>
      </c>
      <c r="BZ16" s="45">
        <v>169.77401085999998</v>
      </c>
      <c r="CA16" s="45">
        <v>193.43653429000005</v>
      </c>
      <c r="CB16" s="45">
        <v>209.80733735999996</v>
      </c>
      <c r="CC16" s="45">
        <v>194.19519438999998</v>
      </c>
      <c r="CD16" s="45">
        <v>189.34912642</v>
      </c>
      <c r="CE16" s="45">
        <v>191.21986919999998</v>
      </c>
      <c r="CF16" s="45">
        <v>172.13856651999998</v>
      </c>
      <c r="CG16" s="45">
        <v>208.17397855000002</v>
      </c>
      <c r="CH16" s="45">
        <v>193.23170094</v>
      </c>
      <c r="CI16" s="45">
        <v>176.14215369000004</v>
      </c>
      <c r="CJ16" s="45">
        <v>209.61341621</v>
      </c>
      <c r="CK16" s="45">
        <v>182.47177106999999</v>
      </c>
      <c r="CL16" s="45">
        <f t="shared" si="6"/>
        <v>2289.5536594999999</v>
      </c>
      <c r="CM16" s="45">
        <f>CM17+CM22+CM23+CM26+CM30+CM36</f>
        <v>2289.5536610000004</v>
      </c>
      <c r="CN16" s="45">
        <v>210.12804609</v>
      </c>
      <c r="CO16" s="45">
        <v>197.13212319000002</v>
      </c>
      <c r="CP16" s="45">
        <v>202.87825474000002</v>
      </c>
      <c r="CQ16" s="45">
        <v>217.15375013999997</v>
      </c>
      <c r="CR16" s="45">
        <v>175.79045811000003</v>
      </c>
      <c r="CS16" s="45">
        <v>197.48758841999998</v>
      </c>
      <c r="CT16" s="45">
        <v>177.95195325</v>
      </c>
      <c r="CU16" s="45">
        <v>212.78928000999997</v>
      </c>
      <c r="CV16" s="45">
        <v>184.42249937999998</v>
      </c>
      <c r="CW16" s="45">
        <v>217.25858654000004</v>
      </c>
      <c r="CX16" s="45">
        <v>202.19380606000001</v>
      </c>
      <c r="CY16" s="45">
        <v>193.70652365000001</v>
      </c>
      <c r="CZ16" s="45">
        <f t="shared" si="7"/>
        <v>2388.8928695800005</v>
      </c>
      <c r="DA16" s="45">
        <f>DA17+DA22+DA23+DA26+DA30+DA36</f>
        <v>2388.8928689999998</v>
      </c>
      <c r="DB16" s="45">
        <v>216.66466764</v>
      </c>
      <c r="DC16" s="45">
        <v>206.78805109999993</v>
      </c>
      <c r="DD16" s="45">
        <v>213.38185973999995</v>
      </c>
      <c r="DE16" s="45">
        <v>223.54463270999983</v>
      </c>
      <c r="DF16" s="45">
        <v>194.04000163999999</v>
      </c>
      <c r="DG16" s="45">
        <v>196.98985139999996</v>
      </c>
      <c r="DH16" s="45">
        <v>219.84693311000001</v>
      </c>
      <c r="DI16" s="45">
        <v>210.36828047999998</v>
      </c>
      <c r="DJ16" s="45">
        <v>195.09366859999997</v>
      </c>
      <c r="DK16" s="45">
        <v>237.00514107000006</v>
      </c>
      <c r="DL16" s="45">
        <v>221.38932422999994</v>
      </c>
      <c r="DM16" s="69">
        <v>243.18555345999999</v>
      </c>
      <c r="DN16" s="42">
        <f t="shared" si="8"/>
        <v>2578.2979651799997</v>
      </c>
      <c r="DO16" s="45">
        <f>DO17+DO22+DO23+DO26+DO30+DO36</f>
        <v>2578.2965359999998</v>
      </c>
      <c r="DP16" s="42">
        <v>205.51332818</v>
      </c>
      <c r="DQ16" s="42">
        <v>224.87897514000002</v>
      </c>
      <c r="DR16" s="69">
        <v>212.99280455999997</v>
      </c>
      <c r="DS16" s="42">
        <v>256.88617350999994</v>
      </c>
      <c r="DT16" s="42">
        <v>207.91564910999998</v>
      </c>
      <c r="DU16" s="69">
        <v>207.91967435999999</v>
      </c>
      <c r="DV16" s="42">
        <v>239.08907548000005</v>
      </c>
      <c r="DW16" s="69">
        <v>207.51354560000001</v>
      </c>
      <c r="DX16" s="42">
        <v>229.66435855</v>
      </c>
      <c r="DY16" s="42">
        <v>256.34512893000004</v>
      </c>
      <c r="DZ16" s="69">
        <v>225.24789589000002</v>
      </c>
      <c r="EA16" s="42">
        <v>275.69265821999994</v>
      </c>
      <c r="EB16" s="42">
        <f t="shared" si="9"/>
        <v>2749.6592675299999</v>
      </c>
      <c r="EC16" s="45">
        <f>EC17+EC22+EC23+EC26+EC30+EC36</f>
        <v>2749.659267</v>
      </c>
      <c r="ED16" s="42">
        <v>235.75243190000003</v>
      </c>
      <c r="EE16" s="42">
        <v>228.90460395000002</v>
      </c>
      <c r="EF16" s="69">
        <v>268.38388195000005</v>
      </c>
      <c r="EG16" s="42">
        <v>267.86874370000004</v>
      </c>
      <c r="EH16" s="69">
        <v>217.19315106999991</v>
      </c>
      <c r="EI16" s="42">
        <v>267.91584615999989</v>
      </c>
      <c r="EJ16" s="42">
        <v>232.36689726</v>
      </c>
      <c r="EK16" s="42">
        <v>231.93346634</v>
      </c>
      <c r="EL16" s="42">
        <v>266.82510167999993</v>
      </c>
      <c r="EM16" s="42">
        <v>234.50461103000001</v>
      </c>
      <c r="EN16" s="42">
        <v>257.52077542000006</v>
      </c>
      <c r="EO16" s="69">
        <v>282.28757491000016</v>
      </c>
      <c r="EP16" s="42">
        <f t="shared" si="10"/>
        <v>2991.4570853700002</v>
      </c>
      <c r="EQ16" s="45">
        <f>EQ17+EQ22+EQ23+EQ26+EQ30+EQ36</f>
        <v>2991.4570860000003</v>
      </c>
      <c r="ER16" s="42">
        <v>244.89485108000002</v>
      </c>
      <c r="ES16" s="42">
        <v>264.05008966000003</v>
      </c>
      <c r="ET16" s="69">
        <v>304.08114275000008</v>
      </c>
      <c r="EU16" s="42">
        <v>266.24968545000007</v>
      </c>
      <c r="EV16" s="69">
        <v>243.22734299999999</v>
      </c>
      <c r="EW16" s="42">
        <v>277.650149</v>
      </c>
      <c r="EX16" s="69">
        <v>240.91672797999999</v>
      </c>
      <c r="EY16" s="42">
        <v>273.35272400000002</v>
      </c>
      <c r="EZ16" s="42">
        <v>262.84008599999999</v>
      </c>
      <c r="FA16" s="42">
        <v>249.633116</v>
      </c>
      <c r="FB16" s="42">
        <v>285.03786994000001</v>
      </c>
      <c r="FC16" s="42">
        <v>295.97817827</v>
      </c>
      <c r="FD16" s="42">
        <f t="shared" si="11"/>
        <v>3207.9119631300005</v>
      </c>
      <c r="FE16" s="45">
        <f>FE17+FE22+FE23+FE26+FE30+FE36</f>
        <v>3207.9119630000005</v>
      </c>
      <c r="FF16" s="42">
        <v>265.36433959000004</v>
      </c>
      <c r="FG16" s="42">
        <v>301.12213484999972</v>
      </c>
      <c r="FH16" s="42">
        <v>311.37993994999982</v>
      </c>
      <c r="FI16" s="42">
        <v>292.61988959000001</v>
      </c>
      <c r="FJ16" s="42">
        <v>276.0511659</v>
      </c>
      <c r="FK16" s="42">
        <v>272.13305098999996</v>
      </c>
      <c r="FL16" s="42">
        <v>248.79791314000005</v>
      </c>
      <c r="FM16" s="42">
        <v>300.38542341000004</v>
      </c>
      <c r="FN16" s="42">
        <v>368.04690876999996</v>
      </c>
      <c r="FO16" s="42">
        <v>297.90057567999986</v>
      </c>
      <c r="FP16" s="42">
        <v>347.36875824000009</v>
      </c>
      <c r="FQ16" s="42">
        <v>306.43226888999988</v>
      </c>
      <c r="FR16" s="42">
        <f t="shared" si="12"/>
        <v>3587.6023689999993</v>
      </c>
      <c r="FS16" s="45">
        <f>FS17+FS22+FS23+FS26+FS30+FS36</f>
        <v>3587.6023690000002</v>
      </c>
      <c r="FT16" s="42">
        <v>364.90521285999989</v>
      </c>
      <c r="FU16" s="42">
        <v>338.75330067000004</v>
      </c>
      <c r="FV16" s="42">
        <v>345.87878551000011</v>
      </c>
      <c r="FW16" s="42">
        <v>349.77906806999994</v>
      </c>
      <c r="FX16" s="42">
        <v>310.88457758000004</v>
      </c>
      <c r="FY16" s="42">
        <v>327.84798753000007</v>
      </c>
      <c r="FZ16" s="42">
        <v>293.93646448999993</v>
      </c>
      <c r="GA16" s="42">
        <v>354.47108375000005</v>
      </c>
      <c r="GB16" s="42">
        <v>298.8701807600001</v>
      </c>
      <c r="GC16" s="42">
        <v>331.34829647999993</v>
      </c>
      <c r="GD16" s="42">
        <v>349.75406202000033</v>
      </c>
      <c r="GE16" s="42">
        <v>320.0154168599999</v>
      </c>
      <c r="GF16" s="42">
        <f t="shared" si="13"/>
        <v>3986.44443658</v>
      </c>
      <c r="GG16" s="45">
        <f>GG17+GG22+GG23+GG26+GG30+GG36</f>
        <v>3986.4444349999999</v>
      </c>
      <c r="GH16" s="42">
        <v>384.04675721000007</v>
      </c>
      <c r="GI16" s="42">
        <v>354.88023042000015</v>
      </c>
      <c r="GJ16" s="42">
        <v>326.96563350000008</v>
      </c>
      <c r="GK16" s="42">
        <v>361.92633219999982</v>
      </c>
      <c r="GL16" s="42">
        <v>349.30689211000004</v>
      </c>
      <c r="GM16" s="42">
        <v>345.92387776999999</v>
      </c>
      <c r="GN16" s="42">
        <v>352.06708459999999</v>
      </c>
      <c r="GO16" s="42">
        <v>350.60567036000003</v>
      </c>
      <c r="GP16" s="42">
        <v>356.7023710599999</v>
      </c>
      <c r="GQ16" s="42">
        <v>375.90547729999992</v>
      </c>
      <c r="GR16" s="42">
        <v>374.04431256999999</v>
      </c>
      <c r="GS16" s="42">
        <v>378.06118576999995</v>
      </c>
      <c r="GT16" s="42">
        <f t="shared" si="14"/>
        <v>4310.43582487</v>
      </c>
      <c r="GU16" s="45">
        <f>GU17+GU22+GU23+GU26+GU30+GU36</f>
        <v>4310.4358249999996</v>
      </c>
      <c r="GV16" s="42">
        <v>385.03096217999996</v>
      </c>
      <c r="GW16" s="42">
        <v>382.31370074000006</v>
      </c>
      <c r="GX16" s="42">
        <v>381.95346531999991</v>
      </c>
      <c r="GY16" s="42">
        <v>445.16078082000018</v>
      </c>
      <c r="GZ16" s="42">
        <v>318.48485118000002</v>
      </c>
      <c r="HA16" s="42">
        <v>374.57178975999989</v>
      </c>
      <c r="HB16" s="42">
        <v>383.57078068000021</v>
      </c>
      <c r="HC16" s="42">
        <v>378.04876307000001</v>
      </c>
      <c r="HD16" s="42">
        <v>396.55055924000004</v>
      </c>
      <c r="HE16" s="42">
        <v>404.9127166099999</v>
      </c>
      <c r="HF16" s="42">
        <v>401.06345754</v>
      </c>
      <c r="HG16" s="42">
        <v>461.10082193000011</v>
      </c>
      <c r="HH16" s="42">
        <f t="shared" si="15"/>
        <v>4712.7626490700004</v>
      </c>
      <c r="HI16" s="42">
        <v>363.26030513999996</v>
      </c>
      <c r="HJ16" s="42">
        <v>415.26681387999997</v>
      </c>
      <c r="HK16" s="42">
        <v>429.3775325499999</v>
      </c>
      <c r="HL16" s="42">
        <v>471.80815842000004</v>
      </c>
      <c r="HM16" s="42"/>
      <c r="HN16" s="42"/>
      <c r="HO16" s="42"/>
      <c r="HP16" s="42"/>
      <c r="HQ16" s="42"/>
      <c r="HR16" s="42"/>
      <c r="HS16" s="42"/>
      <c r="HT16" s="42"/>
      <c r="HU16" s="300">
        <f t="shared" si="16"/>
        <v>1594.4589089999999</v>
      </c>
      <c r="HV16" s="300">
        <f t="shared" si="17"/>
        <v>1679.71281</v>
      </c>
      <c r="HW16" s="280">
        <f t="shared" si="18"/>
        <v>85.253901000000042</v>
      </c>
      <c r="HX16" s="280">
        <f t="shared" si="19"/>
        <v>5.3468860513607552</v>
      </c>
    </row>
    <row r="17" spans="1:232" s="12" customFormat="1" ht="20.5">
      <c r="A17" s="46" t="s">
        <v>118</v>
      </c>
      <c r="B17" s="13" t="s">
        <v>119</v>
      </c>
      <c r="C17" s="46" t="s">
        <v>120</v>
      </c>
      <c r="D17" s="45">
        <v>21.693217454653077</v>
      </c>
      <c r="E17" s="42">
        <v>23.604781703006811</v>
      </c>
      <c r="F17" s="42">
        <v>19.75366247204057</v>
      </c>
      <c r="G17" s="42">
        <v>12.612263162987119</v>
      </c>
      <c r="H17" s="42">
        <v>0.54773592637492108</v>
      </c>
      <c r="I17" s="42">
        <v>1.0092870843080004</v>
      </c>
      <c r="J17" s="42">
        <v>1.046031325945783</v>
      </c>
      <c r="K17" s="42">
        <v>1.0350026465415678</v>
      </c>
      <c r="L17" s="42">
        <v>1.1001872499302792</v>
      </c>
      <c r="M17" s="42">
        <v>1.2677674002993722</v>
      </c>
      <c r="N17" s="42">
        <v>1.1025093767252321</v>
      </c>
      <c r="O17" s="42">
        <v>0.98671606877593188</v>
      </c>
      <c r="P17" s="42">
        <v>0.88404021604885585</v>
      </c>
      <c r="Q17" s="42">
        <v>1.0099387595972704</v>
      </c>
      <c r="R17" s="42">
        <v>1.0664865310954406</v>
      </c>
      <c r="S17" s="42">
        <v>1.5812132543354904</v>
      </c>
      <c r="T17" s="42">
        <v>12.636915839978144</v>
      </c>
      <c r="U17" s="42">
        <v>12.636918685721767</v>
      </c>
      <c r="V17" s="42">
        <v>0.66631664020125103</v>
      </c>
      <c r="W17" s="42">
        <v>1.0908726045953068</v>
      </c>
      <c r="X17" s="42">
        <v>1.1519228689648893</v>
      </c>
      <c r="Y17" s="42">
        <v>1.175860197153118</v>
      </c>
      <c r="Z17" s="42">
        <v>1.1963804986881121</v>
      </c>
      <c r="AA17" s="42">
        <v>1.3513155872761109</v>
      </c>
      <c r="AB17" s="42">
        <v>1.205290521966295</v>
      </c>
      <c r="AC17" s="42">
        <v>1.0577159492546997</v>
      </c>
      <c r="AD17" s="42">
        <v>0.96302525312889498</v>
      </c>
      <c r="AE17" s="42">
        <v>1.0148675875493027</v>
      </c>
      <c r="AF17" s="42">
        <v>1.0171512968053682</v>
      </c>
      <c r="AG17" s="42">
        <v>1.6105500253271183</v>
      </c>
      <c r="AH17" s="42">
        <v>13.501269030910466</v>
      </c>
      <c r="AI17" s="42">
        <v>13.501269201655086</v>
      </c>
      <c r="AJ17" s="42">
        <v>0.66034627008383562</v>
      </c>
      <c r="AK17" s="42">
        <v>1.1487313674936397</v>
      </c>
      <c r="AL17" s="42">
        <v>1.128617651578534</v>
      </c>
      <c r="AM17" s="42">
        <v>1.5787132685642085</v>
      </c>
      <c r="AN17" s="42">
        <v>0.68250322991901025</v>
      </c>
      <c r="AO17" s="42">
        <v>1.3450392997194098</v>
      </c>
      <c r="AP17" s="42">
        <v>1.2217673775334232</v>
      </c>
      <c r="AQ17" s="42">
        <v>0.96586672813472885</v>
      </c>
      <c r="AR17" s="42">
        <v>0.98452484618755731</v>
      </c>
      <c r="AS17" s="42">
        <v>1.0831085195872534</v>
      </c>
      <c r="AT17" s="42">
        <v>1.0689580594305099</v>
      </c>
      <c r="AU17" s="42">
        <v>1.5748231370339383</v>
      </c>
      <c r="AV17" s="42">
        <v>13.442999755266051</v>
      </c>
      <c r="AW17" s="42">
        <v>13.442996909522428</v>
      </c>
      <c r="AX17" s="42">
        <f>AX18+AX21</f>
        <v>0.63004400000000005</v>
      </c>
      <c r="AY17" s="42">
        <f>AY18+AY21</f>
        <v>1.1305230000000002</v>
      </c>
      <c r="AZ17" s="42">
        <f t="shared" ref="AZ17:BG17" si="22">AZ18+AZ21</f>
        <v>1.1795469999999999</v>
      </c>
      <c r="BA17" s="42">
        <f t="shared" si="22"/>
        <v>1.69231</v>
      </c>
      <c r="BB17" s="42">
        <f t="shared" si="22"/>
        <v>0.70838800000000002</v>
      </c>
      <c r="BC17" s="42">
        <f t="shared" si="22"/>
        <v>1.3155209999999999</v>
      </c>
      <c r="BD17" s="42">
        <f t="shared" si="22"/>
        <v>1.2296398499999999</v>
      </c>
      <c r="BE17" s="42">
        <f t="shared" si="22"/>
        <v>1.0777600000000001</v>
      </c>
      <c r="BF17" s="42">
        <f t="shared" si="22"/>
        <v>1.0641685299999999</v>
      </c>
      <c r="BG17" s="42">
        <f t="shared" si="22"/>
        <v>1.18036191</v>
      </c>
      <c r="BH17" s="42">
        <f>BH18+BH21</f>
        <v>1.1488204200000001</v>
      </c>
      <c r="BI17" s="42">
        <f>BI18+BI21</f>
        <v>1.8963763599999999</v>
      </c>
      <c r="BJ17" s="45">
        <f t="shared" si="4"/>
        <v>14.253460069999999</v>
      </c>
      <c r="BK17" s="45">
        <f>BK18+BK21</f>
        <v>14.253461999999999</v>
      </c>
      <c r="BL17" s="42">
        <f>BL18+BL21</f>
        <v>0.84708421</v>
      </c>
      <c r="BM17" s="42">
        <v>1.1111886100000001</v>
      </c>
      <c r="BN17" s="42">
        <v>1.0970200700000001</v>
      </c>
      <c r="BO17" s="42">
        <v>1.9001407700000001</v>
      </c>
      <c r="BP17" s="42">
        <v>0.79008463000000018</v>
      </c>
      <c r="BQ17" s="42">
        <v>1.37493822</v>
      </c>
      <c r="BR17" s="42">
        <v>1.2649540699999999</v>
      </c>
      <c r="BS17" s="42">
        <v>1.116363</v>
      </c>
      <c r="BT17" s="42">
        <v>1.0489537200000001</v>
      </c>
      <c r="BU17" s="42">
        <v>1.13609315</v>
      </c>
      <c r="BV17" s="42">
        <v>1.1230768100000001</v>
      </c>
      <c r="BW17" s="42">
        <v>1.2937779800000002</v>
      </c>
      <c r="BX17" s="45">
        <f t="shared" si="5"/>
        <v>14.103675240000001</v>
      </c>
      <c r="BY17" s="45">
        <f>BY18+BY21</f>
        <v>14.103674999999999</v>
      </c>
      <c r="BZ17" s="45">
        <v>0.99090800999999995</v>
      </c>
      <c r="CA17" s="45">
        <v>1.1657076799999999</v>
      </c>
      <c r="CB17" s="45">
        <v>1.13730431</v>
      </c>
      <c r="CC17" s="45">
        <v>1.1637506</v>
      </c>
      <c r="CD17" s="45">
        <v>1.2605514699999998</v>
      </c>
      <c r="CE17" s="45">
        <v>1.43540786</v>
      </c>
      <c r="CF17" s="45">
        <v>1.34187824</v>
      </c>
      <c r="CG17" s="45">
        <v>1.2377017000000001</v>
      </c>
      <c r="CH17" s="45">
        <v>1.0919575799999999</v>
      </c>
      <c r="CI17" s="45">
        <v>1.2219599400000001</v>
      </c>
      <c r="CJ17" s="45">
        <v>1.2017044400000001</v>
      </c>
      <c r="CK17" s="45">
        <v>1.41047816</v>
      </c>
      <c r="CL17" s="45">
        <f t="shared" si="6"/>
        <v>14.659309989999999</v>
      </c>
      <c r="CM17" s="45">
        <f>CM18+CM21</f>
        <v>14.659309</v>
      </c>
      <c r="CN17" s="45">
        <v>0.94934094000000013</v>
      </c>
      <c r="CO17" s="45">
        <v>1.32379997</v>
      </c>
      <c r="CP17" s="45">
        <v>1.3129440699999999</v>
      </c>
      <c r="CQ17" s="45">
        <v>1.62285788</v>
      </c>
      <c r="CR17" s="45">
        <v>1.4761209099999999</v>
      </c>
      <c r="CS17" s="45">
        <v>1.6420407699999999</v>
      </c>
      <c r="CT17" s="45">
        <v>1.6367405399999999</v>
      </c>
      <c r="CU17" s="45">
        <v>1.53019148</v>
      </c>
      <c r="CV17" s="45">
        <v>1.3105087</v>
      </c>
      <c r="CW17" s="45">
        <v>1.4193937399999998</v>
      </c>
      <c r="CX17" s="45">
        <v>1.3299997199999998</v>
      </c>
      <c r="CY17" s="45">
        <v>1.6604364199999997</v>
      </c>
      <c r="CZ17" s="45">
        <f t="shared" si="7"/>
        <v>17.214375140000001</v>
      </c>
      <c r="DA17" s="45">
        <f>DA18+DA21</f>
        <v>17.214376000000001</v>
      </c>
      <c r="DB17" s="45">
        <v>1.065885</v>
      </c>
      <c r="DC17" s="45">
        <v>1.3356232399999992</v>
      </c>
      <c r="DD17" s="45">
        <v>1.4066861499999994</v>
      </c>
      <c r="DE17" s="45">
        <v>1.4475691700000002</v>
      </c>
      <c r="DF17" s="45">
        <v>1.6057405100000002</v>
      </c>
      <c r="DG17" s="45">
        <v>1.9831292000000005</v>
      </c>
      <c r="DH17" s="45">
        <v>1.8111977200000002</v>
      </c>
      <c r="DI17" s="45">
        <v>1.6082205000000001</v>
      </c>
      <c r="DJ17" s="45">
        <v>1.4067870200000006</v>
      </c>
      <c r="DK17" s="45">
        <v>1.5446832700000002</v>
      </c>
      <c r="DL17" s="45">
        <v>1.5707636300000003</v>
      </c>
      <c r="DM17" s="69">
        <v>2.2265047600000005</v>
      </c>
      <c r="DN17" s="42">
        <f t="shared" si="8"/>
        <v>19.012790170000002</v>
      </c>
      <c r="DO17" s="45">
        <f>DO18+DO21</f>
        <v>19.012789999999999</v>
      </c>
      <c r="DP17" s="42">
        <v>0.92056466999999986</v>
      </c>
      <c r="DQ17" s="42">
        <v>1.4188553499999992</v>
      </c>
      <c r="DR17" s="69">
        <v>1.6031139299999995</v>
      </c>
      <c r="DS17" s="42">
        <v>1.5603367300000006</v>
      </c>
      <c r="DT17" s="42">
        <v>1.78555829</v>
      </c>
      <c r="DU17" s="69">
        <v>1.7101558099999998</v>
      </c>
      <c r="DV17" s="42">
        <v>1.7701688199999996</v>
      </c>
      <c r="DW17" s="69">
        <v>1.61645777</v>
      </c>
      <c r="DX17" s="42">
        <v>1.4538728199999997</v>
      </c>
      <c r="DY17" s="42">
        <v>1.4868801799999998</v>
      </c>
      <c r="DZ17" s="69">
        <v>1.5590448400000005</v>
      </c>
      <c r="EA17" s="42">
        <v>2.046204340000001</v>
      </c>
      <c r="EB17" s="42">
        <f t="shared" si="9"/>
        <v>18.931213550000002</v>
      </c>
      <c r="EC17" s="45">
        <f>EC18+EC21</f>
        <v>18.931214000000001</v>
      </c>
      <c r="ED17" s="42">
        <v>0.92059748000000008</v>
      </c>
      <c r="EE17" s="42">
        <v>1.61947569</v>
      </c>
      <c r="EF17" s="69">
        <v>1.8455676700000001</v>
      </c>
      <c r="EG17" s="42">
        <v>1.8232502700000002</v>
      </c>
      <c r="EH17" s="69">
        <v>1.6850407299999999</v>
      </c>
      <c r="EI17" s="42">
        <v>2.0658585500000002</v>
      </c>
      <c r="EJ17" s="42">
        <v>1.8581292100000011</v>
      </c>
      <c r="EK17" s="42">
        <v>1.8094151200000002</v>
      </c>
      <c r="EL17" s="42">
        <v>1.5730791000000011</v>
      </c>
      <c r="EM17" s="42">
        <v>1.6160949700000007</v>
      </c>
      <c r="EN17" s="42">
        <v>1.5863883400000001</v>
      </c>
      <c r="EO17" s="69">
        <v>2.6751011900000004</v>
      </c>
      <c r="EP17" s="42">
        <f t="shared" si="10"/>
        <v>21.077998320000003</v>
      </c>
      <c r="EQ17" s="45">
        <f>EQ18+EQ21</f>
        <v>21.077998999999998</v>
      </c>
      <c r="ER17" s="42">
        <v>0.85661177000000022</v>
      </c>
      <c r="ES17" s="42">
        <v>1.61612752</v>
      </c>
      <c r="ET17" s="69">
        <v>1.9226964899999992</v>
      </c>
      <c r="EU17" s="42">
        <v>1.8684749000000007</v>
      </c>
      <c r="EV17" s="69">
        <v>2.4094280000000001</v>
      </c>
      <c r="EW17" s="42">
        <v>2.2323876999999994</v>
      </c>
      <c r="EX17" s="69">
        <v>2.03690207</v>
      </c>
      <c r="EY17" s="42">
        <v>2.0280223999999998</v>
      </c>
      <c r="EZ17" s="42">
        <v>1.7405440000000001</v>
      </c>
      <c r="FA17" s="42">
        <v>1.7156910000000001</v>
      </c>
      <c r="FB17" s="42">
        <v>1.6902795499999996</v>
      </c>
      <c r="FC17" s="42">
        <v>2.7766446700000005</v>
      </c>
      <c r="FD17" s="42">
        <f t="shared" si="11"/>
        <v>22.893810070000001</v>
      </c>
      <c r="FE17" s="45">
        <f>FE18+FE21</f>
        <v>22.893808999999997</v>
      </c>
      <c r="FF17" s="42">
        <v>0.86482276999999985</v>
      </c>
      <c r="FG17" s="42">
        <v>1.59857534</v>
      </c>
      <c r="FH17" s="42">
        <v>1.91238861</v>
      </c>
      <c r="FI17" s="42">
        <v>1.8662496500000001</v>
      </c>
      <c r="FJ17" s="42">
        <v>2.6665778000000002</v>
      </c>
      <c r="FK17" s="42">
        <v>2.1874035699999999</v>
      </c>
      <c r="FL17" s="42">
        <v>2.0635613300000002</v>
      </c>
      <c r="FM17" s="42">
        <v>1.9010206399999998</v>
      </c>
      <c r="FN17" s="42">
        <v>1.7394419000000001</v>
      </c>
      <c r="FO17" s="42">
        <v>1.93314594</v>
      </c>
      <c r="FP17" s="42">
        <v>1.88379611</v>
      </c>
      <c r="FQ17" s="42">
        <v>2.7276898000000003</v>
      </c>
      <c r="FR17" s="42">
        <f t="shared" si="12"/>
        <v>23.344673459999999</v>
      </c>
      <c r="FS17" s="45">
        <f>FS18+FS21</f>
        <v>23.344673999999998</v>
      </c>
      <c r="FT17" s="42">
        <v>1.3427627799999999</v>
      </c>
      <c r="FU17" s="42">
        <v>1.6874016200000002</v>
      </c>
      <c r="FV17" s="42">
        <v>1.8065090899999998</v>
      </c>
      <c r="FW17" s="42">
        <v>2.9328909999999997</v>
      </c>
      <c r="FX17" s="42">
        <v>2.5061279599999997</v>
      </c>
      <c r="FY17" s="42">
        <v>2.2922855199999996</v>
      </c>
      <c r="FZ17" s="42">
        <v>2.4035674300000003</v>
      </c>
      <c r="GA17" s="42">
        <v>2.3255393699999996</v>
      </c>
      <c r="GB17" s="42">
        <v>1.9849072900000002</v>
      </c>
      <c r="GC17" s="42">
        <v>2.4799847399999999</v>
      </c>
      <c r="GD17" s="42">
        <v>2.1479498500000003</v>
      </c>
      <c r="GE17" s="42">
        <v>3.5778327599999997</v>
      </c>
      <c r="GF17" s="42">
        <f t="shared" si="13"/>
        <v>27.487759409999995</v>
      </c>
      <c r="GG17" s="45">
        <f>GG18+GG21</f>
        <v>27.487757999999999</v>
      </c>
      <c r="GH17" s="42">
        <v>0.81450675000000017</v>
      </c>
      <c r="GI17" s="42">
        <v>2.1102081400000001</v>
      </c>
      <c r="GJ17" s="42">
        <v>2.1428456200000001</v>
      </c>
      <c r="GK17" s="42">
        <v>2.9169197100000002</v>
      </c>
      <c r="GL17" s="42">
        <v>2.7775782499999999</v>
      </c>
      <c r="GM17" s="42">
        <v>2.4569078299999996</v>
      </c>
      <c r="GN17" s="42">
        <v>2.4955792600000004</v>
      </c>
      <c r="GO17" s="42">
        <v>2.8025500399999999</v>
      </c>
      <c r="GP17" s="42">
        <v>2.0798101899999999</v>
      </c>
      <c r="GQ17" s="42">
        <v>2.2148904600000003</v>
      </c>
      <c r="GR17" s="42">
        <v>2.2510049199999997</v>
      </c>
      <c r="GS17" s="42">
        <v>2.9579671600000004</v>
      </c>
      <c r="GT17" s="42">
        <f t="shared" si="14"/>
        <v>28.020768329999996</v>
      </c>
      <c r="GU17" s="45">
        <f>GU18+GU21</f>
        <v>28.020767999999997</v>
      </c>
      <c r="GV17" s="42">
        <v>1.5349775200000004</v>
      </c>
      <c r="GW17" s="42">
        <v>2.3026146299999999</v>
      </c>
      <c r="GX17" s="42">
        <v>2.2747256600000001</v>
      </c>
      <c r="GY17" s="42">
        <v>2.6833542799999996</v>
      </c>
      <c r="GZ17" s="42">
        <v>2.7473072099999998</v>
      </c>
      <c r="HA17" s="42">
        <v>2.5266135499999995</v>
      </c>
      <c r="HB17" s="42">
        <v>2.61801759</v>
      </c>
      <c r="HC17" s="42">
        <v>2.8112856400000004</v>
      </c>
      <c r="HD17" s="42">
        <v>2.1743735899999996</v>
      </c>
      <c r="HE17" s="42">
        <v>2.3823458099999995</v>
      </c>
      <c r="HF17" s="42">
        <v>2.4413886100000002</v>
      </c>
      <c r="HG17" s="42">
        <v>2.7126639800000003</v>
      </c>
      <c r="HH17" s="42">
        <f t="shared" si="15"/>
        <v>29.209668069999999</v>
      </c>
      <c r="HI17" s="42">
        <v>2.1454367299999997</v>
      </c>
      <c r="HJ17" s="42">
        <v>2.1354128299999999</v>
      </c>
      <c r="HK17" s="42">
        <v>2.3114267699999997</v>
      </c>
      <c r="HL17" s="42">
        <v>2.3246150300000004</v>
      </c>
      <c r="HM17" s="42"/>
      <c r="HN17" s="42"/>
      <c r="HO17" s="42"/>
      <c r="HP17" s="42"/>
      <c r="HQ17" s="42"/>
      <c r="HR17" s="42"/>
      <c r="HS17" s="42"/>
      <c r="HT17" s="42"/>
      <c r="HU17" s="300">
        <f t="shared" si="16"/>
        <v>8.7956719999999997</v>
      </c>
      <c r="HV17" s="300">
        <f t="shared" si="17"/>
        <v>8.9168909999999997</v>
      </c>
      <c r="HW17" s="280">
        <f t="shared" si="18"/>
        <v>0.12121899999999997</v>
      </c>
      <c r="HX17" s="280">
        <f t="shared" si="19"/>
        <v>1.3781664436782108</v>
      </c>
    </row>
    <row r="18" spans="1:232" s="12" customFormat="1" ht="20.5">
      <c r="A18" s="47" t="s">
        <v>121</v>
      </c>
      <c r="B18" s="13">
        <v>1000</v>
      </c>
      <c r="C18" s="47" t="s">
        <v>122</v>
      </c>
      <c r="D18" s="45">
        <v>14.456034683923258</v>
      </c>
      <c r="E18" s="42">
        <v>16.101282861224465</v>
      </c>
      <c r="F18" s="42">
        <v>12.455821253151662</v>
      </c>
      <c r="G18" s="42">
        <v>8.9922282741703228</v>
      </c>
      <c r="H18" s="42">
        <v>0.3148103881025151</v>
      </c>
      <c r="I18" s="42">
        <v>0.74313606638550711</v>
      </c>
      <c r="J18" s="42">
        <v>0.71752437379411615</v>
      </c>
      <c r="K18" s="42">
        <v>0.77017063078753123</v>
      </c>
      <c r="L18" s="42">
        <v>0.79578232337892207</v>
      </c>
      <c r="M18" s="42">
        <v>0.83834611072219278</v>
      </c>
      <c r="N18" s="42">
        <v>0.87233851827821141</v>
      </c>
      <c r="O18" s="42">
        <v>0.72666917092105343</v>
      </c>
      <c r="P18" s="42">
        <v>0.63886944297414361</v>
      </c>
      <c r="Q18" s="42">
        <v>0.75412205963540335</v>
      </c>
      <c r="R18" s="42">
        <v>0.75748288285211807</v>
      </c>
      <c r="S18" s="42">
        <v>1.1855154495421201</v>
      </c>
      <c r="T18" s="42">
        <v>9.1147674173738338</v>
      </c>
      <c r="U18" s="42">
        <v>9.1147674173738338</v>
      </c>
      <c r="V18" s="42">
        <v>0.42573747445945098</v>
      </c>
      <c r="W18" s="42">
        <v>0.82529695334687914</v>
      </c>
      <c r="X18" s="42">
        <v>0.82956556877877752</v>
      </c>
      <c r="Y18" s="42">
        <v>0.87794321034029399</v>
      </c>
      <c r="Z18" s="42">
        <v>0.85923102315866151</v>
      </c>
      <c r="AA18" s="42">
        <v>0.89217335131843289</v>
      </c>
      <c r="AB18" s="42">
        <v>0.9142264415114314</v>
      </c>
      <c r="AC18" s="42">
        <v>0.76126772186840141</v>
      </c>
      <c r="AD18" s="42">
        <v>0.7117517828583787</v>
      </c>
      <c r="AE18" s="42">
        <v>0.78474510674384335</v>
      </c>
      <c r="AF18" s="42">
        <v>0.79565853353139715</v>
      </c>
      <c r="AG18" s="42">
        <v>1.1980424129629315</v>
      </c>
      <c r="AH18" s="42">
        <v>9.8756395808788788</v>
      </c>
      <c r="AI18" s="42">
        <v>9.8756395808788788</v>
      </c>
      <c r="AJ18" s="42">
        <v>0.41609467219879226</v>
      </c>
      <c r="AK18" s="42">
        <v>0.80599427436383397</v>
      </c>
      <c r="AL18" s="42">
        <v>0.80798344915509868</v>
      </c>
      <c r="AM18" s="42">
        <v>1.2739995788299441</v>
      </c>
      <c r="AN18" s="42">
        <v>0.40172793552683256</v>
      </c>
      <c r="AO18" s="42">
        <v>0.91349650827257678</v>
      </c>
      <c r="AP18" s="42">
        <v>0.92892755305888974</v>
      </c>
      <c r="AQ18" s="42">
        <v>0.70135201279446335</v>
      </c>
      <c r="AR18" s="42">
        <v>0.72283310851958726</v>
      </c>
      <c r="AS18" s="42">
        <v>0.78898241899590782</v>
      </c>
      <c r="AT18" s="42">
        <v>0.80534971343361739</v>
      </c>
      <c r="AU18" s="42">
        <v>1.2033497248165919</v>
      </c>
      <c r="AV18" s="42">
        <v>9.7700909499661357</v>
      </c>
      <c r="AW18" s="42">
        <v>9.7700909499661357</v>
      </c>
      <c r="AX18" s="42">
        <f>AX19+AX20</f>
        <v>0.38393200000000005</v>
      </c>
      <c r="AY18" s="42">
        <f>AY19+AY20</f>
        <v>0.83735100000000007</v>
      </c>
      <c r="AZ18" s="42">
        <f t="shared" ref="AZ18:BG18" si="23">AZ19+AZ20</f>
        <v>0.86025399999999996</v>
      </c>
      <c r="BA18" s="42">
        <f t="shared" si="23"/>
        <v>1.3872370000000001</v>
      </c>
      <c r="BB18" s="42">
        <f t="shared" si="23"/>
        <v>0.40271800000000002</v>
      </c>
      <c r="BC18" s="42">
        <f t="shared" si="23"/>
        <v>0.95590799999999998</v>
      </c>
      <c r="BD18" s="42">
        <f t="shared" si="23"/>
        <v>0.97440740999999997</v>
      </c>
      <c r="BE18" s="42">
        <f t="shared" si="23"/>
        <v>0.84697599999999995</v>
      </c>
      <c r="BF18" s="42">
        <f t="shared" si="23"/>
        <v>0.79219865999999994</v>
      </c>
      <c r="BG18" s="42">
        <f t="shared" si="23"/>
        <v>0.83808612999999998</v>
      </c>
      <c r="BH18" s="42">
        <f>BH19+BH20</f>
        <v>0.85396658999999997</v>
      </c>
      <c r="BI18" s="42">
        <f>BI19+BI20</f>
        <v>1.47102351</v>
      </c>
      <c r="BJ18" s="45">
        <f t="shared" si="4"/>
        <v>10.604058300000002</v>
      </c>
      <c r="BK18" s="45">
        <f>BK19+BK20</f>
        <v>10.604058999999999</v>
      </c>
      <c r="BL18" s="42">
        <f>BL19+BL20</f>
        <v>0.56194066000000009</v>
      </c>
      <c r="BM18" s="42">
        <v>0.83650712000000005</v>
      </c>
      <c r="BN18" s="42">
        <v>0.85997235000000016</v>
      </c>
      <c r="BO18" s="42">
        <v>1.4021967900000001</v>
      </c>
      <c r="BP18" s="42">
        <v>0.39750708000000001</v>
      </c>
      <c r="BQ18" s="42">
        <v>1.1351705699999999</v>
      </c>
      <c r="BR18" s="42">
        <v>1.02603947</v>
      </c>
      <c r="BS18" s="42">
        <v>0.89370252000000006</v>
      </c>
      <c r="BT18" s="42">
        <v>0.80517706000000011</v>
      </c>
      <c r="BU18" s="42">
        <v>0.8537496</v>
      </c>
      <c r="BV18" s="42">
        <v>0.87273670000000014</v>
      </c>
      <c r="BW18" s="42">
        <v>0.98012795000000008</v>
      </c>
      <c r="BX18" s="45">
        <f t="shared" si="5"/>
        <v>10.624827870000001</v>
      </c>
      <c r="BY18" s="45">
        <v>10.624827</v>
      </c>
      <c r="BZ18" s="45">
        <v>0.74522455999999992</v>
      </c>
      <c r="CA18" s="45">
        <v>0.85531004999999993</v>
      </c>
      <c r="CB18" s="45">
        <v>0.87670934999999994</v>
      </c>
      <c r="CC18" s="45">
        <v>0.91339483999999993</v>
      </c>
      <c r="CD18" s="45">
        <v>0.93159970000000003</v>
      </c>
      <c r="CE18" s="45">
        <v>1.1134548</v>
      </c>
      <c r="CF18" s="45">
        <v>1.03478929</v>
      </c>
      <c r="CG18" s="45">
        <v>0.95448671000000007</v>
      </c>
      <c r="CH18" s="45">
        <v>0.83882997999999998</v>
      </c>
      <c r="CI18" s="45">
        <v>0.95262044999999995</v>
      </c>
      <c r="CJ18" s="45">
        <v>0.90415371000000011</v>
      </c>
      <c r="CK18" s="45">
        <v>1.1841375600000001</v>
      </c>
      <c r="CL18" s="45">
        <f t="shared" si="6"/>
        <v>11.304711000000001</v>
      </c>
      <c r="CM18" s="45">
        <f>CM19+CM20</f>
        <v>11.304711000000001</v>
      </c>
      <c r="CN18" s="45">
        <v>0.67451475999999999</v>
      </c>
      <c r="CO18" s="45">
        <v>1.02832535</v>
      </c>
      <c r="CP18" s="45">
        <v>1.0480819799999999</v>
      </c>
      <c r="CQ18" s="45">
        <v>1.11581328</v>
      </c>
      <c r="CR18" s="45">
        <v>1.14998114</v>
      </c>
      <c r="CS18" s="45">
        <v>1.2575005199999998</v>
      </c>
      <c r="CT18" s="45">
        <v>1.3633018699999999</v>
      </c>
      <c r="CU18" s="45">
        <v>1.2704124999999999</v>
      </c>
      <c r="CV18" s="45">
        <v>1.0609867499999999</v>
      </c>
      <c r="CW18" s="45">
        <v>1.1564127499999999</v>
      </c>
      <c r="CX18" s="45">
        <v>1.0660040199999998</v>
      </c>
      <c r="CY18" s="45">
        <v>1.4174363899999998</v>
      </c>
      <c r="CZ18" s="45">
        <f t="shared" si="7"/>
        <v>13.608771309999998</v>
      </c>
      <c r="DA18" s="45">
        <f>DA19+DA20</f>
        <v>13.608773000000001</v>
      </c>
      <c r="DB18" s="45">
        <v>0.76537602000000005</v>
      </c>
      <c r="DC18" s="45">
        <v>1.1028468999999999</v>
      </c>
      <c r="DD18" s="45">
        <v>1.1904378199999999</v>
      </c>
      <c r="DE18" s="45">
        <v>1.2382425699999999</v>
      </c>
      <c r="DF18" s="45">
        <v>1.24405254</v>
      </c>
      <c r="DG18" s="45">
        <v>1.4473514299999999</v>
      </c>
      <c r="DH18" s="45">
        <v>1.56191714</v>
      </c>
      <c r="DI18" s="45">
        <v>1.3589388199999999</v>
      </c>
      <c r="DJ18" s="45">
        <v>1.1488567599999999</v>
      </c>
      <c r="DK18" s="45">
        <v>1.2716674900000002</v>
      </c>
      <c r="DL18" s="45">
        <v>1.2695886599999999</v>
      </c>
      <c r="DM18" s="69">
        <v>1.6874618499999996</v>
      </c>
      <c r="DN18" s="42">
        <f t="shared" si="8"/>
        <v>15.286738</v>
      </c>
      <c r="DO18" s="45">
        <f>DO19+DO20</f>
        <v>15.286738</v>
      </c>
      <c r="DP18" s="42">
        <v>0.7090736299999999</v>
      </c>
      <c r="DQ18" s="42">
        <v>1.1662357799999998</v>
      </c>
      <c r="DR18" s="69">
        <v>1.19986382</v>
      </c>
      <c r="DS18" s="42">
        <v>1.26282235</v>
      </c>
      <c r="DT18" s="42">
        <v>1.37786659</v>
      </c>
      <c r="DU18" s="69">
        <v>1.4306170199999997</v>
      </c>
      <c r="DV18" s="42">
        <v>1.4927542199999997</v>
      </c>
      <c r="DW18" s="69">
        <v>1.3558795299999999</v>
      </c>
      <c r="DX18" s="42">
        <v>1.16656206</v>
      </c>
      <c r="DY18" s="42">
        <v>1.1552913699999996</v>
      </c>
      <c r="DZ18" s="69">
        <v>1.2225541499999999</v>
      </c>
      <c r="EA18" s="42">
        <v>1.5800494799999998</v>
      </c>
      <c r="EB18" s="42">
        <f t="shared" si="9"/>
        <v>15.11957</v>
      </c>
      <c r="EC18" s="45">
        <v>15.11957</v>
      </c>
      <c r="ED18" s="42">
        <v>0.70103199999999999</v>
      </c>
      <c r="EE18" s="42">
        <v>1.1434039899999997</v>
      </c>
      <c r="EF18" s="69">
        <v>1.2484843600000002</v>
      </c>
      <c r="EG18" s="42">
        <v>1.34754259</v>
      </c>
      <c r="EH18" s="69">
        <v>1.2451660200000001</v>
      </c>
      <c r="EI18" s="42">
        <v>1.4226466400000002</v>
      </c>
      <c r="EJ18" s="42">
        <v>1.4252991499999998</v>
      </c>
      <c r="EK18" s="42">
        <v>1.3204088399999998</v>
      </c>
      <c r="EL18" s="42">
        <v>1.1461436300000003</v>
      </c>
      <c r="EM18" s="42">
        <v>1.1341069500000003</v>
      </c>
      <c r="EN18" s="42">
        <v>1.13252804</v>
      </c>
      <c r="EO18" s="69">
        <v>2.01165679</v>
      </c>
      <c r="EP18" s="42">
        <f t="shared" si="10"/>
        <v>15.278419</v>
      </c>
      <c r="EQ18" s="42">
        <v>15.278419</v>
      </c>
      <c r="ER18" s="42">
        <v>0.43682137999999998</v>
      </c>
      <c r="ES18" s="42">
        <v>1.2081333299999999</v>
      </c>
      <c r="ET18" s="69">
        <v>1.2565005799999998</v>
      </c>
      <c r="EU18" s="42">
        <v>1.38193583</v>
      </c>
      <c r="EV18" s="69">
        <v>1.9706566999999997</v>
      </c>
      <c r="EW18" s="42">
        <v>1.592876</v>
      </c>
      <c r="EX18" s="69">
        <v>1.5843149999999999</v>
      </c>
      <c r="EY18" s="42">
        <v>1.5646477700000001</v>
      </c>
      <c r="EZ18" s="42">
        <v>1.2671520000000001</v>
      </c>
      <c r="FA18" s="42">
        <v>1.209554</v>
      </c>
      <c r="FB18" s="42">
        <v>1.22304974</v>
      </c>
      <c r="FC18" s="42">
        <v>1.9893235</v>
      </c>
      <c r="FD18" s="42">
        <f t="shared" si="11"/>
        <v>16.684965829999999</v>
      </c>
      <c r="FE18" s="42">
        <v>16.684965999999999</v>
      </c>
      <c r="FF18" s="42">
        <v>0.45644138000000001</v>
      </c>
      <c r="FG18" s="42">
        <v>1.1890462099999999</v>
      </c>
      <c r="FH18" s="42">
        <v>1.2494513499999997</v>
      </c>
      <c r="FI18" s="42">
        <v>1.3805952700000002</v>
      </c>
      <c r="FJ18" s="42">
        <v>2.0631576200000001</v>
      </c>
      <c r="FK18" s="42">
        <v>1.6252610399999998</v>
      </c>
      <c r="FL18" s="42">
        <v>1.5432770199999999</v>
      </c>
      <c r="FM18" s="42">
        <v>1.3995925699999998</v>
      </c>
      <c r="FN18" s="42">
        <v>1.2133193499999999</v>
      </c>
      <c r="FO18" s="42">
        <v>1.3686711899999999</v>
      </c>
      <c r="FP18" s="42">
        <v>1.3544358699999999</v>
      </c>
      <c r="FQ18" s="42">
        <v>1.85136013</v>
      </c>
      <c r="FR18" s="42">
        <f t="shared" si="12"/>
        <v>16.694609</v>
      </c>
      <c r="FS18" s="42">
        <v>16.694609</v>
      </c>
      <c r="FT18" s="42">
        <v>0.77256871000000005</v>
      </c>
      <c r="FU18" s="42">
        <v>1.2610814700000001</v>
      </c>
      <c r="FV18" s="42">
        <v>1.3289557299999999</v>
      </c>
      <c r="FW18" s="42">
        <v>2.0944734600000001</v>
      </c>
      <c r="FX18" s="42">
        <v>1.72919351</v>
      </c>
      <c r="FY18" s="42">
        <v>1.79634928</v>
      </c>
      <c r="FZ18" s="42">
        <v>1.9224398199999999</v>
      </c>
      <c r="GA18" s="42">
        <v>1.7668814099999999</v>
      </c>
      <c r="GB18" s="42">
        <v>1.4865241899999999</v>
      </c>
      <c r="GC18" s="42">
        <v>1.5654739899999999</v>
      </c>
      <c r="GD18" s="42">
        <v>1.59978369</v>
      </c>
      <c r="GE18" s="42">
        <v>2.82241974</v>
      </c>
      <c r="GF18" s="42">
        <f t="shared" si="13"/>
        <v>20.146145000000001</v>
      </c>
      <c r="GG18" s="42">
        <v>20.146145000000001</v>
      </c>
      <c r="GH18" s="42">
        <v>0.29940987999999996</v>
      </c>
      <c r="GI18" s="42">
        <v>1.63820498</v>
      </c>
      <c r="GJ18" s="42">
        <v>1.68524509</v>
      </c>
      <c r="GK18" s="42">
        <v>2.42939566</v>
      </c>
      <c r="GL18" s="42">
        <v>1.8103024799999998</v>
      </c>
      <c r="GM18" s="42">
        <v>1.9118741099999998</v>
      </c>
      <c r="GN18" s="42">
        <v>1.9541419199999999</v>
      </c>
      <c r="GO18" s="42">
        <v>2.2049057099999998</v>
      </c>
      <c r="GP18" s="42">
        <v>1.56581609</v>
      </c>
      <c r="GQ18" s="42">
        <v>1.61205098</v>
      </c>
      <c r="GR18" s="42">
        <v>1.5922041600000001</v>
      </c>
      <c r="GS18" s="42">
        <v>2.2354299400000004</v>
      </c>
      <c r="GT18" s="42">
        <f t="shared" si="14"/>
        <v>20.938981000000002</v>
      </c>
      <c r="GU18" s="42">
        <v>20.938980999999998</v>
      </c>
      <c r="GV18" s="42">
        <v>0.93758001999999996</v>
      </c>
      <c r="GW18" s="42">
        <v>1.6339687300000001</v>
      </c>
      <c r="GX18" s="42">
        <v>1.6726371199999999</v>
      </c>
      <c r="GY18" s="42">
        <v>2.1206260700000001</v>
      </c>
      <c r="GZ18" s="42">
        <v>2.0254986399999999</v>
      </c>
      <c r="HA18" s="42">
        <v>2.0177806500000002</v>
      </c>
      <c r="HB18" s="42">
        <v>2.07265108</v>
      </c>
      <c r="HC18" s="42">
        <v>2.2913664300000001</v>
      </c>
      <c r="HD18" s="42">
        <v>1.62144186</v>
      </c>
      <c r="HE18" s="42">
        <v>1.6495006000000001</v>
      </c>
      <c r="HF18" s="42">
        <v>1.69369141</v>
      </c>
      <c r="HG18" s="42">
        <v>1.70797939</v>
      </c>
      <c r="HH18" s="42">
        <f t="shared" si="15"/>
        <v>21.444721999999999</v>
      </c>
      <c r="HI18" s="42">
        <v>1.56215338</v>
      </c>
      <c r="HJ18" s="42">
        <v>1.6522228599999997</v>
      </c>
      <c r="HK18" s="42">
        <v>1.6259289799999999</v>
      </c>
      <c r="HL18" s="42">
        <v>1.7675826800000003</v>
      </c>
      <c r="HM18" s="42"/>
      <c r="HN18" s="42"/>
      <c r="HO18" s="42"/>
      <c r="HP18" s="42"/>
      <c r="HQ18" s="42"/>
      <c r="HR18" s="42"/>
      <c r="HS18" s="42"/>
      <c r="HT18" s="42"/>
      <c r="HU18" s="300">
        <f t="shared" si="16"/>
        <v>6.3648119999999997</v>
      </c>
      <c r="HV18" s="300">
        <f t="shared" si="17"/>
        <v>6.607888</v>
      </c>
      <c r="HW18" s="280">
        <f t="shared" si="18"/>
        <v>0.24307600000000029</v>
      </c>
      <c r="HX18" s="280">
        <f t="shared" si="19"/>
        <v>3.8190601701982843</v>
      </c>
    </row>
    <row r="19" spans="1:232" s="12" customFormat="1" ht="20.5">
      <c r="A19" s="77" t="s">
        <v>123</v>
      </c>
      <c r="B19" s="13">
        <v>1100</v>
      </c>
      <c r="C19" s="77" t="s">
        <v>124</v>
      </c>
      <c r="D19" s="45">
        <v>10.565251478363813</v>
      </c>
      <c r="E19" s="42">
        <v>11.601068007581061</v>
      </c>
      <c r="F19" s="42">
        <v>9.7853299070580135</v>
      </c>
      <c r="G19" s="42">
        <v>7.1049737907012478</v>
      </c>
      <c r="H19" s="42">
        <v>0.16647600184404188</v>
      </c>
      <c r="I19" s="42">
        <v>0.58105958417994208</v>
      </c>
      <c r="J19" s="42">
        <v>0.55544789158855101</v>
      </c>
      <c r="K19" s="42">
        <v>0.62089999487766145</v>
      </c>
      <c r="L19" s="42">
        <v>0.63370584117335704</v>
      </c>
      <c r="M19" s="42">
        <v>0.68279491864018982</v>
      </c>
      <c r="N19" s="42">
        <v>0.7081149225104012</v>
      </c>
      <c r="O19" s="42">
        <v>0.56251102725653246</v>
      </c>
      <c r="P19" s="42">
        <v>0.50275041120995334</v>
      </c>
      <c r="Q19" s="42">
        <v>0.58954559165855636</v>
      </c>
      <c r="R19" s="42">
        <v>0.6094657970074161</v>
      </c>
      <c r="S19" s="42">
        <v>1.0098690388785494</v>
      </c>
      <c r="T19" s="42">
        <v>7.2226410208251508</v>
      </c>
      <c r="U19" s="42">
        <v>7.2226410208251526</v>
      </c>
      <c r="V19" s="42">
        <v>0.27960853950745868</v>
      </c>
      <c r="W19" s="42">
        <v>0.65526377197625507</v>
      </c>
      <c r="X19" s="42">
        <v>0.66237813102941934</v>
      </c>
      <c r="Y19" s="42">
        <v>0.69794992629524022</v>
      </c>
      <c r="Z19" s="42">
        <v>0.69083414437026536</v>
      </c>
      <c r="AA19" s="42">
        <v>0.71929442632654328</v>
      </c>
      <c r="AB19" s="42">
        <v>0.72854167022384619</v>
      </c>
      <c r="AC19" s="42">
        <v>0.60261751498284022</v>
      </c>
      <c r="AD19" s="42">
        <v>0.56149651965555114</v>
      </c>
      <c r="AE19" s="42">
        <v>0.63036351529018053</v>
      </c>
      <c r="AF19" s="42">
        <v>0.6342536468204506</v>
      </c>
      <c r="AG19" s="42">
        <v>1.0162008184358655</v>
      </c>
      <c r="AH19" s="42">
        <v>7.8788026249139156</v>
      </c>
      <c r="AI19" s="42">
        <v>7.8788026249139165</v>
      </c>
      <c r="AJ19" s="42">
        <v>0.27056049766364448</v>
      </c>
      <c r="AK19" s="42">
        <v>0.63603650519917354</v>
      </c>
      <c r="AL19" s="42">
        <v>0.63888224882043931</v>
      </c>
      <c r="AM19" s="42">
        <v>1.1041869425899682</v>
      </c>
      <c r="AN19" s="42">
        <v>0.23902965834002085</v>
      </c>
      <c r="AO19" s="42">
        <v>0.73563753194347226</v>
      </c>
      <c r="AP19" s="42">
        <v>0.7427518909966363</v>
      </c>
      <c r="AQ19" s="42">
        <v>0.55054894394454212</v>
      </c>
      <c r="AR19" s="42">
        <v>0.57271444101058044</v>
      </c>
      <c r="AS19" s="42">
        <v>0.63331028281000112</v>
      </c>
      <c r="AT19" s="42">
        <v>0.64467475996152557</v>
      </c>
      <c r="AU19" s="42">
        <v>1.0247039003762073</v>
      </c>
      <c r="AV19" s="42">
        <v>7.7930376036562121</v>
      </c>
      <c r="AW19" s="42">
        <v>7.7930376036562112</v>
      </c>
      <c r="AX19" s="42">
        <v>0.23644100000000001</v>
      </c>
      <c r="AY19" s="42">
        <v>0.67493800000000004</v>
      </c>
      <c r="AZ19" s="42">
        <v>0.69496999999999998</v>
      </c>
      <c r="BA19" s="42">
        <v>1.196183</v>
      </c>
      <c r="BB19" s="42">
        <v>0.240842</v>
      </c>
      <c r="BC19" s="42">
        <v>0.77696100000000001</v>
      </c>
      <c r="BD19" s="42">
        <v>0.78446040000000006</v>
      </c>
      <c r="BE19" s="42">
        <v>0.67114799999999997</v>
      </c>
      <c r="BF19" s="42">
        <v>0.63106361</v>
      </c>
      <c r="BG19" s="42">
        <v>0.67288833999999997</v>
      </c>
      <c r="BH19" s="42">
        <v>0.67657708999999999</v>
      </c>
      <c r="BI19" s="42">
        <v>0.88789288999999993</v>
      </c>
      <c r="BJ19" s="45">
        <f t="shared" si="4"/>
        <v>8.1443653300000012</v>
      </c>
      <c r="BK19" s="45">
        <v>8.1443659999999998</v>
      </c>
      <c r="BL19" s="42">
        <v>0.44152293000000004</v>
      </c>
      <c r="BM19" s="42">
        <v>0.65592936000000002</v>
      </c>
      <c r="BN19" s="42">
        <v>0.67818707000000011</v>
      </c>
      <c r="BO19" s="42">
        <v>1.19224956</v>
      </c>
      <c r="BP19" s="42">
        <v>0.19879907999999999</v>
      </c>
      <c r="BQ19" s="42">
        <v>0.83331454999999988</v>
      </c>
      <c r="BR19" s="42">
        <v>0.77053526999999999</v>
      </c>
      <c r="BS19" s="42">
        <v>0.64260480000000009</v>
      </c>
      <c r="BT19" s="42">
        <v>0.62999231000000011</v>
      </c>
      <c r="BU19" s="42">
        <v>0.67015206000000005</v>
      </c>
      <c r="BV19" s="42">
        <v>0.80453493000000009</v>
      </c>
      <c r="BW19" s="42">
        <v>0.63950308000000011</v>
      </c>
      <c r="BX19" s="45">
        <f t="shared" si="5"/>
        <v>8.1573250000000002</v>
      </c>
      <c r="BY19" s="45">
        <v>8.1573250000000002</v>
      </c>
      <c r="BZ19" s="45">
        <v>0.59341984999999997</v>
      </c>
      <c r="CA19" s="45">
        <v>0.67512081999999995</v>
      </c>
      <c r="CB19" s="45">
        <v>0.69405885999999994</v>
      </c>
      <c r="CC19" s="45">
        <v>0.72259625999999988</v>
      </c>
      <c r="CD19" s="45">
        <v>0.72437670999999992</v>
      </c>
      <c r="CE19" s="45">
        <v>0.8636527799999999</v>
      </c>
      <c r="CF19" s="45">
        <v>0.76873416999999999</v>
      </c>
      <c r="CG19" s="45">
        <v>0.68418338000000001</v>
      </c>
      <c r="CH19" s="45">
        <v>0.65068674000000004</v>
      </c>
      <c r="CI19" s="45">
        <v>0.76875894999999994</v>
      </c>
      <c r="CJ19" s="45">
        <v>0.71712278000000007</v>
      </c>
      <c r="CK19" s="45">
        <v>0.94558170000000008</v>
      </c>
      <c r="CL19" s="45">
        <f t="shared" si="6"/>
        <v>8.8082930000000008</v>
      </c>
      <c r="CM19" s="45">
        <v>8.8082930000000008</v>
      </c>
      <c r="CN19" s="45">
        <v>0.51579182000000001</v>
      </c>
      <c r="CO19" s="45">
        <v>0.81307481999999998</v>
      </c>
      <c r="CP19" s="45">
        <v>0.82546785999999994</v>
      </c>
      <c r="CQ19" s="45">
        <v>0.87812245999999994</v>
      </c>
      <c r="CR19" s="45">
        <v>0.90121492999999997</v>
      </c>
      <c r="CS19" s="45">
        <v>0.9314389099999999</v>
      </c>
      <c r="CT19" s="45">
        <v>0.97928070999999994</v>
      </c>
      <c r="CU19" s="45">
        <v>0.85711037999999995</v>
      </c>
      <c r="CV19" s="45">
        <v>0.8321021999999999</v>
      </c>
      <c r="CW19" s="45">
        <v>0.91514108999999999</v>
      </c>
      <c r="CX19" s="45">
        <v>0.85660033999999985</v>
      </c>
      <c r="CY19" s="45">
        <v>1.1168056499999999</v>
      </c>
      <c r="CZ19" s="45">
        <f t="shared" si="7"/>
        <v>10.422151169999999</v>
      </c>
      <c r="DA19" s="45">
        <v>10.422152000000001</v>
      </c>
      <c r="DB19" s="45">
        <v>0.60498769000000008</v>
      </c>
      <c r="DC19" s="45">
        <v>0.8706489999999999</v>
      </c>
      <c r="DD19" s="45">
        <v>0.93855674</v>
      </c>
      <c r="DE19" s="45">
        <v>0.97105652999999992</v>
      </c>
      <c r="DF19" s="45">
        <v>0.96359900999999992</v>
      </c>
      <c r="DG19" s="45">
        <v>1.0945998399999999</v>
      </c>
      <c r="DH19" s="45">
        <v>1.12006429</v>
      </c>
      <c r="DI19" s="45">
        <v>0.95228086000000012</v>
      </c>
      <c r="DJ19" s="45">
        <v>0.8694601500000001</v>
      </c>
      <c r="DK19" s="45">
        <v>1.0003565000000003</v>
      </c>
      <c r="DL19" s="45">
        <v>0.97068606000000002</v>
      </c>
      <c r="DM19" s="69">
        <v>1.30157166</v>
      </c>
      <c r="DN19" s="42">
        <f t="shared" si="8"/>
        <v>11.657868330000001</v>
      </c>
      <c r="DO19" s="45">
        <v>11.657868000000001</v>
      </c>
      <c r="DP19" s="42">
        <v>0.54098144999999997</v>
      </c>
      <c r="DQ19" s="42">
        <v>0.90765595999999993</v>
      </c>
      <c r="DR19" s="69">
        <v>0.93524976000000004</v>
      </c>
      <c r="DS19" s="42">
        <v>0.99362591</v>
      </c>
      <c r="DT19" s="42">
        <v>1.05077983</v>
      </c>
      <c r="DU19" s="69">
        <v>1.0824636399999998</v>
      </c>
      <c r="DV19" s="42">
        <v>1.0315545799999999</v>
      </c>
      <c r="DW19" s="69">
        <v>0.94678156000000013</v>
      </c>
      <c r="DX19" s="42">
        <v>0.88549741999999998</v>
      </c>
      <c r="DY19" s="42">
        <v>0.89890064999999986</v>
      </c>
      <c r="DZ19" s="69">
        <v>0.95146089999999994</v>
      </c>
      <c r="EA19" s="42">
        <v>1.2738843</v>
      </c>
      <c r="EB19" s="42">
        <f t="shared" si="9"/>
        <v>11.498835960000001</v>
      </c>
      <c r="EC19" s="45">
        <v>11.498836000000001</v>
      </c>
      <c r="ED19" s="42">
        <v>0.50646871999999998</v>
      </c>
      <c r="EE19" s="42">
        <v>0.90787149</v>
      </c>
      <c r="EF19" s="69">
        <v>0.98060902000000005</v>
      </c>
      <c r="EG19" s="42">
        <v>1.0393506000000001</v>
      </c>
      <c r="EH19" s="69">
        <v>0.95408070999999994</v>
      </c>
      <c r="EI19" s="42">
        <v>1.06551251</v>
      </c>
      <c r="EJ19" s="42">
        <v>0.99446929000000006</v>
      </c>
      <c r="EK19" s="42">
        <v>0.93322625000000003</v>
      </c>
      <c r="EL19" s="42">
        <v>0.85609716000000013</v>
      </c>
      <c r="EM19" s="42">
        <v>0.88074627999999999</v>
      </c>
      <c r="EN19" s="42">
        <v>0.89743028999999996</v>
      </c>
      <c r="EO19" s="69">
        <v>1.6305091699999998</v>
      </c>
      <c r="EP19" s="42">
        <f t="shared" si="10"/>
        <v>11.64637149</v>
      </c>
      <c r="EQ19" s="42">
        <v>11.646371</v>
      </c>
      <c r="ER19" s="42">
        <v>0.22305524000000002</v>
      </c>
      <c r="ES19" s="42">
        <v>0.96141929000000004</v>
      </c>
      <c r="ET19" s="69">
        <v>1.0006841399999999</v>
      </c>
      <c r="EU19" s="42">
        <v>1.11568785</v>
      </c>
      <c r="EV19" s="69">
        <v>1.5267230000000001</v>
      </c>
      <c r="EW19" s="42">
        <v>1.1835065899999999</v>
      </c>
      <c r="EX19" s="69">
        <v>1.13495104</v>
      </c>
      <c r="EY19" s="42">
        <v>1.1035932399999999</v>
      </c>
      <c r="EZ19" s="42">
        <v>0.946183</v>
      </c>
      <c r="FA19" s="42">
        <v>0.92660799999999999</v>
      </c>
      <c r="FB19" s="42">
        <v>0.94425640999999993</v>
      </c>
      <c r="FC19" s="42">
        <v>1.6324832900000001</v>
      </c>
      <c r="FD19" s="42">
        <f t="shared" si="11"/>
        <v>12.699151089999997</v>
      </c>
      <c r="FE19" s="42">
        <v>12.699149999999999</v>
      </c>
      <c r="FF19" s="42">
        <v>0.28235816000000002</v>
      </c>
      <c r="FG19" s="42">
        <v>0.93678592000000005</v>
      </c>
      <c r="FH19" s="42">
        <v>0.98606377000000001</v>
      </c>
      <c r="FI19" s="42">
        <v>1.07371276</v>
      </c>
      <c r="FJ19" s="42">
        <v>1.6022378600000002</v>
      </c>
      <c r="FK19" s="42">
        <v>1.2109010800000002</v>
      </c>
      <c r="FL19" s="42">
        <v>1.1019471199999999</v>
      </c>
      <c r="FM19" s="42">
        <v>0.98331144000000004</v>
      </c>
      <c r="FN19" s="42">
        <v>0.90686132999999991</v>
      </c>
      <c r="FO19" s="42">
        <v>1.0545107499999999</v>
      </c>
      <c r="FP19" s="42">
        <v>1.0693021599999999</v>
      </c>
      <c r="FQ19" s="42">
        <v>1.4921631799999999</v>
      </c>
      <c r="FR19" s="42">
        <f t="shared" si="12"/>
        <v>12.700155530000002</v>
      </c>
      <c r="FS19" s="42">
        <v>12.700156</v>
      </c>
      <c r="FT19" s="42">
        <v>0.52918507999999997</v>
      </c>
      <c r="FU19" s="42">
        <v>0.99125494000000003</v>
      </c>
      <c r="FV19" s="42">
        <v>1.0535990200000001</v>
      </c>
      <c r="FW19" s="42">
        <v>1.6788786399999998</v>
      </c>
      <c r="FX19" s="42">
        <v>1.3344401100000001</v>
      </c>
      <c r="FY19" s="42">
        <v>1.3296720799999999</v>
      </c>
      <c r="FZ19" s="42">
        <v>1.3617217500000001</v>
      </c>
      <c r="GA19" s="42">
        <v>1.2715721200000001</v>
      </c>
      <c r="GB19" s="42">
        <v>1.1143032399999999</v>
      </c>
      <c r="GC19" s="42">
        <v>1.22616141</v>
      </c>
      <c r="GD19" s="42">
        <v>1.2481959599999999</v>
      </c>
      <c r="GE19" s="42">
        <v>2.1301337899999999</v>
      </c>
      <c r="GF19" s="42">
        <f t="shared" si="13"/>
        <v>15.26911814</v>
      </c>
      <c r="GG19" s="42">
        <v>15.269118000000001</v>
      </c>
      <c r="GH19" s="42">
        <v>0.28238428999999998</v>
      </c>
      <c r="GI19" s="42">
        <v>1.31983264</v>
      </c>
      <c r="GJ19" s="42">
        <v>1.3030367599999999</v>
      </c>
      <c r="GK19" s="42">
        <v>1.9392305199999997</v>
      </c>
      <c r="GL19" s="42">
        <v>1.38938173</v>
      </c>
      <c r="GM19" s="42">
        <v>1.4214424499999998</v>
      </c>
      <c r="GN19" s="42">
        <v>1.41398153</v>
      </c>
      <c r="GO19" s="42">
        <v>1.30886419</v>
      </c>
      <c r="GP19" s="42">
        <v>1.1730072499999999</v>
      </c>
      <c r="GQ19" s="42">
        <v>1.2417531099999999</v>
      </c>
      <c r="GR19" s="42">
        <v>1.2312636299999999</v>
      </c>
      <c r="GS19" s="42">
        <v>1.8700242300000003</v>
      </c>
      <c r="GT19" s="42">
        <f t="shared" si="14"/>
        <v>15.894202329999997</v>
      </c>
      <c r="GU19" s="42">
        <v>15.894202999999999</v>
      </c>
      <c r="GV19" s="42">
        <v>0.63583524000000002</v>
      </c>
      <c r="GW19" s="42">
        <v>1.29907986</v>
      </c>
      <c r="GX19" s="42">
        <v>1.31060994</v>
      </c>
      <c r="GY19" s="42">
        <v>1.73988991</v>
      </c>
      <c r="GZ19" s="42">
        <v>1.49762364</v>
      </c>
      <c r="HA19" s="42">
        <v>1.5112991</v>
      </c>
      <c r="HB19" s="42">
        <v>1.47846268</v>
      </c>
      <c r="HC19" s="42">
        <v>1.3426486099999999</v>
      </c>
      <c r="HD19" s="42">
        <v>1.2203739200000001</v>
      </c>
      <c r="HE19" s="42">
        <v>1.28360052</v>
      </c>
      <c r="HF19" s="42">
        <v>1.3194897700000001</v>
      </c>
      <c r="HG19" s="42">
        <v>1.3963803499999998</v>
      </c>
      <c r="HH19" s="42">
        <f t="shared" si="15"/>
        <v>16.035293540000001</v>
      </c>
      <c r="HI19" s="42">
        <v>1.1730257499999999</v>
      </c>
      <c r="HJ19" s="42">
        <v>1.2911257599999999</v>
      </c>
      <c r="HK19" s="42">
        <v>1.28394889</v>
      </c>
      <c r="HL19" s="42">
        <v>1.41896233</v>
      </c>
      <c r="HM19" s="42"/>
      <c r="HN19" s="42"/>
      <c r="HO19" s="42"/>
      <c r="HP19" s="42"/>
      <c r="HQ19" s="42"/>
      <c r="HR19" s="42"/>
      <c r="HS19" s="42"/>
      <c r="HT19" s="42"/>
      <c r="HU19" s="300">
        <f t="shared" si="16"/>
        <v>4.9854149999999997</v>
      </c>
      <c r="HV19" s="300">
        <f t="shared" si="17"/>
        <v>5.1670629999999997</v>
      </c>
      <c r="HW19" s="280">
        <f>HV19-HU19</f>
        <v>0.18164800000000003</v>
      </c>
      <c r="HX19" s="280">
        <f t="shared" si="19"/>
        <v>3.6435883472088193</v>
      </c>
    </row>
    <row r="20" spans="1:232" s="12" customFormat="1" ht="21.75" customHeight="1">
      <c r="A20" s="48" t="s">
        <v>125</v>
      </c>
      <c r="B20" s="13">
        <v>1200</v>
      </c>
      <c r="C20" s="77" t="s">
        <v>126</v>
      </c>
      <c r="D20" s="45">
        <v>3.8907832055594449</v>
      </c>
      <c r="E20" s="42">
        <v>4.5002148536434055</v>
      </c>
      <c r="F20" s="42">
        <v>2.6704913460936477</v>
      </c>
      <c r="G20" s="42">
        <v>1.8872544834690754</v>
      </c>
      <c r="H20" s="42">
        <v>0.1483343862584732</v>
      </c>
      <c r="I20" s="42">
        <v>0.16207648220556514</v>
      </c>
      <c r="J20" s="42">
        <v>0.16207648220556514</v>
      </c>
      <c r="K20" s="42">
        <v>0.14927063590986961</v>
      </c>
      <c r="L20" s="42">
        <v>0.16207648220556514</v>
      </c>
      <c r="M20" s="42">
        <v>0.15555119208200296</v>
      </c>
      <c r="N20" s="42">
        <v>0.16422359576781009</v>
      </c>
      <c r="O20" s="42">
        <v>0.16415814366452097</v>
      </c>
      <c r="P20" s="42">
        <v>0.1361190317641903</v>
      </c>
      <c r="Q20" s="42">
        <v>0.16457646797684705</v>
      </c>
      <c r="R20" s="42">
        <v>0.14801708584470208</v>
      </c>
      <c r="S20" s="42">
        <v>0.17564641066357051</v>
      </c>
      <c r="T20" s="42">
        <v>1.8921263965486821</v>
      </c>
      <c r="U20" s="42">
        <v>1.8921263965486816</v>
      </c>
      <c r="V20" s="42">
        <v>0.14612893495199231</v>
      </c>
      <c r="W20" s="42">
        <v>0.17003318137062395</v>
      </c>
      <c r="X20" s="42">
        <v>0.16718743774935829</v>
      </c>
      <c r="Y20" s="42">
        <v>0.17999328404505383</v>
      </c>
      <c r="Z20" s="42">
        <v>0.16839687878839618</v>
      </c>
      <c r="AA20" s="42">
        <v>0.17287892499188964</v>
      </c>
      <c r="AB20" s="42">
        <v>0.18568477128758518</v>
      </c>
      <c r="AC20" s="42">
        <v>0.15865020688556128</v>
      </c>
      <c r="AD20" s="42">
        <v>0.15025526320282753</v>
      </c>
      <c r="AE20" s="42">
        <v>0.15438159145366276</v>
      </c>
      <c r="AF20" s="42">
        <v>0.16140488671094644</v>
      </c>
      <c r="AG20" s="42">
        <v>0.18184159452706586</v>
      </c>
      <c r="AH20" s="42">
        <v>1.9968369559649635</v>
      </c>
      <c r="AI20" s="42">
        <v>1.9968369559649635</v>
      </c>
      <c r="AJ20" s="42">
        <v>0.14553417453514778</v>
      </c>
      <c r="AK20" s="42">
        <v>0.1699577691646604</v>
      </c>
      <c r="AL20" s="42">
        <v>0.16910120033465947</v>
      </c>
      <c r="AM20" s="42">
        <v>0.16981263623997589</v>
      </c>
      <c r="AN20" s="42">
        <v>0.16269827718681168</v>
      </c>
      <c r="AO20" s="42">
        <v>0.17785897632910455</v>
      </c>
      <c r="AP20" s="42">
        <v>0.18617566206225347</v>
      </c>
      <c r="AQ20" s="42">
        <v>0.15080306884992117</v>
      </c>
      <c r="AR20" s="42">
        <v>0.15011866750900679</v>
      </c>
      <c r="AS20" s="42">
        <v>0.15567213618590675</v>
      </c>
      <c r="AT20" s="42">
        <v>0.16067495347209179</v>
      </c>
      <c r="AU20" s="42">
        <v>0.17864582444038452</v>
      </c>
      <c r="AV20" s="42">
        <v>1.977053346309924</v>
      </c>
      <c r="AW20" s="42">
        <v>1.9770533463099242</v>
      </c>
      <c r="AX20" s="42">
        <v>0.14749100000000001</v>
      </c>
      <c r="AY20" s="42">
        <v>0.162413</v>
      </c>
      <c r="AZ20" s="42">
        <v>0.16528399999999999</v>
      </c>
      <c r="BA20" s="42">
        <v>0.191054</v>
      </c>
      <c r="BB20" s="42">
        <v>0.16187599999999999</v>
      </c>
      <c r="BC20" s="42">
        <v>0.17894699999999999</v>
      </c>
      <c r="BD20" s="42">
        <v>0.18994700999999997</v>
      </c>
      <c r="BE20" s="42">
        <v>0.17582800000000001</v>
      </c>
      <c r="BF20" s="42">
        <v>0.16113505</v>
      </c>
      <c r="BG20" s="42">
        <v>0.16519779000000001</v>
      </c>
      <c r="BH20" s="42">
        <v>0.17738950000000001</v>
      </c>
      <c r="BI20" s="42">
        <v>0.58313062000000004</v>
      </c>
      <c r="BJ20" s="45">
        <f t="shared" si="4"/>
        <v>2.4596929700000003</v>
      </c>
      <c r="BK20" s="45">
        <v>2.4596930000000001</v>
      </c>
      <c r="BL20" s="42">
        <v>0.12041773000000001</v>
      </c>
      <c r="BM20" s="42">
        <v>0.18057775999999998</v>
      </c>
      <c r="BN20" s="42">
        <v>0.18178528000000002</v>
      </c>
      <c r="BO20" s="42">
        <v>0.20994722999999998</v>
      </c>
      <c r="BP20" s="42">
        <v>0.198708</v>
      </c>
      <c r="BQ20" s="42">
        <v>0.30185602</v>
      </c>
      <c r="BR20" s="42">
        <v>0.25550419999999996</v>
      </c>
      <c r="BS20" s="42">
        <v>0.25109771999999997</v>
      </c>
      <c r="BT20" s="42">
        <v>0.17518475</v>
      </c>
      <c r="BU20" s="42">
        <v>0.18359754</v>
      </c>
      <c r="BV20" s="42">
        <v>6.8201770000000009E-2</v>
      </c>
      <c r="BW20" s="42">
        <v>0.34062486999999997</v>
      </c>
      <c r="BX20" s="45">
        <f t="shared" si="5"/>
        <v>2.4675028699999997</v>
      </c>
      <c r="BY20" s="45">
        <f>BY18-BY19</f>
        <v>2.4675019999999996</v>
      </c>
      <c r="BZ20" s="45">
        <v>0.15180470999999998</v>
      </c>
      <c r="CA20" s="45">
        <v>0.18018922999999998</v>
      </c>
      <c r="CB20" s="45">
        <v>0.18265049</v>
      </c>
      <c r="CC20" s="45">
        <v>0.19079858000000002</v>
      </c>
      <c r="CD20" s="45">
        <v>0.20722299000000002</v>
      </c>
      <c r="CE20" s="45">
        <v>0.24980202000000001</v>
      </c>
      <c r="CF20" s="45">
        <v>0.26605511999999998</v>
      </c>
      <c r="CG20" s="45">
        <v>0.27030333000000001</v>
      </c>
      <c r="CH20" s="45">
        <v>0.18814323999999996</v>
      </c>
      <c r="CI20" s="45">
        <v>0.18386150000000001</v>
      </c>
      <c r="CJ20" s="45">
        <v>0.18703092999999998</v>
      </c>
      <c r="CK20" s="45">
        <v>0.23855585999999998</v>
      </c>
      <c r="CL20" s="45">
        <f t="shared" si="6"/>
        <v>2.4964179999999998</v>
      </c>
      <c r="CM20" s="45">
        <v>2.4964179999999998</v>
      </c>
      <c r="CN20" s="45">
        <v>0.15872293999999998</v>
      </c>
      <c r="CO20" s="45">
        <v>0.21525053</v>
      </c>
      <c r="CP20" s="45">
        <v>0.22261411999999997</v>
      </c>
      <c r="CQ20" s="45">
        <v>0.23769082</v>
      </c>
      <c r="CR20" s="45">
        <v>0.24876620999999999</v>
      </c>
      <c r="CS20" s="45">
        <v>0.32606161</v>
      </c>
      <c r="CT20" s="45">
        <v>0.38402115999999997</v>
      </c>
      <c r="CU20" s="45">
        <v>0.41330212</v>
      </c>
      <c r="CV20" s="45">
        <v>0.22888454999999999</v>
      </c>
      <c r="CW20" s="45">
        <v>0.24127166</v>
      </c>
      <c r="CX20" s="45">
        <v>0.20940368000000001</v>
      </c>
      <c r="CY20" s="45">
        <v>0.30063074000000001</v>
      </c>
      <c r="CZ20" s="45">
        <f t="shared" si="7"/>
        <v>3.18662014</v>
      </c>
      <c r="DA20" s="45">
        <v>3.1866210000000001</v>
      </c>
      <c r="DB20" s="45">
        <v>0.16038833000000002</v>
      </c>
      <c r="DC20" s="45">
        <v>0.23219789999999998</v>
      </c>
      <c r="DD20" s="45">
        <v>0.25188108000000003</v>
      </c>
      <c r="DE20" s="45">
        <v>0.26718603999999996</v>
      </c>
      <c r="DF20" s="45">
        <v>0.28045352999999995</v>
      </c>
      <c r="DG20" s="45">
        <v>0.35275158999999995</v>
      </c>
      <c r="DH20" s="45">
        <v>0.44185284999999996</v>
      </c>
      <c r="DI20" s="45">
        <v>0.40665796000000004</v>
      </c>
      <c r="DJ20" s="45">
        <v>0.27939660999999999</v>
      </c>
      <c r="DK20" s="45">
        <v>0.27131098999999997</v>
      </c>
      <c r="DL20" s="45">
        <v>0.29890260000000002</v>
      </c>
      <c r="DM20" s="69">
        <v>0.38589019000000002</v>
      </c>
      <c r="DN20" s="42">
        <f t="shared" si="8"/>
        <v>3.6288696699999998</v>
      </c>
      <c r="DO20" s="45">
        <v>3.62887</v>
      </c>
      <c r="DP20" s="42">
        <v>0.16809217999999998</v>
      </c>
      <c r="DQ20" s="42">
        <v>0.25857982000000002</v>
      </c>
      <c r="DR20" s="69">
        <v>0.26461405999999998</v>
      </c>
      <c r="DS20" s="42">
        <v>0.26919643999999998</v>
      </c>
      <c r="DT20" s="42">
        <v>0.32708675999999998</v>
      </c>
      <c r="DU20" s="69">
        <v>0.34815338000000001</v>
      </c>
      <c r="DV20" s="42">
        <v>0.46119964000000002</v>
      </c>
      <c r="DW20" s="69">
        <v>0.40909797000000003</v>
      </c>
      <c r="DX20" s="42">
        <v>0.28106463999999998</v>
      </c>
      <c r="DY20" s="42">
        <v>0.25639072000000002</v>
      </c>
      <c r="DZ20" s="69">
        <v>0.27109325000000001</v>
      </c>
      <c r="EA20" s="42">
        <v>0.30616517999999998</v>
      </c>
      <c r="EB20" s="42">
        <f t="shared" si="9"/>
        <v>3.6207340399999999</v>
      </c>
      <c r="EC20" s="45">
        <f>EC18-EC19</f>
        <v>3.6207339999999988</v>
      </c>
      <c r="ED20" s="42">
        <v>0.19456328000000001</v>
      </c>
      <c r="EE20" s="42">
        <v>0.23553250000000003</v>
      </c>
      <c r="EF20" s="69">
        <v>0.26787533999999996</v>
      </c>
      <c r="EG20" s="42">
        <v>0.30819198999999997</v>
      </c>
      <c r="EH20" s="69">
        <v>0.29108530999999999</v>
      </c>
      <c r="EI20" s="42">
        <v>0.35713412999999999</v>
      </c>
      <c r="EJ20" s="42">
        <v>0.43082986000000006</v>
      </c>
      <c r="EK20" s="42">
        <v>0.38718258999999999</v>
      </c>
      <c r="EL20" s="42">
        <v>0.29004647000000006</v>
      </c>
      <c r="EM20" s="42">
        <v>0.25336067000000001</v>
      </c>
      <c r="EN20" s="42">
        <v>0.23509774999999999</v>
      </c>
      <c r="EO20" s="69">
        <v>0.38114762000000002</v>
      </c>
      <c r="EP20" s="42">
        <f t="shared" si="10"/>
        <v>3.6320475100000005</v>
      </c>
      <c r="EQ20" s="45">
        <f>EQ18-EQ19</f>
        <v>3.6320479999999993</v>
      </c>
      <c r="ER20" s="42">
        <v>0.21376614000000002</v>
      </c>
      <c r="ES20" s="42">
        <v>0.24671404</v>
      </c>
      <c r="ET20" s="69">
        <v>0.25581643999999998</v>
      </c>
      <c r="EU20" s="42">
        <v>0.26624798</v>
      </c>
      <c r="EV20" s="69">
        <v>0.44393485999999999</v>
      </c>
      <c r="EW20" s="42">
        <v>0.40936919999999993</v>
      </c>
      <c r="EX20" s="69">
        <v>0.44936399999999999</v>
      </c>
      <c r="EY20" s="42">
        <v>0.46105453000000002</v>
      </c>
      <c r="EZ20" s="42">
        <v>0.32096916999999997</v>
      </c>
      <c r="FA20" s="42">
        <v>0.28294599999999998</v>
      </c>
      <c r="FB20" s="42">
        <v>0.27879332999999995</v>
      </c>
      <c r="FC20" s="42">
        <v>0.35684021000000005</v>
      </c>
      <c r="FD20" s="42">
        <f t="shared" si="11"/>
        <v>3.9858159000000004</v>
      </c>
      <c r="FE20" s="45">
        <f>FE18-FE19</f>
        <v>3.9858159999999998</v>
      </c>
      <c r="FF20" s="42">
        <v>0.17408322000000001</v>
      </c>
      <c r="FG20" s="42">
        <v>0.25226029</v>
      </c>
      <c r="FH20" s="42">
        <v>0.26338758000000001</v>
      </c>
      <c r="FI20" s="42">
        <v>0.30688251</v>
      </c>
      <c r="FJ20" s="42">
        <v>0.46091976000000001</v>
      </c>
      <c r="FK20" s="42">
        <v>0.41435995999999997</v>
      </c>
      <c r="FL20" s="42">
        <v>0.44132989999999994</v>
      </c>
      <c r="FM20" s="42">
        <v>0.41628113</v>
      </c>
      <c r="FN20" s="42">
        <v>0.30645802</v>
      </c>
      <c r="FO20" s="42">
        <v>0.31416043999999999</v>
      </c>
      <c r="FP20" s="42">
        <v>0.28513371000000004</v>
      </c>
      <c r="FQ20" s="42">
        <v>0.35919695000000007</v>
      </c>
      <c r="FR20" s="42">
        <f t="shared" si="12"/>
        <v>3.9944534700000007</v>
      </c>
      <c r="FS20" s="45">
        <f>FS18-FS19</f>
        <v>3.994453</v>
      </c>
      <c r="FT20" s="42">
        <v>0.24338363000000002</v>
      </c>
      <c r="FU20" s="42">
        <v>0.26982653000000001</v>
      </c>
      <c r="FV20" s="42">
        <v>0.27535671</v>
      </c>
      <c r="FW20" s="42">
        <v>0.41559482000000003</v>
      </c>
      <c r="FX20" s="42">
        <v>0.39475339999999992</v>
      </c>
      <c r="FY20" s="42">
        <v>0.46667720000000001</v>
      </c>
      <c r="FZ20" s="42">
        <v>0.56071807000000007</v>
      </c>
      <c r="GA20" s="42">
        <v>0.49530929000000001</v>
      </c>
      <c r="GB20" s="42">
        <v>0.37222094999999999</v>
      </c>
      <c r="GC20" s="42">
        <v>0.33931257999999997</v>
      </c>
      <c r="GD20" s="42">
        <v>0.35158772999999999</v>
      </c>
      <c r="GE20" s="42">
        <v>0.69228595000000004</v>
      </c>
      <c r="GF20" s="42">
        <f t="shared" si="13"/>
        <v>4.8770268600000009</v>
      </c>
      <c r="GG20" s="45">
        <f>GG18-GG19</f>
        <v>4.877027</v>
      </c>
      <c r="GH20" s="42">
        <v>1.702559E-2</v>
      </c>
      <c r="GI20" s="42">
        <v>0.31837234000000003</v>
      </c>
      <c r="GJ20" s="42">
        <v>0.38220832999999999</v>
      </c>
      <c r="GK20" s="42">
        <v>0.49016514</v>
      </c>
      <c r="GL20" s="42">
        <v>0.42092074999999995</v>
      </c>
      <c r="GM20" s="42">
        <v>0.49043165999999999</v>
      </c>
      <c r="GN20" s="42">
        <v>0.54016039000000005</v>
      </c>
      <c r="GO20" s="42">
        <v>0.89604151999999981</v>
      </c>
      <c r="GP20" s="42">
        <v>0.39280883999999999</v>
      </c>
      <c r="GQ20" s="42">
        <v>0.37029786999999997</v>
      </c>
      <c r="GR20" s="42">
        <v>0.36094053000000004</v>
      </c>
      <c r="GS20" s="42">
        <v>0.36540570999999999</v>
      </c>
      <c r="GT20" s="42">
        <f t="shared" si="14"/>
        <v>5.0447786699999995</v>
      </c>
      <c r="GU20" s="42">
        <v>5.044778</v>
      </c>
      <c r="GV20" s="42">
        <v>0.30174477999999999</v>
      </c>
      <c r="GW20" s="42">
        <v>0.33488887000000001</v>
      </c>
      <c r="GX20" s="42">
        <v>0.36202718</v>
      </c>
      <c r="GY20" s="42">
        <v>0.38073616000000005</v>
      </c>
      <c r="GZ20" s="42">
        <v>0.52787499999999998</v>
      </c>
      <c r="HA20" s="42">
        <v>0.50648155000000006</v>
      </c>
      <c r="HB20" s="42">
        <v>0.59418840000000006</v>
      </c>
      <c r="HC20" s="42">
        <v>0.94871782000000016</v>
      </c>
      <c r="HD20" s="42">
        <v>0.40106793999999996</v>
      </c>
      <c r="HE20" s="42">
        <v>0.36590007999999996</v>
      </c>
      <c r="HF20" s="42">
        <v>0.37420164</v>
      </c>
      <c r="HG20" s="42">
        <v>0.31159903999999999</v>
      </c>
      <c r="HH20" s="42">
        <f t="shared" si="15"/>
        <v>5.4094284600000009</v>
      </c>
      <c r="HI20" s="42">
        <v>0.38912763</v>
      </c>
      <c r="HJ20" s="42">
        <v>0.36109709999999995</v>
      </c>
      <c r="HK20" s="42">
        <v>0.34198009000000007</v>
      </c>
      <c r="HL20" s="42">
        <v>0.34862035000000002</v>
      </c>
      <c r="HM20" s="42"/>
      <c r="HN20" s="42"/>
      <c r="HO20" s="42"/>
      <c r="HP20" s="42"/>
      <c r="HQ20" s="42"/>
      <c r="HR20" s="42"/>
      <c r="HS20" s="42"/>
      <c r="HT20" s="42"/>
      <c r="HU20" s="300">
        <f t="shared" si="16"/>
        <v>1.379397</v>
      </c>
      <c r="HV20" s="300">
        <f t="shared" si="17"/>
        <v>1.440825</v>
      </c>
      <c r="HW20" s="280">
        <f t="shared" si="18"/>
        <v>6.1428000000000038E-2</v>
      </c>
      <c r="HX20" s="280">
        <f t="shared" si="19"/>
        <v>4.453250224554651</v>
      </c>
    </row>
    <row r="21" spans="1:232" s="12" customFormat="1" ht="20.5">
      <c r="A21" s="47" t="s">
        <v>127</v>
      </c>
      <c r="B21" s="13">
        <v>2000</v>
      </c>
      <c r="C21" s="47" t="s">
        <v>128</v>
      </c>
      <c r="D21" s="45">
        <v>7.2371827707298193</v>
      </c>
      <c r="E21" s="42">
        <v>7.5034988417823456</v>
      </c>
      <c r="F21" s="42">
        <v>7.2978412188889079</v>
      </c>
      <c r="G21" s="42">
        <v>3.620034888816797</v>
      </c>
      <c r="H21" s="42">
        <v>0.23292553827240597</v>
      </c>
      <c r="I21" s="42">
        <v>0.26615101792249335</v>
      </c>
      <c r="J21" s="42">
        <v>0.32850695215166675</v>
      </c>
      <c r="K21" s="42">
        <v>0.2648320157540367</v>
      </c>
      <c r="L21" s="42">
        <v>0.30440492655135715</v>
      </c>
      <c r="M21" s="42">
        <v>0.4294212895771794</v>
      </c>
      <c r="N21" s="42">
        <v>0.23017085844702079</v>
      </c>
      <c r="O21" s="42">
        <v>0.2600468978548785</v>
      </c>
      <c r="P21" s="42">
        <v>0.24517077307471213</v>
      </c>
      <c r="Q21" s="42">
        <v>0.25581669996186707</v>
      </c>
      <c r="R21" s="42">
        <v>0.30900364824332249</v>
      </c>
      <c r="S21" s="42">
        <v>0.39569780479337058</v>
      </c>
      <c r="T21" s="42">
        <v>3.5221484226043112</v>
      </c>
      <c r="U21" s="42">
        <v>3.5221512683479324</v>
      </c>
      <c r="V21" s="42">
        <v>0.24057916574179999</v>
      </c>
      <c r="W21" s="42">
        <v>0.26557565124842775</v>
      </c>
      <c r="X21" s="42">
        <v>0.32235730018611164</v>
      </c>
      <c r="Y21" s="42">
        <v>0.29791698681282403</v>
      </c>
      <c r="Z21" s="42">
        <v>0.33714947552945063</v>
      </c>
      <c r="AA21" s="42">
        <v>0.45914223595767811</v>
      </c>
      <c r="AB21" s="42">
        <v>0.29106408045486365</v>
      </c>
      <c r="AC21" s="42">
        <v>0.29644822738629834</v>
      </c>
      <c r="AD21" s="42">
        <v>0.25127347027051639</v>
      </c>
      <c r="AE21" s="42">
        <v>0.2301224808054593</v>
      </c>
      <c r="AF21" s="42">
        <v>0.22149276327397113</v>
      </c>
      <c r="AG21" s="42">
        <v>0.41250761236418693</v>
      </c>
      <c r="AH21" s="42">
        <v>3.625629450031588</v>
      </c>
      <c r="AI21" s="42">
        <v>3.6256296207762051</v>
      </c>
      <c r="AJ21" s="42">
        <v>0.24425159788504336</v>
      </c>
      <c r="AK21" s="42">
        <v>0.34273709312980577</v>
      </c>
      <c r="AL21" s="42">
        <v>0.32063420242343527</v>
      </c>
      <c r="AM21" s="42">
        <v>0.30471368973426449</v>
      </c>
      <c r="AN21" s="42">
        <v>0.28077529439217763</v>
      </c>
      <c r="AO21" s="42">
        <v>0.431542791446833</v>
      </c>
      <c r="AP21" s="42">
        <v>0.29283982447453344</v>
      </c>
      <c r="AQ21" s="42">
        <v>0.2645147153402656</v>
      </c>
      <c r="AR21" s="42">
        <v>0.26169173766797005</v>
      </c>
      <c r="AS21" s="42">
        <v>0.29412610059134553</v>
      </c>
      <c r="AT21" s="42">
        <v>0.26360834599689248</v>
      </c>
      <c r="AU21" s="42">
        <v>0.37147341221734653</v>
      </c>
      <c r="AV21" s="42">
        <v>3.672908805299913</v>
      </c>
      <c r="AW21" s="42">
        <v>3.6729059595562914</v>
      </c>
      <c r="AX21" s="42">
        <v>0.246112</v>
      </c>
      <c r="AY21" s="42">
        <v>0.29317199999999999</v>
      </c>
      <c r="AZ21" s="42">
        <v>0.31929299999999999</v>
      </c>
      <c r="BA21" s="42">
        <v>0.30507299999999998</v>
      </c>
      <c r="BB21" s="42">
        <v>0.30567</v>
      </c>
      <c r="BC21" s="42">
        <v>0.35961300000000002</v>
      </c>
      <c r="BD21" s="42">
        <v>0.25523244</v>
      </c>
      <c r="BE21" s="42">
        <v>0.23078399999999999</v>
      </c>
      <c r="BF21" s="42">
        <v>0.27196987</v>
      </c>
      <c r="BG21" s="42">
        <v>0.34227578000000003</v>
      </c>
      <c r="BH21" s="42">
        <v>0.29485383000000009</v>
      </c>
      <c r="BI21" s="42">
        <v>0.42535284999999995</v>
      </c>
      <c r="BJ21" s="45">
        <f t="shared" si="4"/>
        <v>3.6494017699999994</v>
      </c>
      <c r="BK21" s="45">
        <v>3.649403</v>
      </c>
      <c r="BL21" s="42">
        <v>0.28514354999999997</v>
      </c>
      <c r="BM21" s="42">
        <v>0.27468148999999997</v>
      </c>
      <c r="BN21" s="42">
        <v>0.23704772000000002</v>
      </c>
      <c r="BO21" s="42">
        <v>0.49794398000000001</v>
      </c>
      <c r="BP21" s="42">
        <v>0.39257755000000011</v>
      </c>
      <c r="BQ21" s="42">
        <v>0.23976765000000003</v>
      </c>
      <c r="BR21" s="42">
        <v>0.23891459999999998</v>
      </c>
      <c r="BS21" s="42">
        <v>0.22266047999999999</v>
      </c>
      <c r="BT21" s="42">
        <v>0.24377666000000003</v>
      </c>
      <c r="BU21" s="42">
        <v>0.28234354999999994</v>
      </c>
      <c r="BV21" s="42">
        <v>0.25034011</v>
      </c>
      <c r="BW21" s="42">
        <v>0.31365003000000002</v>
      </c>
      <c r="BX21" s="45">
        <f t="shared" si="5"/>
        <v>3.4788473700000004</v>
      </c>
      <c r="BY21" s="45">
        <v>3.4788480000000002</v>
      </c>
      <c r="BZ21" s="45">
        <v>0.24568345000000003</v>
      </c>
      <c r="CA21" s="45">
        <v>0.31039762999999992</v>
      </c>
      <c r="CB21" s="45">
        <v>0.26059495999999999</v>
      </c>
      <c r="CC21" s="45">
        <v>0.25035576000000004</v>
      </c>
      <c r="CD21" s="45">
        <v>0.32895176999999998</v>
      </c>
      <c r="CE21" s="45">
        <v>0.32195305999999996</v>
      </c>
      <c r="CF21" s="45">
        <v>0.30708894999999997</v>
      </c>
      <c r="CG21" s="45">
        <v>0.28321499</v>
      </c>
      <c r="CH21" s="45">
        <v>0.25312759999999995</v>
      </c>
      <c r="CI21" s="45">
        <v>0.26933949000000001</v>
      </c>
      <c r="CJ21" s="45">
        <v>0.29755072999999999</v>
      </c>
      <c r="CK21" s="45">
        <v>0.22634059999999998</v>
      </c>
      <c r="CL21" s="45">
        <f t="shared" si="6"/>
        <v>3.3545989899999999</v>
      </c>
      <c r="CM21" s="45">
        <v>3.3545980000000002</v>
      </c>
      <c r="CN21" s="45">
        <v>0.27482618000000009</v>
      </c>
      <c r="CO21" s="45">
        <v>0.29547461999999991</v>
      </c>
      <c r="CP21" s="45">
        <v>0.26486209000000011</v>
      </c>
      <c r="CQ21" s="45">
        <v>0.50704459999999996</v>
      </c>
      <c r="CR21" s="45">
        <v>0.32613977</v>
      </c>
      <c r="CS21" s="45">
        <v>0.38454025000000008</v>
      </c>
      <c r="CT21" s="45">
        <v>0.27343867000000005</v>
      </c>
      <c r="CU21" s="45">
        <v>0.25977897999999999</v>
      </c>
      <c r="CV21" s="45">
        <v>0.24952195000000005</v>
      </c>
      <c r="CW21" s="45">
        <v>0.26298098999999997</v>
      </c>
      <c r="CX21" s="45">
        <v>0.2639957</v>
      </c>
      <c r="CY21" s="45">
        <v>0.24300003000000001</v>
      </c>
      <c r="CZ21" s="45">
        <f t="shared" si="7"/>
        <v>3.6056038300000006</v>
      </c>
      <c r="DA21" s="45">
        <v>3.6056029999999999</v>
      </c>
      <c r="DB21" s="45">
        <v>0.30050897999999998</v>
      </c>
      <c r="DC21" s="45">
        <v>0.23277634000000003</v>
      </c>
      <c r="DD21" s="45">
        <v>0.21624832999999999</v>
      </c>
      <c r="DE21" s="45">
        <v>0.20932659999999997</v>
      </c>
      <c r="DF21" s="45">
        <v>0.36168797000000003</v>
      </c>
      <c r="DG21" s="45">
        <v>0.53577777000000004</v>
      </c>
      <c r="DH21" s="45">
        <v>0.24928057999999997</v>
      </c>
      <c r="DI21" s="45">
        <v>0.24928167999999992</v>
      </c>
      <c r="DJ21" s="45">
        <v>0.25793026000000002</v>
      </c>
      <c r="DK21" s="45">
        <v>0.27301577999999999</v>
      </c>
      <c r="DL21" s="45">
        <v>0.30117496999999999</v>
      </c>
      <c r="DM21" s="69">
        <v>0.53904291000000015</v>
      </c>
      <c r="DN21" s="42">
        <f t="shared" si="8"/>
        <v>3.72605217</v>
      </c>
      <c r="DO21" s="45">
        <v>3.7260520000000001</v>
      </c>
      <c r="DP21" s="42">
        <v>0.21149103999999999</v>
      </c>
      <c r="DQ21" s="42">
        <v>0.25261957000000002</v>
      </c>
      <c r="DR21" s="69">
        <v>0.40325011000000005</v>
      </c>
      <c r="DS21" s="42">
        <v>0.29751437999999997</v>
      </c>
      <c r="DT21" s="42">
        <v>0.40769169999999999</v>
      </c>
      <c r="DU21" s="69">
        <v>0.27953878999999998</v>
      </c>
      <c r="DV21" s="42">
        <v>0.27741459999999996</v>
      </c>
      <c r="DW21" s="69">
        <v>0.26057824000000007</v>
      </c>
      <c r="DX21" s="42">
        <v>0.28731076000000005</v>
      </c>
      <c r="DY21" s="42">
        <v>0.33158881000000007</v>
      </c>
      <c r="DZ21" s="69">
        <v>0.33649068999999998</v>
      </c>
      <c r="EA21" s="42">
        <v>0.46615486</v>
      </c>
      <c r="EB21" s="42">
        <f t="shared" si="9"/>
        <v>3.8116435499999999</v>
      </c>
      <c r="EC21" s="45">
        <v>3.8116439999999998</v>
      </c>
      <c r="ED21" s="42">
        <v>0.21956548000000001</v>
      </c>
      <c r="EE21" s="42">
        <v>0.47607169999999999</v>
      </c>
      <c r="EF21" s="69">
        <v>0.59708330999999992</v>
      </c>
      <c r="EG21" s="42">
        <v>0.47570768000000008</v>
      </c>
      <c r="EH21" s="69">
        <v>0.43987471</v>
      </c>
      <c r="EI21" s="42">
        <v>0.64321190999999978</v>
      </c>
      <c r="EJ21" s="42">
        <v>0.43283005999999996</v>
      </c>
      <c r="EK21" s="42">
        <v>0.48900627999999996</v>
      </c>
      <c r="EL21" s="42">
        <v>0.42693546999999998</v>
      </c>
      <c r="EM21" s="42">
        <v>0.48198801999999979</v>
      </c>
      <c r="EN21" s="42">
        <v>0.45386029999999999</v>
      </c>
      <c r="EO21" s="69">
        <v>0.66344440000000016</v>
      </c>
      <c r="EP21" s="42">
        <f t="shared" si="10"/>
        <v>5.7995793199999994</v>
      </c>
      <c r="EQ21" s="42">
        <v>5.7995799999999997</v>
      </c>
      <c r="ER21" s="42">
        <v>0.41979039000000001</v>
      </c>
      <c r="ES21" s="42">
        <v>0.40799419000000003</v>
      </c>
      <c r="ET21" s="69">
        <v>0.66619591</v>
      </c>
      <c r="EU21" s="42">
        <v>0.48653907000000002</v>
      </c>
      <c r="EV21" s="69">
        <v>0.43877100000000002</v>
      </c>
      <c r="EW21" s="42">
        <v>0.63951180000000007</v>
      </c>
      <c r="EX21" s="69">
        <v>0.45258700000000002</v>
      </c>
      <c r="EY21" s="42">
        <v>0.46337400000000001</v>
      </c>
      <c r="EZ21" s="42">
        <v>0.47339199999999998</v>
      </c>
      <c r="FA21" s="42">
        <v>0.50613699999999995</v>
      </c>
      <c r="FB21" s="42">
        <v>0.46722981000000008</v>
      </c>
      <c r="FC21" s="42">
        <v>0.7873211699999999</v>
      </c>
      <c r="FD21" s="42">
        <f t="shared" si="11"/>
        <v>6.2088433400000005</v>
      </c>
      <c r="FE21" s="42">
        <v>6.2088429999999999</v>
      </c>
      <c r="FF21" s="42">
        <v>0.40838138999999996</v>
      </c>
      <c r="FG21" s="42">
        <v>0.40952913000000002</v>
      </c>
      <c r="FH21" s="42">
        <v>0.66293726000000008</v>
      </c>
      <c r="FI21" s="42">
        <v>0.48565438000000011</v>
      </c>
      <c r="FJ21" s="42">
        <v>0.60342018000000008</v>
      </c>
      <c r="FK21" s="42">
        <v>0.56214252999999992</v>
      </c>
      <c r="FL21" s="42">
        <v>0.52028430999999997</v>
      </c>
      <c r="FM21" s="42">
        <v>0.50142806999999989</v>
      </c>
      <c r="FN21" s="42">
        <v>0.52612254999999986</v>
      </c>
      <c r="FO21" s="42">
        <v>0.56447474999999991</v>
      </c>
      <c r="FP21" s="42">
        <v>0.52936023999999993</v>
      </c>
      <c r="FQ21" s="42">
        <v>0.87632966999999984</v>
      </c>
      <c r="FR21" s="42">
        <f t="shared" si="12"/>
        <v>6.6500644599999994</v>
      </c>
      <c r="FS21" s="42">
        <v>6.6500649999999997</v>
      </c>
      <c r="FT21" s="42">
        <v>0.57019407000000011</v>
      </c>
      <c r="FU21" s="42">
        <v>0.42632015000000006</v>
      </c>
      <c r="FV21" s="42">
        <v>0.47755336000000004</v>
      </c>
      <c r="FW21" s="42">
        <v>0.83841754000000002</v>
      </c>
      <c r="FX21" s="42">
        <v>0.77693445000000017</v>
      </c>
      <c r="FY21" s="42">
        <v>0.49593623999999997</v>
      </c>
      <c r="FZ21" s="42">
        <v>0.48112760999999998</v>
      </c>
      <c r="GA21" s="42">
        <v>0.5586579599999999</v>
      </c>
      <c r="GB21" s="42">
        <v>0.49838310000000008</v>
      </c>
      <c r="GC21" s="42">
        <v>0.91451075000000004</v>
      </c>
      <c r="GD21" s="42">
        <v>0.54816615999999996</v>
      </c>
      <c r="GE21" s="42">
        <v>0.75541301999999977</v>
      </c>
      <c r="GF21" s="42">
        <f t="shared" si="13"/>
        <v>7.3416144099999991</v>
      </c>
      <c r="GG21" s="42">
        <v>7.3416129999999997</v>
      </c>
      <c r="GH21" s="42">
        <v>0.51509687000000004</v>
      </c>
      <c r="GI21" s="42">
        <v>0.47200315999999998</v>
      </c>
      <c r="GJ21" s="42">
        <v>0.45760053000000001</v>
      </c>
      <c r="GK21" s="42">
        <v>0.48752404999999999</v>
      </c>
      <c r="GL21" s="42">
        <v>0.96727577000000009</v>
      </c>
      <c r="GM21" s="42">
        <v>0.54503371999999994</v>
      </c>
      <c r="GN21" s="42">
        <v>0.54143733999999999</v>
      </c>
      <c r="GO21" s="42">
        <v>0.59764432999999995</v>
      </c>
      <c r="GP21" s="42">
        <v>0.51399410000000001</v>
      </c>
      <c r="GQ21" s="42">
        <v>0.60283947999999998</v>
      </c>
      <c r="GR21" s="42">
        <v>0.65880075999999999</v>
      </c>
      <c r="GS21" s="42">
        <v>0.72253721999999987</v>
      </c>
      <c r="GT21" s="42">
        <f t="shared" si="14"/>
        <v>7.0817873299999992</v>
      </c>
      <c r="GU21" s="42">
        <v>7.0817870000000003</v>
      </c>
      <c r="GV21" s="42">
        <v>0.59739750000000003</v>
      </c>
      <c r="GW21" s="42">
        <v>0.66864590000000013</v>
      </c>
      <c r="GX21" s="42">
        <v>0.60208853999999989</v>
      </c>
      <c r="GY21" s="42">
        <v>0.56272820999999995</v>
      </c>
      <c r="GZ21" s="42">
        <v>0.72180856999999998</v>
      </c>
      <c r="HA21" s="42">
        <v>0.50883289999999992</v>
      </c>
      <c r="HB21" s="42">
        <v>0.54536651000000014</v>
      </c>
      <c r="HC21" s="42">
        <v>0.51991921000000008</v>
      </c>
      <c r="HD21" s="42">
        <v>0.55293173000000018</v>
      </c>
      <c r="HE21" s="42">
        <v>0.73284521000000002</v>
      </c>
      <c r="HF21" s="42">
        <v>0.74769720000000017</v>
      </c>
      <c r="HG21" s="42">
        <v>1.0046845899999999</v>
      </c>
      <c r="HH21" s="42">
        <f t="shared" si="15"/>
        <v>7.7649460700000006</v>
      </c>
      <c r="HI21" s="42">
        <v>0.58328335000000009</v>
      </c>
      <c r="HJ21" s="42">
        <v>0.48318996999999997</v>
      </c>
      <c r="HK21" s="42">
        <v>0.68549779</v>
      </c>
      <c r="HL21" s="42">
        <v>0.55703235000000006</v>
      </c>
      <c r="HM21" s="42"/>
      <c r="HN21" s="42"/>
      <c r="HO21" s="42"/>
      <c r="HP21" s="42"/>
      <c r="HQ21" s="42"/>
      <c r="HR21" s="42"/>
      <c r="HS21" s="42"/>
      <c r="HT21" s="42"/>
      <c r="HU21" s="300">
        <f t="shared" si="16"/>
        <v>2.43086</v>
      </c>
      <c r="HV21" s="300">
        <f t="shared" si="17"/>
        <v>2.3090030000000001</v>
      </c>
      <c r="HW21" s="280">
        <f t="shared" si="18"/>
        <v>-0.12185699999999988</v>
      </c>
      <c r="HX21" s="280">
        <f t="shared" si="19"/>
        <v>-5.0129172391663843</v>
      </c>
    </row>
    <row r="22" spans="1:232" s="12" customFormat="1" ht="20.25" hidden="1" customHeight="1">
      <c r="A22" s="46" t="s">
        <v>129</v>
      </c>
      <c r="B22" s="13" t="s">
        <v>130</v>
      </c>
      <c r="C22" s="46" t="s">
        <v>129</v>
      </c>
      <c r="D22" s="45">
        <v>0.41102355706569682</v>
      </c>
      <c r="E22" s="42">
        <v>9.219640184176528E-2</v>
      </c>
      <c r="F22" s="42">
        <v>3.9575756540941712E-2</v>
      </c>
      <c r="G22" s="42">
        <v>1.0095275496439975E-2</v>
      </c>
      <c r="H22" s="100"/>
      <c r="I22" s="100"/>
      <c r="J22" s="100"/>
      <c r="K22" s="100"/>
      <c r="L22" s="42">
        <v>9.5332411312400048E-5</v>
      </c>
      <c r="M22" s="100"/>
      <c r="N22" s="100"/>
      <c r="O22" s="100"/>
      <c r="P22" s="100"/>
      <c r="Q22" s="100"/>
      <c r="R22" s="100"/>
      <c r="S22" s="100"/>
      <c r="T22" s="42">
        <v>9.5332411312400048E-5</v>
      </c>
      <c r="U22" s="42">
        <v>9.5332411312400048E-5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42">
        <v>0</v>
      </c>
      <c r="AI22" s="42">
        <v>0</v>
      </c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42">
        <v>0</v>
      </c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5"/>
      <c r="BK22" s="45"/>
      <c r="BL22" s="42">
        <v>0</v>
      </c>
      <c r="BM22" s="42">
        <v>0</v>
      </c>
      <c r="BN22" s="42">
        <v>0</v>
      </c>
      <c r="BO22" s="42">
        <v>0</v>
      </c>
      <c r="BP22" s="42">
        <v>0</v>
      </c>
      <c r="BQ22" s="42">
        <v>0</v>
      </c>
      <c r="BR22" s="42">
        <v>0</v>
      </c>
      <c r="BS22" s="42">
        <v>0</v>
      </c>
      <c r="BT22" s="42">
        <v>0</v>
      </c>
      <c r="BU22" s="42">
        <v>0</v>
      </c>
      <c r="BV22" s="42">
        <v>0</v>
      </c>
      <c r="BW22" s="42">
        <v>0</v>
      </c>
      <c r="BX22" s="45">
        <f t="shared" si="5"/>
        <v>0</v>
      </c>
      <c r="BY22" s="45"/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f t="shared" si="6"/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f t="shared" si="7"/>
        <v>0</v>
      </c>
      <c r="DA22" s="45"/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69">
        <v>0</v>
      </c>
      <c r="DN22" s="42">
        <f t="shared" si="8"/>
        <v>0</v>
      </c>
      <c r="DO22" s="45"/>
      <c r="DP22" s="42">
        <v>0</v>
      </c>
      <c r="DQ22" s="42">
        <v>0</v>
      </c>
      <c r="DR22" s="69">
        <v>0</v>
      </c>
      <c r="DS22" s="42">
        <v>0</v>
      </c>
      <c r="DT22" s="42">
        <v>0</v>
      </c>
      <c r="DU22" s="69">
        <v>0</v>
      </c>
      <c r="DV22" s="42">
        <v>0</v>
      </c>
      <c r="DW22" s="69">
        <v>0</v>
      </c>
      <c r="DX22" s="42">
        <v>0</v>
      </c>
      <c r="DY22" s="42">
        <v>0</v>
      </c>
      <c r="DZ22" s="69">
        <v>0</v>
      </c>
      <c r="EA22" s="42">
        <v>0</v>
      </c>
      <c r="EB22" s="42">
        <f t="shared" si="9"/>
        <v>0</v>
      </c>
      <c r="EC22" s="45"/>
      <c r="ED22" s="42">
        <v>0</v>
      </c>
      <c r="EE22" s="42">
        <v>0</v>
      </c>
      <c r="EF22" s="69">
        <v>0</v>
      </c>
      <c r="EG22" s="42"/>
      <c r="EH22" s="69">
        <v>0</v>
      </c>
      <c r="EI22" s="42">
        <v>0</v>
      </c>
      <c r="EJ22" s="42">
        <v>0</v>
      </c>
      <c r="EK22" s="42">
        <v>0</v>
      </c>
      <c r="EL22" s="42">
        <v>0</v>
      </c>
      <c r="EM22" s="42">
        <v>0</v>
      </c>
      <c r="EN22" s="42">
        <v>0</v>
      </c>
      <c r="EO22" s="69">
        <v>0</v>
      </c>
      <c r="EP22" s="42">
        <f t="shared" si="10"/>
        <v>0</v>
      </c>
      <c r="EQ22" s="42"/>
      <c r="ER22" s="42">
        <v>0</v>
      </c>
      <c r="ES22" s="42">
        <v>0</v>
      </c>
      <c r="ET22" s="69"/>
      <c r="EU22" s="42"/>
      <c r="EV22" s="69"/>
      <c r="EW22" s="42"/>
      <c r="EX22" s="69"/>
      <c r="EY22" s="42"/>
      <c r="EZ22" s="42"/>
      <c r="FA22" s="42"/>
      <c r="FB22" s="42"/>
      <c r="FC22" s="42"/>
      <c r="FD22" s="42">
        <f t="shared" si="11"/>
        <v>0</v>
      </c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>
        <f t="shared" si="12"/>
        <v>0</v>
      </c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>
        <f t="shared" si="13"/>
        <v>0</v>
      </c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>
        <f t="shared" si="14"/>
        <v>0</v>
      </c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>
        <f t="shared" si="15"/>
        <v>0</v>
      </c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300">
        <f t="shared" si="16"/>
        <v>0</v>
      </c>
      <c r="HV22" s="300">
        <f t="shared" si="17"/>
        <v>0</v>
      </c>
      <c r="HW22" s="280">
        <f t="shared" si="18"/>
        <v>0</v>
      </c>
      <c r="HX22" s="280"/>
    </row>
    <row r="23" spans="1:232" s="12" customFormat="1" ht="20.5">
      <c r="A23" s="46" t="s">
        <v>222</v>
      </c>
      <c r="B23" s="13">
        <v>3000</v>
      </c>
      <c r="C23" s="46" t="s">
        <v>133</v>
      </c>
      <c r="D23" s="45">
        <v>6.7576707019311213</v>
      </c>
      <c r="E23" s="42">
        <v>4.8487202690935174</v>
      </c>
      <c r="F23" s="42">
        <v>9.3876130471653543</v>
      </c>
      <c r="G23" s="42">
        <v>7.6917319764827745</v>
      </c>
      <c r="H23" s="42">
        <v>0.67790023961161294</v>
      </c>
      <c r="I23" s="42">
        <v>0.66497629495563482</v>
      </c>
      <c r="J23" s="42">
        <v>0.47115696552666181</v>
      </c>
      <c r="K23" s="42">
        <v>0.72257699159367339</v>
      </c>
      <c r="L23" s="42">
        <v>0.41394613576473666</v>
      </c>
      <c r="M23" s="42">
        <v>0.64938731139834149</v>
      </c>
      <c r="N23" s="42">
        <v>0.57193186151473241</v>
      </c>
      <c r="O23" s="42">
        <v>0.49813888367169229</v>
      </c>
      <c r="P23" s="42">
        <v>0.55267613730143827</v>
      </c>
      <c r="Q23" s="42">
        <v>1.121312627702745</v>
      </c>
      <c r="R23" s="42">
        <v>1.4172372382627305</v>
      </c>
      <c r="S23" s="42">
        <v>1.9281961969482244</v>
      </c>
      <c r="T23" s="42">
        <v>9.689436884252224</v>
      </c>
      <c r="U23" s="42">
        <v>9.6894383071240355</v>
      </c>
      <c r="V23" s="42">
        <v>0.32846142025372649</v>
      </c>
      <c r="W23" s="42">
        <v>0.62636619882641531</v>
      </c>
      <c r="X23" s="42">
        <v>0.83687059265456665</v>
      </c>
      <c r="Y23" s="42">
        <v>0.8077472524345336</v>
      </c>
      <c r="Z23" s="42">
        <v>1.0820808504220238</v>
      </c>
      <c r="AA23" s="42">
        <v>0.7519521801241883</v>
      </c>
      <c r="AB23" s="42">
        <v>0.58725476804343746</v>
      </c>
      <c r="AC23" s="42">
        <v>0.58853108405757504</v>
      </c>
      <c r="AD23" s="42">
        <v>0.54699318728977075</v>
      </c>
      <c r="AE23" s="42">
        <v>0.39057973489052422</v>
      </c>
      <c r="AF23" s="42">
        <v>0.4486883967649587</v>
      </c>
      <c r="AG23" s="42">
        <v>1.1383315974297243</v>
      </c>
      <c r="AH23" s="42">
        <v>8.1338572631914445</v>
      </c>
      <c r="AI23" s="42">
        <v>8.1338580884570959</v>
      </c>
      <c r="AJ23" s="42">
        <v>0.56347573434414144</v>
      </c>
      <c r="AK23" s="42">
        <v>0.42772664925071568</v>
      </c>
      <c r="AL23" s="42">
        <v>0.64950683263043463</v>
      </c>
      <c r="AM23" s="42">
        <v>0.79459991690428633</v>
      </c>
      <c r="AN23" s="42">
        <v>0.5164640497208326</v>
      </c>
      <c r="AO23" s="42">
        <v>0.51402524743740785</v>
      </c>
      <c r="AP23" s="42">
        <v>0.42424772767371843</v>
      </c>
      <c r="AQ23" s="42">
        <v>0.55979903358546623</v>
      </c>
      <c r="AR23" s="42">
        <v>0.50503269759420832</v>
      </c>
      <c r="AS23" s="42">
        <v>0.9709478033704988</v>
      </c>
      <c r="AT23" s="42">
        <v>0.86632403913466627</v>
      </c>
      <c r="AU23" s="42">
        <v>0.94643456781691626</v>
      </c>
      <c r="AV23" s="42">
        <v>7.7385842994632918</v>
      </c>
      <c r="AW23" s="42">
        <v>7.7385842994632927</v>
      </c>
      <c r="AX23" s="42">
        <f>AX24+AX25</f>
        <v>0.38784800000000003</v>
      </c>
      <c r="AY23" s="42">
        <f>AY24+AY25</f>
        <v>0.61224800000000001</v>
      </c>
      <c r="AZ23" s="42">
        <f t="shared" ref="AZ23:BG23" si="24">AZ24+AZ25</f>
        <v>0.61951999999999996</v>
      </c>
      <c r="BA23" s="42">
        <f t="shared" si="24"/>
        <v>0.54152699999999998</v>
      </c>
      <c r="BB23" s="42">
        <f t="shared" si="24"/>
        <v>0.35315400000000002</v>
      </c>
      <c r="BC23" s="42">
        <f t="shared" si="24"/>
        <v>0.30602800000000002</v>
      </c>
      <c r="BD23" s="42">
        <f t="shared" si="24"/>
        <v>0.48809163999999994</v>
      </c>
      <c r="BE23" s="42">
        <f t="shared" si="24"/>
        <v>0.47531200000000001</v>
      </c>
      <c r="BF23" s="42">
        <f t="shared" si="24"/>
        <v>0.73003507000000012</v>
      </c>
      <c r="BG23" s="42">
        <f t="shared" si="24"/>
        <v>1.0387139599999999</v>
      </c>
      <c r="BH23" s="42">
        <f>BH24+BH25</f>
        <v>0.83708778000000006</v>
      </c>
      <c r="BI23" s="42">
        <f>BI24+BI25</f>
        <v>0.69240102999999986</v>
      </c>
      <c r="BJ23" s="45">
        <f t="shared" si="4"/>
        <v>7.0819664800000002</v>
      </c>
      <c r="BK23" s="45">
        <f>BK24+BK25</f>
        <v>7.0819660000000004</v>
      </c>
      <c r="BL23" s="42">
        <f>BL24+BL25</f>
        <v>0.19341107999999999</v>
      </c>
      <c r="BM23" s="42">
        <v>0.41770700999999999</v>
      </c>
      <c r="BN23" s="42">
        <v>0.36676402000000002</v>
      </c>
      <c r="BO23" s="42">
        <v>0.60438805000000007</v>
      </c>
      <c r="BP23" s="42">
        <v>0.42693089000000001</v>
      </c>
      <c r="BQ23" s="42">
        <v>0.31143736999999999</v>
      </c>
      <c r="BR23" s="42">
        <v>0.35688394000000001</v>
      </c>
      <c r="BS23" s="42">
        <v>0.41004339999999995</v>
      </c>
      <c r="BT23" s="42">
        <v>0.53205480999999999</v>
      </c>
      <c r="BU23" s="42">
        <v>0.26538989000000002</v>
      </c>
      <c r="BV23" s="42">
        <v>0.24976063999999998</v>
      </c>
      <c r="BW23" s="42">
        <v>0.30062678000000004</v>
      </c>
      <c r="BX23" s="45">
        <f t="shared" si="5"/>
        <v>4.43539788</v>
      </c>
      <c r="BY23" s="45">
        <f>BY24+BY25</f>
        <v>4.435397</v>
      </c>
      <c r="BZ23" s="45">
        <v>0.17791011000000001</v>
      </c>
      <c r="CA23" s="45">
        <v>0.20388832000000001</v>
      </c>
      <c r="CB23" s="45">
        <v>0.20537696999999999</v>
      </c>
      <c r="CC23" s="45">
        <v>0.21173338</v>
      </c>
      <c r="CD23" s="45">
        <v>0.24340520999999998</v>
      </c>
      <c r="CE23" s="45">
        <v>0.16727552000000001</v>
      </c>
      <c r="CF23" s="45">
        <v>0.25808302</v>
      </c>
      <c r="CG23" s="45">
        <v>0.35614710999999999</v>
      </c>
      <c r="CH23" s="45">
        <v>0.21129102000000002</v>
      </c>
      <c r="CI23" s="45">
        <v>0.12319458999999999</v>
      </c>
      <c r="CJ23" s="45">
        <v>8.905014E-2</v>
      </c>
      <c r="CK23" s="45">
        <v>6.0585630000000001E-2</v>
      </c>
      <c r="CL23" s="45">
        <f t="shared" si="6"/>
        <v>2.3079410199999995</v>
      </c>
      <c r="CM23" s="45">
        <f>CM24+CM25</f>
        <v>2.307941</v>
      </c>
      <c r="CN23" s="45">
        <v>8.820393E-2</v>
      </c>
      <c r="CO23" s="45">
        <v>6.4020320000000006E-2</v>
      </c>
      <c r="CP23" s="45">
        <v>4.0996809999999995E-2</v>
      </c>
      <c r="CQ23" s="45">
        <v>3.9087499999999997E-2</v>
      </c>
      <c r="CR23" s="45">
        <v>6.8267620000000001E-2</v>
      </c>
      <c r="CS23" s="45">
        <v>5.9612449999999997E-2</v>
      </c>
      <c r="CT23" s="45">
        <v>0.25684436999999999</v>
      </c>
      <c r="CU23" s="45">
        <v>0.36444634000000004</v>
      </c>
      <c r="CV23" s="45">
        <v>0.38497474999999998</v>
      </c>
      <c r="CW23" s="45">
        <v>9.3425880000000003E-2</v>
      </c>
      <c r="CX23" s="45">
        <v>7.0708590000000002E-2</v>
      </c>
      <c r="CY23" s="45">
        <v>8.319986E-2</v>
      </c>
      <c r="CZ23" s="45">
        <f t="shared" si="7"/>
        <v>1.6137884199999999</v>
      </c>
      <c r="DA23" s="45">
        <f>DA24+DA25</f>
        <v>1.6137870000000001</v>
      </c>
      <c r="DB23" s="45">
        <v>7.2747070000000011E-2</v>
      </c>
      <c r="DC23" s="45">
        <v>6.865932000000001E-2</v>
      </c>
      <c r="DD23" s="45">
        <v>5.8042159999999995E-2</v>
      </c>
      <c r="DE23" s="45">
        <v>8.4155140000000003E-2</v>
      </c>
      <c r="DF23" s="45">
        <v>8.7449100000000002E-2</v>
      </c>
      <c r="DG23" s="45">
        <v>0.17996592</v>
      </c>
      <c r="DH23" s="45">
        <v>0.31086677000000001</v>
      </c>
      <c r="DI23" s="45">
        <v>0.23362722999999999</v>
      </c>
      <c r="DJ23" s="45">
        <v>0.28581454000000006</v>
      </c>
      <c r="DK23" s="45">
        <v>0.12808224000000001</v>
      </c>
      <c r="DL23" s="45">
        <v>9.1094880000000003E-2</v>
      </c>
      <c r="DM23" s="69">
        <v>0.16433012999999999</v>
      </c>
      <c r="DN23" s="42">
        <f t="shared" si="8"/>
        <v>1.7648344999999999</v>
      </c>
      <c r="DO23" s="45">
        <f>DO24+DO25</f>
        <v>1.7651779999999999</v>
      </c>
      <c r="DP23" s="42">
        <v>4.609825E-2</v>
      </c>
      <c r="DQ23" s="42">
        <v>2.6374839999999997E-2</v>
      </c>
      <c r="DR23" s="69">
        <v>1.8902119999999998E-2</v>
      </c>
      <c r="DS23" s="42">
        <v>3.8791319999999997E-2</v>
      </c>
      <c r="DT23" s="42">
        <v>2.5031380000000002E-2</v>
      </c>
      <c r="DU23" s="69">
        <v>3.2263520000000004E-2</v>
      </c>
      <c r="DV23" s="42">
        <v>0.36559546000000004</v>
      </c>
      <c r="DW23" s="69">
        <v>0.54740378000000001</v>
      </c>
      <c r="DX23" s="42">
        <v>0.62333501000000002</v>
      </c>
      <c r="DY23" s="42">
        <v>5.9561669999999997E-2</v>
      </c>
      <c r="DZ23" s="69">
        <v>5.3770199999999997E-2</v>
      </c>
      <c r="EA23" s="42">
        <v>7.5470919999999997E-2</v>
      </c>
      <c r="EB23" s="42">
        <f t="shared" si="9"/>
        <v>1.9125984699999998</v>
      </c>
      <c r="EC23" s="45">
        <f>EC24+EC25</f>
        <v>1.9125989999999999</v>
      </c>
      <c r="ED23" s="42">
        <v>5.8380059999999998E-2</v>
      </c>
      <c r="EE23" s="42">
        <v>5.848449E-2</v>
      </c>
      <c r="EF23" s="69">
        <v>4.4634210000000007E-2</v>
      </c>
      <c r="EG23" s="42">
        <v>5.6823259999999993E-2</v>
      </c>
      <c r="EH23" s="69">
        <v>8.530219E-2</v>
      </c>
      <c r="EI23" s="42">
        <v>0.32656984999999999</v>
      </c>
      <c r="EJ23" s="42">
        <v>6.3726779999999997E-2</v>
      </c>
      <c r="EK23" s="42">
        <v>0.38189034000000005</v>
      </c>
      <c r="EL23" s="42">
        <v>0.34332484000000002</v>
      </c>
      <c r="EM23" s="42">
        <v>6.7368320000000009E-2</v>
      </c>
      <c r="EN23" s="42">
        <v>5.6812119999999994E-2</v>
      </c>
      <c r="EO23" s="69">
        <v>4.5738819999999999E-2</v>
      </c>
      <c r="EP23" s="42">
        <f t="shared" si="10"/>
        <v>1.58905528</v>
      </c>
      <c r="EQ23" s="45">
        <f>EQ24+EQ25</f>
        <v>1.5909930000000001</v>
      </c>
      <c r="ER23" s="42">
        <v>1.4642000000000001E-2</v>
      </c>
      <c r="ES23" s="42">
        <v>4.5429199999999937E-3</v>
      </c>
      <c r="ET23" s="69">
        <v>6.2690000000000003E-3</v>
      </c>
      <c r="EU23" s="42">
        <v>2.3616109999999999E-2</v>
      </c>
      <c r="EV23" s="69">
        <v>2.9558000000000001E-2</v>
      </c>
      <c r="EW23" s="42">
        <v>0.175348</v>
      </c>
      <c r="EX23" s="69">
        <v>0.44478600000000001</v>
      </c>
      <c r="EY23" s="42">
        <v>0.59156465000000003</v>
      </c>
      <c r="EZ23" s="42">
        <v>0.53462714999999994</v>
      </c>
      <c r="FA23" s="42">
        <v>6.0729999999999999E-2</v>
      </c>
      <c r="FB23" s="42">
        <v>0.21371961</v>
      </c>
      <c r="FC23" s="42">
        <v>6.2663089999999991E-2</v>
      </c>
      <c r="FD23" s="42">
        <f t="shared" si="11"/>
        <v>2.1620665300000002</v>
      </c>
      <c r="FE23" s="45">
        <f>FE24+FE25</f>
        <v>2.162067</v>
      </c>
      <c r="FF23" s="42">
        <v>3.989181E-2</v>
      </c>
      <c r="FG23" s="42">
        <v>3.3829779999999997E-2</v>
      </c>
      <c r="FH23" s="42">
        <v>4.2593100000000002E-2</v>
      </c>
      <c r="FI23" s="42">
        <v>4.2391659999999998E-2</v>
      </c>
      <c r="FJ23" s="42">
        <v>6.1934859999999994E-2</v>
      </c>
      <c r="FK23" s="42">
        <v>0.60047684000000001</v>
      </c>
      <c r="FL23" s="42">
        <v>0.20656400000000003</v>
      </c>
      <c r="FM23" s="42">
        <v>0.92560566</v>
      </c>
      <c r="FN23" s="42">
        <v>0.65827153000000016</v>
      </c>
      <c r="FO23" s="42">
        <v>8.0454860000000003E-2</v>
      </c>
      <c r="FP23" s="42">
        <v>0.116897</v>
      </c>
      <c r="FQ23" s="42">
        <v>6.5357999999999999E-2</v>
      </c>
      <c r="FR23" s="42">
        <f t="shared" si="12"/>
        <v>2.8742690999999998</v>
      </c>
      <c r="FS23" s="45">
        <f>FS24+FS25</f>
        <v>2.874269</v>
      </c>
      <c r="FT23" s="42">
        <v>4.4992030000000002E-2</v>
      </c>
      <c r="FU23" s="42">
        <v>3.880546E-2</v>
      </c>
      <c r="FV23" s="42">
        <v>2.3613760000000001E-2</v>
      </c>
      <c r="FW23" s="42">
        <v>2.4880970000000002E-2</v>
      </c>
      <c r="FX23" s="42">
        <v>4.6227830000000004E-2</v>
      </c>
      <c r="FY23" s="42">
        <v>0.15363555000000001</v>
      </c>
      <c r="FZ23" s="42">
        <v>0.84568708000000004</v>
      </c>
      <c r="GA23" s="42">
        <v>1.1257649299999999</v>
      </c>
      <c r="GB23" s="42">
        <v>0.87355721000000008</v>
      </c>
      <c r="GC23" s="42">
        <v>0.11002608000000001</v>
      </c>
      <c r="GD23" s="42">
        <v>0.15901808000000003</v>
      </c>
      <c r="GE23" s="42">
        <v>0.12257696000000001</v>
      </c>
      <c r="GF23" s="42">
        <f t="shared" si="13"/>
        <v>3.5687859399999997</v>
      </c>
      <c r="GG23" s="45">
        <f>GG24+GG25</f>
        <v>3.5687859999999998</v>
      </c>
      <c r="GH23" s="42">
        <v>0.10914520999999999</v>
      </c>
      <c r="GI23" s="42">
        <v>0.17234305999999999</v>
      </c>
      <c r="GJ23" s="42">
        <v>3.7459340000000001E-2</v>
      </c>
      <c r="GK23" s="42">
        <v>7.5463679999999991E-2</v>
      </c>
      <c r="GL23" s="42">
        <v>8.1948420000000008E-2</v>
      </c>
      <c r="GM23" s="42">
        <v>0.18936312</v>
      </c>
      <c r="GN23" s="42">
        <v>0.91404314000000009</v>
      </c>
      <c r="GO23" s="42">
        <v>1.3695628500000001</v>
      </c>
      <c r="GP23" s="42">
        <v>1.4054151300000002</v>
      </c>
      <c r="GQ23" s="42">
        <v>9.2194680000000001E-2</v>
      </c>
      <c r="GR23" s="42">
        <v>6.8440169999999995E-2</v>
      </c>
      <c r="GS23" s="42">
        <v>7.0645289999999999E-2</v>
      </c>
      <c r="GT23" s="42">
        <f t="shared" si="14"/>
        <v>4.5860240899999996</v>
      </c>
      <c r="GU23" s="45">
        <f>GU24+GU25</f>
        <v>4.5860240000000001</v>
      </c>
      <c r="GV23" s="42">
        <v>0.24037233</v>
      </c>
      <c r="GW23" s="42">
        <v>4.9595159999999999E-2</v>
      </c>
      <c r="GX23" s="42">
        <v>0.11970247000000001</v>
      </c>
      <c r="GY23" s="42">
        <v>4.3682109999999996E-2</v>
      </c>
      <c r="GZ23" s="42">
        <v>3.4862049999999992E-2</v>
      </c>
      <c r="HA23" s="42">
        <v>8.6651970000000009E-2</v>
      </c>
      <c r="HB23" s="42">
        <v>1.27015141</v>
      </c>
      <c r="HC23" s="42">
        <v>1.7244981200000002</v>
      </c>
      <c r="HD23" s="42">
        <v>1.2874381599999998</v>
      </c>
      <c r="HE23" s="42">
        <v>0.21814718</v>
      </c>
      <c r="HF23" s="42">
        <v>0.15007073000000001</v>
      </c>
      <c r="HG23" s="42">
        <v>0.13102717</v>
      </c>
      <c r="HH23" s="42">
        <f t="shared" si="15"/>
        <v>5.3561988600000001</v>
      </c>
      <c r="HI23" s="42">
        <v>0.2433158</v>
      </c>
      <c r="HJ23" s="42">
        <v>0.12928936000000002</v>
      </c>
      <c r="HK23" s="42">
        <v>8.6963399999999996E-2</v>
      </c>
      <c r="HL23" s="42">
        <v>0.10165320999999999</v>
      </c>
      <c r="HM23" s="42"/>
      <c r="HN23" s="42"/>
      <c r="HO23" s="42"/>
      <c r="HP23" s="42"/>
      <c r="HQ23" s="42"/>
      <c r="HR23" s="42"/>
      <c r="HS23" s="42"/>
      <c r="HT23" s="42"/>
      <c r="HU23" s="300">
        <f t="shared" si="16"/>
        <v>0.45335199999999998</v>
      </c>
      <c r="HV23" s="300">
        <f t="shared" si="17"/>
        <v>0.561222</v>
      </c>
      <c r="HW23" s="280">
        <f t="shared" si="18"/>
        <v>0.10787000000000002</v>
      </c>
      <c r="HX23" s="280">
        <f t="shared" si="19"/>
        <v>23.793873193456733</v>
      </c>
    </row>
    <row r="24" spans="1:232" s="12" customFormat="1" ht="20.5">
      <c r="A24" s="314" t="s">
        <v>136</v>
      </c>
      <c r="B24" s="13">
        <v>3200</v>
      </c>
      <c r="C24" s="47" t="s">
        <v>137</v>
      </c>
      <c r="D24" s="45">
        <v>6.7576707019311213</v>
      </c>
      <c r="E24" s="42">
        <v>4.8487202690935174</v>
      </c>
      <c r="F24" s="42">
        <v>9.3876130471653543</v>
      </c>
      <c r="G24" s="42">
        <v>7.6917319764827745</v>
      </c>
      <c r="H24" s="42">
        <v>0.67790023961161294</v>
      </c>
      <c r="I24" s="42">
        <v>0.66497629495563482</v>
      </c>
      <c r="J24" s="42">
        <v>0.47115696552666181</v>
      </c>
      <c r="K24" s="42">
        <v>0.72257699159367339</v>
      </c>
      <c r="L24" s="42">
        <v>0.41394613576473666</v>
      </c>
      <c r="M24" s="42">
        <v>0.64938731139834149</v>
      </c>
      <c r="N24" s="42">
        <v>0.57193186151473241</v>
      </c>
      <c r="O24" s="42">
        <v>0.49813888367169229</v>
      </c>
      <c r="P24" s="42">
        <v>0.55267613730143827</v>
      </c>
      <c r="Q24" s="42">
        <v>1.121312627702745</v>
      </c>
      <c r="R24" s="42">
        <v>1.4172372382627305</v>
      </c>
      <c r="S24" s="42">
        <v>1.9281961969482244</v>
      </c>
      <c r="T24" s="42">
        <v>9.689436884252224</v>
      </c>
      <c r="U24" s="42">
        <v>9.6894383071240355</v>
      </c>
      <c r="V24" s="42">
        <v>0.32846142025372649</v>
      </c>
      <c r="W24" s="42">
        <v>0.62636619882641531</v>
      </c>
      <c r="X24" s="42">
        <v>0.83687059265456665</v>
      </c>
      <c r="Y24" s="42">
        <v>0.8077472524345336</v>
      </c>
      <c r="Z24" s="42">
        <v>1.0820808504220238</v>
      </c>
      <c r="AA24" s="42">
        <v>0.7519521801241883</v>
      </c>
      <c r="AB24" s="42">
        <v>0.58725476804343746</v>
      </c>
      <c r="AC24" s="42">
        <v>0.58853108405757504</v>
      </c>
      <c r="AD24" s="42">
        <v>0.54699318728977075</v>
      </c>
      <c r="AE24" s="42">
        <v>0.39057973489052422</v>
      </c>
      <c r="AF24" s="42">
        <v>0.4486883967649587</v>
      </c>
      <c r="AG24" s="42">
        <v>1.1383315974297243</v>
      </c>
      <c r="AH24" s="42">
        <v>8.1338572631914445</v>
      </c>
      <c r="AI24" s="42">
        <v>8.1338580884570959</v>
      </c>
      <c r="AJ24" s="42">
        <v>0.56347573434414144</v>
      </c>
      <c r="AK24" s="42">
        <v>0.42772664925071568</v>
      </c>
      <c r="AL24" s="42">
        <v>0.64950683263043463</v>
      </c>
      <c r="AM24" s="42">
        <v>0.79459991690428633</v>
      </c>
      <c r="AN24" s="42">
        <v>0.5164640497208326</v>
      </c>
      <c r="AO24" s="42">
        <v>0.51402524743740785</v>
      </c>
      <c r="AP24" s="42">
        <v>0.42424772767371843</v>
      </c>
      <c r="AQ24" s="42">
        <v>0.55979903358546623</v>
      </c>
      <c r="AR24" s="42">
        <v>0.50503269759420832</v>
      </c>
      <c r="AS24" s="42">
        <v>0.9709478033704988</v>
      </c>
      <c r="AT24" s="42">
        <v>0.86632403913466627</v>
      </c>
      <c r="AU24" s="42">
        <v>0.94643456781691626</v>
      </c>
      <c r="AV24" s="42">
        <v>7.7385842994632918</v>
      </c>
      <c r="AW24" s="42">
        <v>7.7385842994632927</v>
      </c>
      <c r="AX24" s="42">
        <v>0.38784800000000003</v>
      </c>
      <c r="AY24" s="42">
        <v>0.61224800000000001</v>
      </c>
      <c r="AZ24" s="42">
        <v>0.61951999999999996</v>
      </c>
      <c r="BA24" s="42">
        <v>0.54152699999999998</v>
      </c>
      <c r="BB24" s="42">
        <v>0.35315400000000002</v>
      </c>
      <c r="BC24" s="42">
        <v>0.30602800000000002</v>
      </c>
      <c r="BD24" s="42">
        <v>0.48809163999999994</v>
      </c>
      <c r="BE24" s="42">
        <v>0.47531200000000001</v>
      </c>
      <c r="BF24" s="42">
        <v>0.73003507000000012</v>
      </c>
      <c r="BG24" s="42">
        <v>1.0387139599999999</v>
      </c>
      <c r="BH24" s="42">
        <v>0.83708778000000006</v>
      </c>
      <c r="BI24" s="42">
        <v>0.69240102999999986</v>
      </c>
      <c r="BJ24" s="45">
        <f t="shared" si="4"/>
        <v>7.0819664800000002</v>
      </c>
      <c r="BK24" s="45">
        <v>7.0819660000000004</v>
      </c>
      <c r="BL24" s="42">
        <v>0.19341107999999999</v>
      </c>
      <c r="BM24" s="42">
        <v>0.41770700999999999</v>
      </c>
      <c r="BN24" s="42">
        <v>0.36676402000000002</v>
      </c>
      <c r="BO24" s="42">
        <v>0.60438805000000007</v>
      </c>
      <c r="BP24" s="42">
        <v>0.42693089000000001</v>
      </c>
      <c r="BQ24" s="42">
        <v>0.31143736999999999</v>
      </c>
      <c r="BR24" s="42">
        <v>0.35688394000000001</v>
      </c>
      <c r="BS24" s="42">
        <v>0.41004339999999995</v>
      </c>
      <c r="BT24" s="42">
        <v>0.53205480999999999</v>
      </c>
      <c r="BU24" s="42">
        <v>0.26538989000000002</v>
      </c>
      <c r="BV24" s="42">
        <v>0.24976063999999998</v>
      </c>
      <c r="BW24" s="42">
        <v>0.30062678000000004</v>
      </c>
      <c r="BX24" s="45">
        <f t="shared" si="5"/>
        <v>4.43539788</v>
      </c>
      <c r="BY24" s="45">
        <v>4.435397</v>
      </c>
      <c r="BZ24" s="45">
        <v>0.17791011000000001</v>
      </c>
      <c r="CA24" s="45">
        <v>0.20388832000000001</v>
      </c>
      <c r="CB24" s="45">
        <v>0.20537696999999999</v>
      </c>
      <c r="CC24" s="45">
        <v>0.21173338</v>
      </c>
      <c r="CD24" s="45">
        <v>0.24340520999999998</v>
      </c>
      <c r="CE24" s="45">
        <v>0.16727552000000001</v>
      </c>
      <c r="CF24" s="45">
        <v>0.25808302</v>
      </c>
      <c r="CG24" s="45">
        <v>0.35614710999999999</v>
      </c>
      <c r="CH24" s="45">
        <v>0.21129102000000002</v>
      </c>
      <c r="CI24" s="45">
        <v>0.12319458999999999</v>
      </c>
      <c r="CJ24" s="45">
        <v>8.905014E-2</v>
      </c>
      <c r="CK24" s="45">
        <v>6.0585630000000001E-2</v>
      </c>
      <c r="CL24" s="45">
        <f t="shared" si="6"/>
        <v>2.3079410199999995</v>
      </c>
      <c r="CM24" s="45">
        <v>2.307941</v>
      </c>
      <c r="CN24" s="45">
        <v>8.820393E-2</v>
      </c>
      <c r="CO24" s="45">
        <v>6.4020320000000006E-2</v>
      </c>
      <c r="CP24" s="45">
        <v>4.0996809999999995E-2</v>
      </c>
      <c r="CQ24" s="45">
        <v>3.9087499999999997E-2</v>
      </c>
      <c r="CR24" s="45">
        <v>6.8267620000000001E-2</v>
      </c>
      <c r="CS24" s="45">
        <v>5.9612449999999997E-2</v>
      </c>
      <c r="CT24" s="45">
        <v>0.25684436999999999</v>
      </c>
      <c r="CU24" s="45">
        <v>0.36444634000000004</v>
      </c>
      <c r="CV24" s="45">
        <v>0.38497474999999998</v>
      </c>
      <c r="CW24" s="45">
        <v>9.3425880000000003E-2</v>
      </c>
      <c r="CX24" s="45">
        <v>7.0708590000000002E-2</v>
      </c>
      <c r="CY24" s="45">
        <v>8.319986E-2</v>
      </c>
      <c r="CZ24" s="45">
        <f t="shared" si="7"/>
        <v>1.6137884199999999</v>
      </c>
      <c r="DA24" s="45">
        <v>1.6137870000000001</v>
      </c>
      <c r="DB24" s="45">
        <v>7.2747070000000011E-2</v>
      </c>
      <c r="DC24" s="45">
        <v>6.865932000000001E-2</v>
      </c>
      <c r="DD24" s="45">
        <v>5.8042159999999995E-2</v>
      </c>
      <c r="DE24" s="45">
        <v>8.4155140000000003E-2</v>
      </c>
      <c r="DF24" s="45">
        <v>8.7449100000000002E-2</v>
      </c>
      <c r="DG24" s="45">
        <v>0.17996592</v>
      </c>
      <c r="DH24" s="45">
        <v>0.31086677000000001</v>
      </c>
      <c r="DI24" s="45">
        <v>0.23362722999999999</v>
      </c>
      <c r="DJ24" s="45">
        <v>0.28581454000000006</v>
      </c>
      <c r="DK24" s="45">
        <v>0.12808224000000001</v>
      </c>
      <c r="DL24" s="45">
        <v>9.1094880000000003E-2</v>
      </c>
      <c r="DM24" s="69">
        <v>0.16433012999999999</v>
      </c>
      <c r="DN24" s="42">
        <f t="shared" si="8"/>
        <v>1.7648344999999999</v>
      </c>
      <c r="DO24" s="45">
        <v>1.7651779999999999</v>
      </c>
      <c r="DP24" s="42">
        <v>4.609825E-2</v>
      </c>
      <c r="DQ24" s="42">
        <v>2.6374839999999997E-2</v>
      </c>
      <c r="DR24" s="69">
        <v>1.8902119999999998E-2</v>
      </c>
      <c r="DS24" s="42">
        <v>3.8791319999999997E-2</v>
      </c>
      <c r="DT24" s="42">
        <v>2.5031380000000002E-2</v>
      </c>
      <c r="DU24" s="69">
        <v>3.2263520000000004E-2</v>
      </c>
      <c r="DV24" s="42">
        <v>0.36559546000000004</v>
      </c>
      <c r="DW24" s="69">
        <v>0.54740378000000001</v>
      </c>
      <c r="DX24" s="42">
        <v>0.62333501000000002</v>
      </c>
      <c r="DY24" s="42">
        <v>5.9561669999999997E-2</v>
      </c>
      <c r="DZ24" s="69">
        <v>5.3770199999999997E-2</v>
      </c>
      <c r="EA24" s="42">
        <v>7.5470919999999997E-2</v>
      </c>
      <c r="EB24" s="42">
        <f t="shared" si="9"/>
        <v>1.9125984699999998</v>
      </c>
      <c r="EC24" s="45">
        <v>1.9125989999999999</v>
      </c>
      <c r="ED24" s="42">
        <v>5.8380059999999998E-2</v>
      </c>
      <c r="EE24" s="42">
        <v>5.848449E-2</v>
      </c>
      <c r="EF24" s="69">
        <v>4.4634210000000007E-2</v>
      </c>
      <c r="EG24" s="42">
        <v>5.6823259999999993E-2</v>
      </c>
      <c r="EH24" s="69">
        <v>8.530219E-2</v>
      </c>
      <c r="EI24" s="42">
        <v>0.32656984999999999</v>
      </c>
      <c r="EJ24" s="42">
        <v>6.3726779999999997E-2</v>
      </c>
      <c r="EK24" s="42">
        <v>0.38189034000000005</v>
      </c>
      <c r="EL24" s="42">
        <v>0.34332484000000002</v>
      </c>
      <c r="EM24" s="42">
        <v>6.7368320000000009E-2</v>
      </c>
      <c r="EN24" s="42">
        <v>5.6812119999999994E-2</v>
      </c>
      <c r="EO24" s="69">
        <v>4.5738819999999999E-2</v>
      </c>
      <c r="EP24" s="42">
        <f t="shared" si="10"/>
        <v>1.58905528</v>
      </c>
      <c r="EQ24" s="42">
        <v>1.5909930000000001</v>
      </c>
      <c r="ER24" s="42">
        <v>1.4642000000000001E-2</v>
      </c>
      <c r="ES24" s="42">
        <v>4.5429199999999937E-3</v>
      </c>
      <c r="ET24" s="42">
        <v>6.2690000000000003E-3</v>
      </c>
      <c r="EU24" s="42">
        <v>2.3616109999999999E-2</v>
      </c>
      <c r="EV24" s="43">
        <v>2.9558000000000001E-2</v>
      </c>
      <c r="EW24" s="42">
        <v>0.175348</v>
      </c>
      <c r="EX24" s="69">
        <v>0.44478600000000001</v>
      </c>
      <c r="EY24" s="42">
        <v>0.59156465000000003</v>
      </c>
      <c r="EZ24" s="42">
        <v>0.53462714999999994</v>
      </c>
      <c r="FA24" s="42">
        <v>6.0729999999999999E-2</v>
      </c>
      <c r="FB24" s="42">
        <v>0.21371899999999999</v>
      </c>
      <c r="FC24" s="42">
        <v>6.2663089999999991E-2</v>
      </c>
      <c r="FD24" s="42">
        <f t="shared" si="11"/>
        <v>2.1620659199999999</v>
      </c>
      <c r="FE24" s="42">
        <v>2.162067</v>
      </c>
      <c r="FF24" s="42">
        <v>3.989181E-2</v>
      </c>
      <c r="FG24" s="42">
        <v>3.3829779999999997E-2</v>
      </c>
      <c r="FH24" s="42">
        <v>4.2593100000000002E-2</v>
      </c>
      <c r="FI24" s="42">
        <v>4.2391659999999998E-2</v>
      </c>
      <c r="FJ24" s="42">
        <v>6.1934859999999994E-2</v>
      </c>
      <c r="FK24" s="42">
        <v>0.60047684000000001</v>
      </c>
      <c r="FL24" s="42">
        <v>0.20656400000000003</v>
      </c>
      <c r="FM24" s="42">
        <v>0.92560566</v>
      </c>
      <c r="FN24" s="42">
        <v>0.65827153000000016</v>
      </c>
      <c r="FO24" s="42">
        <v>8.0454860000000003E-2</v>
      </c>
      <c r="FP24" s="42">
        <v>0.116897</v>
      </c>
      <c r="FQ24" s="42">
        <v>6.5357999999999999E-2</v>
      </c>
      <c r="FR24" s="42">
        <f t="shared" si="12"/>
        <v>2.8742690999999998</v>
      </c>
      <c r="FS24" s="42">
        <v>2.874269</v>
      </c>
      <c r="FT24" s="42">
        <v>4.4992030000000002E-2</v>
      </c>
      <c r="FU24" s="42">
        <v>3.880546E-2</v>
      </c>
      <c r="FV24" s="42">
        <v>2.3613760000000001E-2</v>
      </c>
      <c r="FW24" s="42">
        <v>2.4880970000000002E-2</v>
      </c>
      <c r="FX24" s="42">
        <v>4.6227830000000004E-2</v>
      </c>
      <c r="FY24" s="42">
        <v>0.15363555000000001</v>
      </c>
      <c r="FZ24" s="42">
        <v>0.84568708000000004</v>
      </c>
      <c r="GA24" s="42">
        <v>1.1257649299999999</v>
      </c>
      <c r="GB24" s="42">
        <v>0.87355721000000008</v>
      </c>
      <c r="GC24" s="42">
        <v>0.11002608000000001</v>
      </c>
      <c r="GD24" s="42">
        <v>0.15901808000000003</v>
      </c>
      <c r="GE24" s="42">
        <v>0.12257696000000001</v>
      </c>
      <c r="GF24" s="42">
        <f t="shared" si="13"/>
        <v>3.5687859399999997</v>
      </c>
      <c r="GG24" s="42">
        <v>3.5687859999999998</v>
      </c>
      <c r="GH24" s="42">
        <v>0.10914520999999999</v>
      </c>
      <c r="GI24" s="42">
        <v>0.17234305999999999</v>
      </c>
      <c r="GJ24" s="42">
        <v>3.7459340000000001E-2</v>
      </c>
      <c r="GK24" s="42">
        <v>7.5463679999999991E-2</v>
      </c>
      <c r="GL24" s="42">
        <v>8.1948420000000008E-2</v>
      </c>
      <c r="GM24" s="42">
        <v>0.18936312</v>
      </c>
      <c r="GN24" s="42">
        <v>0.91404314000000009</v>
      </c>
      <c r="GO24" s="42">
        <v>1.3695628500000001</v>
      </c>
      <c r="GP24" s="42">
        <v>1.4054151300000002</v>
      </c>
      <c r="GQ24" s="42">
        <v>9.2194680000000001E-2</v>
      </c>
      <c r="GR24" s="42">
        <v>6.8440169999999995E-2</v>
      </c>
      <c r="GS24" s="42">
        <v>7.0645289999999999E-2</v>
      </c>
      <c r="GT24" s="42">
        <f t="shared" si="14"/>
        <v>4.5860240899999996</v>
      </c>
      <c r="GU24" s="42">
        <v>4.5860240000000001</v>
      </c>
      <c r="GV24" s="42">
        <v>0.24037233</v>
      </c>
      <c r="GW24" s="42">
        <v>4.9595159999999999E-2</v>
      </c>
      <c r="GX24" s="42">
        <v>0.11970247000000001</v>
      </c>
      <c r="GY24" s="42">
        <v>4.3682109999999996E-2</v>
      </c>
      <c r="GZ24" s="42">
        <v>3.4862049999999992E-2</v>
      </c>
      <c r="HA24" s="42">
        <v>8.6651970000000009E-2</v>
      </c>
      <c r="HB24" s="42">
        <v>1.27015141</v>
      </c>
      <c r="HC24" s="42">
        <v>1.7244981200000002</v>
      </c>
      <c r="HD24" s="42">
        <v>1.2874381599999998</v>
      </c>
      <c r="HE24" s="42">
        <v>0.21814718</v>
      </c>
      <c r="HF24" s="42">
        <v>0.15007073000000001</v>
      </c>
      <c r="HG24" s="42">
        <v>0.13102717</v>
      </c>
      <c r="HH24" s="42">
        <f t="shared" si="15"/>
        <v>5.3561988600000001</v>
      </c>
      <c r="HI24" s="42">
        <v>0.2433158</v>
      </c>
      <c r="HJ24" s="42">
        <v>0.12928936000000002</v>
      </c>
      <c r="HK24" s="42">
        <v>8.6963399999999996E-2</v>
      </c>
      <c r="HL24" s="42">
        <v>0.10165320999999999</v>
      </c>
      <c r="HM24" s="42"/>
      <c r="HN24" s="42"/>
      <c r="HO24" s="42"/>
      <c r="HP24" s="42"/>
      <c r="HQ24" s="42"/>
      <c r="HR24" s="42"/>
      <c r="HS24" s="42"/>
      <c r="HT24" s="42"/>
      <c r="HU24" s="300">
        <f t="shared" si="16"/>
        <v>0.45335199999999998</v>
      </c>
      <c r="HV24" s="300">
        <f t="shared" si="17"/>
        <v>0.561222</v>
      </c>
      <c r="HW24" s="280">
        <f t="shared" si="18"/>
        <v>0.10787000000000002</v>
      </c>
      <c r="HX24" s="280">
        <f t="shared" si="19"/>
        <v>23.793873193456733</v>
      </c>
    </row>
    <row r="25" spans="1:232" s="12" customFormat="1" ht="20.25" hidden="1" customHeight="1">
      <c r="A25" s="47" t="s">
        <v>140</v>
      </c>
      <c r="B25" s="13">
        <v>3900</v>
      </c>
      <c r="C25" s="47" t="s">
        <v>142</v>
      </c>
      <c r="D25" s="45">
        <v>0</v>
      </c>
      <c r="E25" s="42">
        <v>0</v>
      </c>
      <c r="F25" s="42">
        <v>0</v>
      </c>
      <c r="G25" s="42">
        <v>0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42">
        <v>0</v>
      </c>
      <c r="U25" s="42">
        <v>0</v>
      </c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42">
        <v>0</v>
      </c>
      <c r="AI25" s="42">
        <v>0</v>
      </c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42">
        <v>0</v>
      </c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5"/>
      <c r="BK25" s="45"/>
      <c r="BL25" s="42"/>
      <c r="BM25" s="42">
        <v>0</v>
      </c>
      <c r="BN25" s="42">
        <v>0</v>
      </c>
      <c r="BO25" s="42">
        <v>0</v>
      </c>
      <c r="BP25" s="42">
        <v>0</v>
      </c>
      <c r="BQ25" s="42">
        <v>0</v>
      </c>
      <c r="BR25" s="42">
        <v>0</v>
      </c>
      <c r="BS25" s="42">
        <v>0</v>
      </c>
      <c r="BT25" s="42">
        <v>0</v>
      </c>
      <c r="BU25" s="42">
        <v>0</v>
      </c>
      <c r="BV25" s="42">
        <v>0</v>
      </c>
      <c r="BW25" s="42">
        <v>0</v>
      </c>
      <c r="BX25" s="45">
        <f t="shared" si="5"/>
        <v>0</v>
      </c>
      <c r="BY25" s="45"/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f t="shared" si="6"/>
        <v>0</v>
      </c>
      <c r="CM25" s="45"/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f t="shared" si="7"/>
        <v>0</v>
      </c>
      <c r="DA25" s="45"/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69">
        <v>0</v>
      </c>
      <c r="DN25" s="42">
        <f t="shared" si="8"/>
        <v>0</v>
      </c>
      <c r="DO25" s="45"/>
      <c r="DP25" s="42">
        <v>0</v>
      </c>
      <c r="DQ25" s="42">
        <v>0</v>
      </c>
      <c r="DR25" s="69">
        <v>0</v>
      </c>
      <c r="DS25" s="42">
        <v>0</v>
      </c>
      <c r="DT25" s="42">
        <v>0</v>
      </c>
      <c r="DU25" s="69">
        <v>0</v>
      </c>
      <c r="DV25" s="42">
        <v>0</v>
      </c>
      <c r="DW25" s="69">
        <v>0</v>
      </c>
      <c r="DX25" s="42">
        <v>0</v>
      </c>
      <c r="DY25" s="42">
        <v>0</v>
      </c>
      <c r="DZ25" s="69">
        <v>0</v>
      </c>
      <c r="EA25" s="42">
        <v>0</v>
      </c>
      <c r="EB25" s="42">
        <f t="shared" si="9"/>
        <v>0</v>
      </c>
      <c r="EC25" s="45"/>
      <c r="ED25" s="42">
        <v>0</v>
      </c>
      <c r="EE25" s="42">
        <v>0</v>
      </c>
      <c r="EF25" s="42">
        <v>0</v>
      </c>
      <c r="EG25" s="42"/>
      <c r="EH25" s="69">
        <v>0</v>
      </c>
      <c r="EI25" s="42">
        <v>0</v>
      </c>
      <c r="EJ25" s="42">
        <v>0</v>
      </c>
      <c r="EK25" s="42">
        <v>0</v>
      </c>
      <c r="EL25" s="42">
        <v>0</v>
      </c>
      <c r="EM25" s="42">
        <v>0</v>
      </c>
      <c r="EN25" s="42">
        <v>0</v>
      </c>
      <c r="EO25" s="69">
        <v>0</v>
      </c>
      <c r="EP25" s="42">
        <f t="shared" si="10"/>
        <v>0</v>
      </c>
      <c r="EQ25" s="42"/>
      <c r="ER25" s="42">
        <v>0</v>
      </c>
      <c r="ET25" s="42"/>
      <c r="EU25" s="42">
        <v>0</v>
      </c>
      <c r="EV25" s="43">
        <v>0</v>
      </c>
      <c r="EW25" s="42">
        <v>0</v>
      </c>
      <c r="EX25" s="69"/>
      <c r="EY25" s="42"/>
      <c r="EZ25" s="42"/>
      <c r="FA25" s="42">
        <v>0</v>
      </c>
      <c r="FB25" s="42">
        <v>0</v>
      </c>
      <c r="FC25" s="42"/>
      <c r="FD25" s="42">
        <f t="shared" si="11"/>
        <v>0</v>
      </c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>
        <f t="shared" si="12"/>
        <v>0</v>
      </c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>
        <f t="shared" si="13"/>
        <v>0</v>
      </c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>
        <f t="shared" si="14"/>
        <v>0</v>
      </c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>
        <f t="shared" si="15"/>
        <v>0</v>
      </c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300">
        <f t="shared" si="16"/>
        <v>0</v>
      </c>
      <c r="HV25" s="300">
        <f t="shared" si="17"/>
        <v>0</v>
      </c>
      <c r="HW25" s="280">
        <f t="shared" si="18"/>
        <v>0</v>
      </c>
      <c r="HX25" s="280"/>
    </row>
    <row r="26" spans="1:232" s="12" customFormat="1" ht="20.5">
      <c r="A26" s="46" t="s">
        <v>223</v>
      </c>
      <c r="B26" s="13" t="s">
        <v>144</v>
      </c>
      <c r="C26" s="46" t="s">
        <v>145</v>
      </c>
      <c r="D26" s="45">
        <v>0</v>
      </c>
      <c r="E26" s="42">
        <v>0</v>
      </c>
      <c r="F26" s="42">
        <v>0</v>
      </c>
      <c r="G26" s="42">
        <v>9.7154839756176692</v>
      </c>
      <c r="H26" s="42">
        <v>6.2223607150784573E-2</v>
      </c>
      <c r="I26" s="42">
        <v>4.7336995805373906E-2</v>
      </c>
      <c r="J26" s="42">
        <v>3.5571795265820917E-2</v>
      </c>
      <c r="K26" s="42">
        <v>2.1452638288911276E-2</v>
      </c>
      <c r="L26" s="42">
        <v>0</v>
      </c>
      <c r="M26" s="42">
        <v>2.7760229025446639E-2</v>
      </c>
      <c r="N26" s="42">
        <v>0</v>
      </c>
      <c r="O26" s="42">
        <v>0</v>
      </c>
      <c r="P26" s="42">
        <v>8.7905020460896637E-3</v>
      </c>
      <c r="Q26" s="42">
        <v>3.5571795265820917E-2</v>
      </c>
      <c r="R26" s="42">
        <v>0.10830331073812899</v>
      </c>
      <c r="S26" s="42">
        <v>7.3864121433571808E-2</v>
      </c>
      <c r="T26" s="42">
        <v>0.42087499501994868</v>
      </c>
      <c r="U26" s="42">
        <v>0.42604766051416892</v>
      </c>
      <c r="V26" s="42">
        <v>6.3723314039191584E-2</v>
      </c>
      <c r="W26" s="42">
        <v>0.72556485165138507</v>
      </c>
      <c r="X26" s="42">
        <v>-0.67209065400879908</v>
      </c>
      <c r="Y26" s="42">
        <v>3.5089441722016383E-2</v>
      </c>
      <c r="Z26" s="42">
        <v>5.5637133539365169E-2</v>
      </c>
      <c r="AA26" s="42">
        <v>3.9856062287636385E-2</v>
      </c>
      <c r="AB26" s="42">
        <v>-2.1129646387897621E-3</v>
      </c>
      <c r="AC26" s="42">
        <v>3.4025133607663016E-2</v>
      </c>
      <c r="AD26" s="42">
        <v>2.3157238718049415E-2</v>
      </c>
      <c r="AE26" s="42">
        <v>3.5436622443810795E-2</v>
      </c>
      <c r="AF26" s="42">
        <v>8.7506616353919438E-3</v>
      </c>
      <c r="AG26" s="42">
        <v>3.862527817143898E-2</v>
      </c>
      <c r="AH26" s="42">
        <v>0.38566211916835991</v>
      </c>
      <c r="AI26" s="42">
        <v>0.38790189014291326</v>
      </c>
      <c r="AJ26" s="42">
        <v>5.2269195963597241E-2</v>
      </c>
      <c r="AK26" s="42">
        <v>1.3964063949550657E-2</v>
      </c>
      <c r="AL26" s="42">
        <v>2.7016067068485666E-2</v>
      </c>
      <c r="AM26" s="42">
        <v>5.5171854457288241E-2</v>
      </c>
      <c r="AN26" s="42">
        <v>4.1075463429348723E-2</v>
      </c>
      <c r="AO26" s="42">
        <v>7.125742027649244E-3</v>
      </c>
      <c r="AP26" s="42">
        <v>8.616911685192458E-3</v>
      </c>
      <c r="AQ26" s="42">
        <v>6.1736984991548137E-2</v>
      </c>
      <c r="AR26" s="42">
        <v>2.9533127301495155E-2</v>
      </c>
      <c r="AS26" s="42">
        <v>5.340607054029288E-2</v>
      </c>
      <c r="AT26" s="42">
        <v>7.2879494140613885E-2</v>
      </c>
      <c r="AU26" s="42">
        <v>9.6465017273663772E-2</v>
      </c>
      <c r="AV26" s="42">
        <v>0.51925999282872604</v>
      </c>
      <c r="AW26" s="42">
        <v>0.51932117631658326</v>
      </c>
      <c r="AX26" s="42">
        <f>AX27+AX28+AX29</f>
        <v>2.4285000000000001E-2</v>
      </c>
      <c r="AY26" s="42">
        <f>AY27+AY28+AY29</f>
        <v>3.0328000000000001E-2</v>
      </c>
      <c r="AZ26" s="42">
        <f t="shared" ref="AZ26:BG26" si="25">AZ27+AZ28+AZ29</f>
        <v>4.0079999999999998E-2</v>
      </c>
      <c r="BA26" s="42">
        <f t="shared" si="25"/>
        <v>2.4565E-2</v>
      </c>
      <c r="BB26" s="42">
        <f t="shared" si="25"/>
        <v>5.3220000000000003E-3</v>
      </c>
      <c r="BC26" s="42">
        <f t="shared" si="25"/>
        <v>4.5399999999999998E-4</v>
      </c>
      <c r="BD26" s="42">
        <f t="shared" si="25"/>
        <v>5.0778910000000003E-2</v>
      </c>
      <c r="BE26" s="42">
        <f t="shared" si="25"/>
        <v>0.100101</v>
      </c>
      <c r="BF26" s="42">
        <f t="shared" si="25"/>
        <v>0.12600871</v>
      </c>
      <c r="BG26" s="42">
        <f t="shared" si="25"/>
        <v>0.13917525</v>
      </c>
      <c r="BH26" s="42">
        <f>BH27+BH28+BH29</f>
        <v>4.5131620000000004E-2</v>
      </c>
      <c r="BI26" s="42">
        <f>BI27+BI28+BI29</f>
        <v>4.7754659999999997E-2</v>
      </c>
      <c r="BJ26" s="45">
        <f t="shared" si="4"/>
        <v>0.63398414999999997</v>
      </c>
      <c r="BK26" s="45">
        <f>BK27+BK28+BK29</f>
        <v>0.63398500000000002</v>
      </c>
      <c r="BL26" s="42">
        <f>BL27+BL28+BL29</f>
        <v>1.9292530000000002E-2</v>
      </c>
      <c r="BM26" s="42">
        <v>0.23864346</v>
      </c>
      <c r="BN26" s="42">
        <v>0.27833601000000002</v>
      </c>
      <c r="BO26" s="42">
        <v>0.32493658000000003</v>
      </c>
      <c r="BP26" s="42">
        <v>0.31385574999999999</v>
      </c>
      <c r="BQ26" s="42">
        <v>0.27907967</v>
      </c>
      <c r="BR26" s="42">
        <v>0.45430799999999999</v>
      </c>
      <c r="BS26" s="42">
        <v>0.46954000000000001</v>
      </c>
      <c r="BT26" s="42">
        <v>0.51018399999999997</v>
      </c>
      <c r="BU26" s="42">
        <v>0.45452799999999999</v>
      </c>
      <c r="BV26" s="42">
        <v>0.44016499999999997</v>
      </c>
      <c r="BW26" s="42">
        <v>0.45432699999999998</v>
      </c>
      <c r="BX26" s="45">
        <f t="shared" si="5"/>
        <v>4.2371959999999991</v>
      </c>
      <c r="BY26" s="45">
        <f>BY27+BY28+BY29</f>
        <v>4.237196</v>
      </c>
      <c r="BZ26" s="45">
        <v>0.275725</v>
      </c>
      <c r="CA26" s="45">
        <v>0.36853900000000001</v>
      </c>
      <c r="CB26" s="45">
        <v>0.47014100000000003</v>
      </c>
      <c r="CC26" s="45">
        <v>0.41143300000000005</v>
      </c>
      <c r="CD26" s="45">
        <v>0.412887</v>
      </c>
      <c r="CE26" s="45">
        <v>0.409362</v>
      </c>
      <c r="CF26" s="45">
        <v>0.55391999999999997</v>
      </c>
      <c r="CG26" s="45">
        <v>0.58579800000000004</v>
      </c>
      <c r="CH26" s="45">
        <v>0.57485867000000002</v>
      </c>
      <c r="CI26" s="45">
        <v>0.56336200000000003</v>
      </c>
      <c r="CJ26" s="45">
        <v>0.41400300000000001</v>
      </c>
      <c r="CK26" s="45">
        <v>0.20476800000000001</v>
      </c>
      <c r="CL26" s="45">
        <f t="shared" si="6"/>
        <v>5.2447966699999995</v>
      </c>
      <c r="CM26" s="45">
        <f>CM27+CM28+CM29</f>
        <v>5.2447969999999993</v>
      </c>
      <c r="CN26" s="45">
        <v>0.32228459999999998</v>
      </c>
      <c r="CO26" s="45">
        <v>0.47761864999999998</v>
      </c>
      <c r="CP26" s="45">
        <v>0.45944774999999999</v>
      </c>
      <c r="CQ26" s="45">
        <v>0.49560122000000001</v>
      </c>
      <c r="CR26" s="45">
        <v>0.46608278000000003</v>
      </c>
      <c r="CS26" s="45">
        <v>0.45774399999999998</v>
      </c>
      <c r="CT26" s="45">
        <v>0.52444199999999996</v>
      </c>
      <c r="CU26" s="45">
        <v>0.71233427000000005</v>
      </c>
      <c r="CV26" s="45">
        <v>0.66879372999999998</v>
      </c>
      <c r="CW26" s="45">
        <v>0.52270452000000001</v>
      </c>
      <c r="CX26" s="45">
        <v>0.53127848</v>
      </c>
      <c r="CY26" s="45">
        <v>0.66631158999999995</v>
      </c>
      <c r="CZ26" s="45">
        <f t="shared" si="7"/>
        <v>6.3046435899999995</v>
      </c>
      <c r="DA26" s="45">
        <f>DA27+DA28+DA29</f>
        <v>6.3046440000000006</v>
      </c>
      <c r="DB26" s="45">
        <v>0.12798316000000001</v>
      </c>
      <c r="DC26" s="45">
        <v>0.48528940000000004</v>
      </c>
      <c r="DD26" s="45">
        <v>0.42885144000000003</v>
      </c>
      <c r="DE26" s="45">
        <v>0.49812699999999999</v>
      </c>
      <c r="DF26" s="45">
        <v>0.47180299999999997</v>
      </c>
      <c r="DG26" s="45">
        <v>0.46355000000000002</v>
      </c>
      <c r="DH26" s="45">
        <v>0.67634358999999999</v>
      </c>
      <c r="DI26" s="45">
        <v>0.73762817999999997</v>
      </c>
      <c r="DJ26" s="45">
        <v>0.60670330000000006</v>
      </c>
      <c r="DK26" s="45">
        <v>0.50212486999999995</v>
      </c>
      <c r="DL26" s="45">
        <v>0.48381923999999998</v>
      </c>
      <c r="DM26" s="69">
        <v>0.4918439</v>
      </c>
      <c r="DN26" s="42">
        <f t="shared" si="8"/>
        <v>5.9740670800000011</v>
      </c>
      <c r="DO26" s="45">
        <f>DO27+DO28+DO29</f>
        <v>5.9734889999999998</v>
      </c>
      <c r="DP26" s="42">
        <v>0.29704834999999996</v>
      </c>
      <c r="DQ26" s="42">
        <v>0.42511563000000002</v>
      </c>
      <c r="DR26" s="69">
        <v>0.46963240000000001</v>
      </c>
      <c r="DS26" s="42">
        <v>0.46754937000000002</v>
      </c>
      <c r="DT26" s="42">
        <v>0.48969388000000003</v>
      </c>
      <c r="DU26" s="69">
        <v>0.46458175000000002</v>
      </c>
      <c r="DV26" s="42">
        <v>0.65977121999999999</v>
      </c>
      <c r="DW26" s="69">
        <v>0.69858487999999996</v>
      </c>
      <c r="DX26" s="42">
        <v>0.65808390000000005</v>
      </c>
      <c r="DY26" s="42">
        <v>0.50151070999999992</v>
      </c>
      <c r="DZ26" s="69">
        <v>0.44643313000000001</v>
      </c>
      <c r="EA26" s="42">
        <v>0.43726846000000003</v>
      </c>
      <c r="EB26" s="42">
        <f t="shared" si="9"/>
        <v>6.01527368</v>
      </c>
      <c r="EC26" s="45">
        <f>EC27+EC28+EC29</f>
        <v>6.0152739999999998</v>
      </c>
      <c r="ED26" s="42">
        <v>0.35192471999999997</v>
      </c>
      <c r="EE26" s="42">
        <v>0.42709296000000002</v>
      </c>
      <c r="EF26" s="69">
        <v>0.44628405999999998</v>
      </c>
      <c r="EG26" s="42">
        <v>0.43989815999999998</v>
      </c>
      <c r="EH26" s="69">
        <v>0.42869000000000002</v>
      </c>
      <c r="EI26" s="42">
        <v>0.41843279999999999</v>
      </c>
      <c r="EJ26" s="42">
        <v>0.48407595999999997</v>
      </c>
      <c r="EK26" s="42">
        <v>0.68911905000000007</v>
      </c>
      <c r="EL26" s="42">
        <v>0.76403667999999991</v>
      </c>
      <c r="EM26" s="42">
        <v>0.55763328000000001</v>
      </c>
      <c r="EN26" s="42">
        <v>0.63175040999999998</v>
      </c>
      <c r="EO26" s="69">
        <v>0.63239453000000001</v>
      </c>
      <c r="EP26" s="42">
        <f t="shared" si="10"/>
        <v>6.2713326099999991</v>
      </c>
      <c r="EQ26" s="45">
        <f>EQ27+EQ28+EQ29</f>
        <v>6.2693949999999994</v>
      </c>
      <c r="ER26" s="42">
        <v>0.30291808000000003</v>
      </c>
      <c r="ES26" s="42">
        <v>0.60537026999999999</v>
      </c>
      <c r="ET26" s="42">
        <v>0.65707473999999999</v>
      </c>
      <c r="EU26" s="42">
        <v>0.64087103000000001</v>
      </c>
      <c r="EV26" s="43">
        <v>0.83743000000000001</v>
      </c>
      <c r="EW26" s="42">
        <v>0.766374</v>
      </c>
      <c r="EX26" s="69">
        <v>0.18704990000000002</v>
      </c>
      <c r="EY26" s="42">
        <v>0.248666</v>
      </c>
      <c r="EZ26" s="42">
        <v>0.24516087000000003</v>
      </c>
      <c r="FA26" s="42">
        <v>-3.8200000000000002E-4</v>
      </c>
      <c r="FB26" s="42">
        <v>-4.8749999999999998E-4</v>
      </c>
      <c r="FC26" s="42">
        <v>4.9124000000000001E-2</v>
      </c>
      <c r="FD26" s="42">
        <f t="shared" si="11"/>
        <v>4.5391693899999996</v>
      </c>
      <c r="FE26" s="45">
        <f>FE27+FE28+FE29</f>
        <v>4.5391690000000002</v>
      </c>
      <c r="FF26" s="42">
        <v>0.24254573000000001</v>
      </c>
      <c r="FG26" s="42">
        <v>0.26065916</v>
      </c>
      <c r="FH26" s="42">
        <v>0.32016529999999999</v>
      </c>
      <c r="FI26" s="42">
        <v>0.31558658000000001</v>
      </c>
      <c r="FJ26" s="42">
        <v>0.35620700999999999</v>
      </c>
      <c r="FK26" s="42">
        <v>0.32450984000000005</v>
      </c>
      <c r="FL26" s="42">
        <v>0.58094002999999994</v>
      </c>
      <c r="FM26" s="42">
        <v>0.46453663000000001</v>
      </c>
      <c r="FN26" s="42">
        <v>0.43533316999999999</v>
      </c>
      <c r="FO26" s="42">
        <v>0.19245631000000002</v>
      </c>
      <c r="FP26" s="42">
        <v>0.21731328999999999</v>
      </c>
      <c r="FQ26" s="42">
        <v>0.60494963000000002</v>
      </c>
      <c r="FR26" s="42">
        <f t="shared" si="12"/>
        <v>4.3152026799999996</v>
      </c>
      <c r="FS26" s="45">
        <f>FS27+FS28+FS29</f>
        <v>4.3152029999999995</v>
      </c>
      <c r="FT26" s="42">
        <v>3.6082089999999997E-2</v>
      </c>
      <c r="FU26" s="42">
        <v>6.1796000000000008E-4</v>
      </c>
      <c r="FV26" s="42"/>
      <c r="FW26" s="42">
        <v>9.4074999999999996E-4</v>
      </c>
      <c r="FX26" s="42"/>
      <c r="FY26" s="42">
        <v>3.0636159999999999E-2</v>
      </c>
      <c r="FZ26" s="42">
        <v>0.30567582999999998</v>
      </c>
      <c r="GA26" s="42">
        <v>0.42069045999999999</v>
      </c>
      <c r="GB26" s="42">
        <v>0.77668633000000009</v>
      </c>
      <c r="GC26" s="42">
        <v>0.37370413000000002</v>
      </c>
      <c r="GD26" s="42">
        <v>0.38895559999999996</v>
      </c>
      <c r="GE26" s="42">
        <v>0.41897213999999999</v>
      </c>
      <c r="GF26" s="42">
        <f t="shared" si="13"/>
        <v>2.7529614500000004</v>
      </c>
      <c r="GG26" s="45">
        <f>GG27+GG28+GG29</f>
        <v>2.752961</v>
      </c>
      <c r="GH26" s="42">
        <v>0.12937880000000002</v>
      </c>
      <c r="GI26" s="42">
        <v>3.8087070000000001E-2</v>
      </c>
      <c r="GJ26" s="42">
        <v>9.8069339999999991E-2</v>
      </c>
      <c r="GK26" s="42">
        <v>0.10455517</v>
      </c>
      <c r="GL26" s="42">
        <v>0.10590011000000001</v>
      </c>
      <c r="GM26" s="42">
        <v>0.10886317000000001</v>
      </c>
      <c r="GN26" s="42">
        <v>0.43545588000000002</v>
      </c>
      <c r="GO26" s="42">
        <v>0.49603771999999996</v>
      </c>
      <c r="GP26" s="42">
        <v>0.47739324999999999</v>
      </c>
      <c r="GQ26" s="42">
        <v>0.10053577</v>
      </c>
      <c r="GR26" s="42">
        <v>0.17645038000000002</v>
      </c>
      <c r="GS26" s="42">
        <v>0.18293322999999997</v>
      </c>
      <c r="GT26" s="42">
        <f t="shared" si="14"/>
        <v>2.45365989</v>
      </c>
      <c r="GU26" s="45">
        <f>GU27+GU28+GU29</f>
        <v>2.4536599999999997</v>
      </c>
      <c r="GV26" s="42">
        <v>0.12845722000000001</v>
      </c>
      <c r="GW26" s="42">
        <v>5.2524929999999997E-2</v>
      </c>
      <c r="GX26" s="42">
        <v>0.14442634000000001</v>
      </c>
      <c r="GY26" s="42">
        <v>0.14259906000000003</v>
      </c>
      <c r="GZ26" s="42">
        <v>-1.3459400000000002E-2</v>
      </c>
      <c r="HA26" s="42">
        <v>3.0339159999999997E-2</v>
      </c>
      <c r="HB26" s="42">
        <v>0.38985513999999999</v>
      </c>
      <c r="HC26" s="42">
        <v>0.43498726000000004</v>
      </c>
      <c r="HD26" s="42">
        <v>0.39017247999999999</v>
      </c>
      <c r="HE26" s="42">
        <v>3.082988E-2</v>
      </c>
      <c r="HF26" s="42"/>
      <c r="HG26" s="42">
        <v>3.0264149999999997E-2</v>
      </c>
      <c r="HH26" s="42">
        <f t="shared" si="15"/>
        <v>1.76099622</v>
      </c>
      <c r="HI26" s="42"/>
      <c r="HJ26" s="42">
        <v>2.959782E-2</v>
      </c>
      <c r="HK26" s="42">
        <v>9.832200000000001E-3</v>
      </c>
      <c r="HL26" s="42">
        <v>5.51835E-3</v>
      </c>
      <c r="HM26" s="42"/>
      <c r="HN26" s="42"/>
      <c r="HO26" s="42"/>
      <c r="HP26" s="42"/>
      <c r="HQ26" s="42"/>
      <c r="HR26" s="42"/>
      <c r="HS26" s="42"/>
      <c r="HT26" s="42"/>
      <c r="HU26" s="300">
        <f t="shared" si="16"/>
        <v>0.46800799999999998</v>
      </c>
      <c r="HV26" s="300">
        <f t="shared" si="17"/>
        <v>4.4948000000000002E-2</v>
      </c>
      <c r="HW26" s="280">
        <f t="shared" si="18"/>
        <v>-0.42305999999999999</v>
      </c>
      <c r="HX26" s="280">
        <f t="shared" si="19"/>
        <v>-90.395890668535571</v>
      </c>
    </row>
    <row r="27" spans="1:232" s="12" customFormat="1" ht="20.5" hidden="1">
      <c r="A27" s="47" t="s">
        <v>224</v>
      </c>
      <c r="B27" s="13"/>
      <c r="C27" s="47" t="s">
        <v>225</v>
      </c>
      <c r="D27" s="45">
        <v>0</v>
      </c>
      <c r="E27" s="42">
        <v>0</v>
      </c>
      <c r="F27" s="42">
        <v>0</v>
      </c>
      <c r="G27" s="42">
        <v>8.7538246794269821</v>
      </c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42">
        <v>0</v>
      </c>
      <c r="U27" s="42">
        <v>5.1707161598397279E-3</v>
      </c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42">
        <v>0</v>
      </c>
      <c r="AI27" s="42">
        <v>2.2396002299360849E-3</v>
      </c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42">
        <v>0</v>
      </c>
      <c r="AW27" s="42">
        <v>6.1183487857211972E-5</v>
      </c>
      <c r="AX27" s="42"/>
      <c r="AY27" s="42"/>
      <c r="AZ27" s="42"/>
      <c r="BA27" s="42"/>
      <c r="BB27" s="42"/>
      <c r="BC27" s="42"/>
      <c r="BD27" s="42"/>
      <c r="BE27" s="42"/>
      <c r="BF27" s="42">
        <v>2.6879999999999999E-3</v>
      </c>
      <c r="BG27" s="42"/>
      <c r="BH27" s="42"/>
      <c r="BI27" s="42"/>
      <c r="BJ27" s="45">
        <f t="shared" si="4"/>
        <v>2.6879999999999999E-3</v>
      </c>
      <c r="BK27" s="45">
        <v>2.689E-3</v>
      </c>
      <c r="BL27" s="42"/>
      <c r="BM27" s="42">
        <v>0</v>
      </c>
      <c r="BN27" s="42">
        <v>0</v>
      </c>
      <c r="BO27" s="42">
        <v>0</v>
      </c>
      <c r="BP27" s="42">
        <v>0</v>
      </c>
      <c r="BQ27" s="42">
        <v>0</v>
      </c>
      <c r="BR27" s="42">
        <v>1.08E-3</v>
      </c>
      <c r="BS27" s="42">
        <v>1.08E-3</v>
      </c>
      <c r="BT27" s="42">
        <v>1.08E-3</v>
      </c>
      <c r="BU27" s="42">
        <v>0</v>
      </c>
      <c r="BV27" s="42">
        <v>0</v>
      </c>
      <c r="BW27" s="42">
        <v>0</v>
      </c>
      <c r="BX27" s="45">
        <f t="shared" si="5"/>
        <v>3.2399999999999998E-3</v>
      </c>
      <c r="BY27" s="45">
        <v>3.2399999999999998E-3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3.56165E-3</v>
      </c>
      <c r="CI27" s="45">
        <v>0</v>
      </c>
      <c r="CJ27" s="45">
        <v>0</v>
      </c>
      <c r="CK27" s="45">
        <v>0</v>
      </c>
      <c r="CL27" s="45">
        <f t="shared" si="6"/>
        <v>3.56165E-3</v>
      </c>
      <c r="CM27" s="45">
        <v>3.5620000000000001E-3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1.596E-3</v>
      </c>
      <c r="CY27" s="45">
        <v>0</v>
      </c>
      <c r="CZ27" s="45">
        <f t="shared" si="7"/>
        <v>1.596E-3</v>
      </c>
      <c r="DA27" s="45">
        <v>1.596E-3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5.9217200000000001E-3</v>
      </c>
      <c r="DJ27" s="45">
        <v>2.3219999999999998E-3</v>
      </c>
      <c r="DK27" s="45">
        <v>0</v>
      </c>
      <c r="DL27" s="45">
        <v>0</v>
      </c>
      <c r="DM27" s="69">
        <v>0</v>
      </c>
      <c r="DN27" s="42">
        <f t="shared" si="8"/>
        <v>8.2437199999999995E-3</v>
      </c>
      <c r="DO27" s="45">
        <v>8.2439999999999996E-3</v>
      </c>
      <c r="DP27" s="42">
        <v>0</v>
      </c>
      <c r="DQ27" s="42">
        <v>0</v>
      </c>
      <c r="DR27" s="69">
        <v>0</v>
      </c>
      <c r="DS27" s="42">
        <v>0</v>
      </c>
      <c r="DT27" s="42">
        <v>0</v>
      </c>
      <c r="DU27" s="69">
        <v>0</v>
      </c>
      <c r="DV27" s="42">
        <v>2.0639999999999999E-3</v>
      </c>
      <c r="DW27" s="69">
        <v>3.6120000000000002E-3</v>
      </c>
      <c r="DX27" s="42">
        <v>0</v>
      </c>
      <c r="DY27" s="42">
        <v>3.5885399999999999E-3</v>
      </c>
      <c r="DZ27" s="69">
        <v>0</v>
      </c>
      <c r="EA27" s="42">
        <v>0</v>
      </c>
      <c r="EB27" s="42">
        <f t="shared" si="9"/>
        <v>9.2645399999999999E-3</v>
      </c>
      <c r="EC27" s="45">
        <v>9.2650000000000007E-3</v>
      </c>
      <c r="ED27" s="42">
        <v>0</v>
      </c>
      <c r="EE27" s="42">
        <v>0</v>
      </c>
      <c r="EF27" s="42">
        <v>0</v>
      </c>
      <c r="EG27" s="42"/>
      <c r="EH27" s="69">
        <v>0</v>
      </c>
      <c r="EI27" s="42">
        <v>0</v>
      </c>
      <c r="EJ27" s="42">
        <v>0</v>
      </c>
      <c r="EK27" s="42">
        <v>0</v>
      </c>
      <c r="EL27" s="42">
        <v>6.966E-3</v>
      </c>
      <c r="EM27" s="42">
        <v>7.8040999999999994E-4</v>
      </c>
      <c r="EN27" s="42">
        <v>0</v>
      </c>
      <c r="EO27" s="69">
        <v>5.1842900000000003E-3</v>
      </c>
      <c r="EP27" s="42">
        <f t="shared" si="10"/>
        <v>1.29307E-2</v>
      </c>
      <c r="EQ27" s="42">
        <v>1.2930000000000001E-2</v>
      </c>
      <c r="ER27" s="42">
        <v>0</v>
      </c>
      <c r="ET27" s="42">
        <v>0</v>
      </c>
      <c r="EU27" s="42">
        <v>0</v>
      </c>
      <c r="EV27" s="43"/>
      <c r="EW27" s="42"/>
      <c r="EX27" s="69"/>
      <c r="EY27" s="42"/>
      <c r="EZ27" s="42"/>
      <c r="FA27" s="42"/>
      <c r="FB27" s="42"/>
      <c r="FC27" s="42"/>
      <c r="FD27" s="42">
        <f t="shared" si="11"/>
        <v>0</v>
      </c>
      <c r="FE27" s="42">
        <v>1.8404E-2</v>
      </c>
      <c r="FF27" s="42"/>
      <c r="FG27" s="42">
        <v>0</v>
      </c>
      <c r="FH27" s="42"/>
      <c r="FI27" s="42"/>
      <c r="FJ27" s="42"/>
      <c r="FK27" s="42"/>
      <c r="FL27" s="42">
        <v>7.47031E-3</v>
      </c>
      <c r="FM27" s="42">
        <v>1.303552E-2</v>
      </c>
      <c r="FN27" s="42">
        <v>7.8743300000000023E-3</v>
      </c>
      <c r="FO27" s="42">
        <v>5.2967999999999993E-4</v>
      </c>
      <c r="FP27" s="42"/>
      <c r="FQ27" s="42">
        <v>1.49431E-3</v>
      </c>
      <c r="FR27" s="42">
        <f t="shared" si="12"/>
        <v>3.0404150000000001E-2</v>
      </c>
      <c r="FS27" s="42">
        <f>0.030404</f>
        <v>3.0404E-2</v>
      </c>
      <c r="FT27" s="42">
        <v>0</v>
      </c>
      <c r="FU27" s="42">
        <v>6.1796000000000008E-4</v>
      </c>
      <c r="FV27" s="42"/>
      <c r="FW27" s="42">
        <v>9.4074999999999996E-4</v>
      </c>
      <c r="FX27" s="42"/>
      <c r="FY27" s="42">
        <v>6.3615999999999998E-4</v>
      </c>
      <c r="FZ27" s="42">
        <v>2.4946399999999998E-3</v>
      </c>
      <c r="GA27" s="42">
        <v>3.2376769999999999E-2</v>
      </c>
      <c r="GB27" s="42">
        <v>1.8127069999999999E-2</v>
      </c>
      <c r="GC27" s="42"/>
      <c r="GD27" s="42">
        <v>6.4999999999999997E-4</v>
      </c>
      <c r="GE27" s="42">
        <v>2.7592199999999997E-3</v>
      </c>
      <c r="GF27" s="42">
        <f t="shared" si="13"/>
        <v>5.860257E-2</v>
      </c>
      <c r="GG27" s="42">
        <v>5.8602000000000001E-2</v>
      </c>
      <c r="GH27" s="42">
        <v>4.7880000000000004E-4</v>
      </c>
      <c r="GI27" s="42">
        <v>1.3406400000000001E-3</v>
      </c>
      <c r="GJ27" s="42"/>
      <c r="GK27" s="42">
        <v>8.6184E-4</v>
      </c>
      <c r="GL27" s="42">
        <v>2.3123200000000001E-3</v>
      </c>
      <c r="GM27" s="42">
        <v>7.0222899999999996E-3</v>
      </c>
      <c r="GN27" s="42">
        <v>1.9895650000000001E-2</v>
      </c>
      <c r="GO27" s="42">
        <v>2.2193409999999997E-2</v>
      </c>
      <c r="GP27" s="42">
        <v>1.9910149999999998E-2</v>
      </c>
      <c r="GQ27" s="42">
        <v>2.4379200000000001E-3</v>
      </c>
      <c r="GR27" s="42">
        <v>5.6809799999999995E-3</v>
      </c>
      <c r="GS27" s="42">
        <v>8.0415999999999994E-4</v>
      </c>
      <c r="GT27" s="42">
        <f t="shared" si="14"/>
        <v>8.2938159999999997E-2</v>
      </c>
      <c r="GU27" s="42">
        <v>8.2937999999999998E-2</v>
      </c>
      <c r="GV27" s="42">
        <v>1.7491199999999998E-3</v>
      </c>
      <c r="GW27" s="42">
        <v>1.1488E-3</v>
      </c>
      <c r="GX27" s="42">
        <v>1.0340799999999999E-3</v>
      </c>
      <c r="GY27" s="42">
        <v>6.7385500000000003E-3</v>
      </c>
      <c r="GZ27" s="42">
        <v>2.6804099999999998E-3</v>
      </c>
      <c r="HA27" s="42">
        <v>8.0415999999999994E-4</v>
      </c>
      <c r="HB27" s="42">
        <v>2.2316480000000003E-2</v>
      </c>
      <c r="HC27" s="42">
        <v>2.8268709999999999E-2</v>
      </c>
      <c r="HD27" s="42">
        <v>2.1571049999999998E-2</v>
      </c>
      <c r="HE27" s="42">
        <v>2.8398799999999999E-3</v>
      </c>
      <c r="HF27" s="42"/>
      <c r="HG27" s="42">
        <v>2.1278E-3</v>
      </c>
      <c r="HH27" s="42">
        <f t="shared" si="15"/>
        <v>9.1279040000000006E-2</v>
      </c>
      <c r="HI27" s="42"/>
      <c r="HJ27" s="42">
        <v>4.5978199999999999E-3</v>
      </c>
      <c r="HK27" s="42">
        <v>9.832200000000001E-3</v>
      </c>
      <c r="HL27" s="42">
        <v>5.51835E-3</v>
      </c>
      <c r="HM27" s="42"/>
      <c r="HN27" s="42"/>
      <c r="HO27" s="42"/>
      <c r="HP27" s="42"/>
      <c r="HQ27" s="42"/>
      <c r="HR27" s="42"/>
      <c r="HS27" s="42"/>
      <c r="HT27" s="42"/>
      <c r="HU27" s="300">
        <f t="shared" si="16"/>
        <v>1.0671E-2</v>
      </c>
      <c r="HV27" s="300">
        <f t="shared" si="17"/>
        <v>1.9948E-2</v>
      </c>
      <c r="HW27" s="280">
        <f t="shared" si="18"/>
        <v>9.2770000000000005E-3</v>
      </c>
      <c r="HX27" s="280"/>
    </row>
    <row r="28" spans="1:232" s="12" customFormat="1" ht="20.5" hidden="1">
      <c r="A28" s="47" t="s">
        <v>210</v>
      </c>
      <c r="B28" s="13">
        <v>7310</v>
      </c>
      <c r="C28" s="47" t="s">
        <v>212</v>
      </c>
      <c r="D28" s="45">
        <v>0</v>
      </c>
      <c r="E28" s="42">
        <v>0</v>
      </c>
      <c r="F28" s="42">
        <v>0</v>
      </c>
      <c r="G28" s="42">
        <v>0.88121296976112828</v>
      </c>
      <c r="H28" s="42">
        <v>6.2223607150784573E-2</v>
      </c>
      <c r="I28" s="42">
        <v>4.7336995805373906E-2</v>
      </c>
      <c r="J28" s="42">
        <v>3.5571795265820917E-2</v>
      </c>
      <c r="K28" s="42">
        <v>1.1919397157671272E-2</v>
      </c>
      <c r="L28" s="42">
        <v>0</v>
      </c>
      <c r="M28" s="42">
        <v>0</v>
      </c>
      <c r="N28" s="42">
        <v>0</v>
      </c>
      <c r="O28" s="42">
        <v>0</v>
      </c>
      <c r="P28" s="42">
        <v>8.7905020460896637E-3</v>
      </c>
      <c r="Q28" s="42">
        <v>3.5571795265820917E-2</v>
      </c>
      <c r="R28" s="42">
        <v>6.4029231480000004E-2</v>
      </c>
      <c r="S28" s="42">
        <v>6.183089453E-2</v>
      </c>
      <c r="T28" s="42">
        <v>0.38358152486326202</v>
      </c>
      <c r="U28" s="42">
        <v>0.32727474516365873</v>
      </c>
      <c r="V28" s="42">
        <v>5.5538955384431501E-2</v>
      </c>
      <c r="W28" s="42">
        <v>0.72281887980148096</v>
      </c>
      <c r="X28" s="42">
        <v>-0.67496485506627735</v>
      </c>
      <c r="Y28" s="42">
        <v>3.2215240664538056E-2</v>
      </c>
      <c r="Z28" s="42">
        <v>5.1226230926403375E-2</v>
      </c>
      <c r="AA28" s="42">
        <v>1.9508995395586821E-2</v>
      </c>
      <c r="AB28" s="42">
        <v>-2.1129646387897621E-3</v>
      </c>
      <c r="AC28" s="42">
        <v>2.0337106789375132E-2</v>
      </c>
      <c r="AD28" s="42">
        <v>2.3157238718049415E-2</v>
      </c>
      <c r="AE28" s="42">
        <v>1.0650195502586782E-2</v>
      </c>
      <c r="AF28" s="42">
        <v>8.7506616353919438E-3</v>
      </c>
      <c r="AG28" s="42">
        <v>1.6861030955999112E-2</v>
      </c>
      <c r="AH28" s="42">
        <v>0.28398671606877607</v>
      </c>
      <c r="AI28" s="42">
        <v>0.2839867160687759</v>
      </c>
      <c r="AJ28" s="42">
        <v>4.7513958372462306E-2</v>
      </c>
      <c r="AK28" s="42">
        <v>1.3964063949550657E-2</v>
      </c>
      <c r="AL28" s="42">
        <v>2.3857291648880771E-2</v>
      </c>
      <c r="AM28" s="42">
        <v>4.9108997672181721E-2</v>
      </c>
      <c r="AN28" s="42">
        <v>1.6324608283390534E-2</v>
      </c>
      <c r="AO28" s="42">
        <v>6.895236794326725E-3</v>
      </c>
      <c r="AP28" s="42">
        <v>8.175821423896279E-3</v>
      </c>
      <c r="AQ28" s="42">
        <v>2.1005856540372566E-2</v>
      </c>
      <c r="AR28" s="42">
        <v>2.9103420014684037E-2</v>
      </c>
      <c r="AS28" s="42">
        <v>5.3186948281455426E-2</v>
      </c>
      <c r="AT28" s="42">
        <v>7.260061126572985E-2</v>
      </c>
      <c r="AU28" s="42">
        <v>4.349149976380328E-2</v>
      </c>
      <c r="AV28" s="42">
        <v>0.38522831401073415</v>
      </c>
      <c r="AW28" s="42">
        <v>0.38522831401073415</v>
      </c>
      <c r="AX28" s="42">
        <v>1.4885000000000001E-2</v>
      </c>
      <c r="AY28" s="42">
        <v>1.8328000000000001E-2</v>
      </c>
      <c r="AZ28" s="42">
        <v>2.6695E-2</v>
      </c>
      <c r="BA28" s="42">
        <v>1.0810999999999999E-2</v>
      </c>
      <c r="BB28" s="42">
        <v>5.3220000000000003E-3</v>
      </c>
      <c r="BC28" s="42">
        <v>4.5399999999999998E-4</v>
      </c>
      <c r="BD28" s="42">
        <v>5.0778910000000003E-2</v>
      </c>
      <c r="BE28" s="42">
        <v>0.100101</v>
      </c>
      <c r="BF28" s="42">
        <v>0.12332071</v>
      </c>
      <c r="BG28" s="42">
        <v>9.4596340000000001E-2</v>
      </c>
      <c r="BH28" s="42">
        <v>4.4730160000000005E-2</v>
      </c>
      <c r="BI28" s="42">
        <v>1.2254660000000001E-2</v>
      </c>
      <c r="BJ28" s="45">
        <f t="shared" si="4"/>
        <v>0.50227677999999998</v>
      </c>
      <c r="BK28" s="45">
        <v>0.50227699999999997</v>
      </c>
      <c r="BL28" s="42">
        <v>9.7925300000000007E-3</v>
      </c>
      <c r="BM28" s="42">
        <v>0.22664345999999999</v>
      </c>
      <c r="BN28" s="42">
        <v>0.26533601000000001</v>
      </c>
      <c r="BO28" s="42">
        <v>0.30910858000000002</v>
      </c>
      <c r="BP28" s="42">
        <v>0.30085574999999998</v>
      </c>
      <c r="BQ28" s="42">
        <v>0.26707966999999999</v>
      </c>
      <c r="BR28" s="42">
        <v>0.44657999999999998</v>
      </c>
      <c r="BS28" s="42">
        <v>0.463644</v>
      </c>
      <c r="BT28" s="42">
        <v>0.509104</v>
      </c>
      <c r="BU28" s="42">
        <v>0.42790099999999998</v>
      </c>
      <c r="BV28" s="42">
        <v>0.42646499999999998</v>
      </c>
      <c r="BW28" s="42">
        <v>0.44832699999999998</v>
      </c>
      <c r="BX28" s="45">
        <f t="shared" si="5"/>
        <v>4.1008369999999994</v>
      </c>
      <c r="BY28" s="45">
        <v>4.1008370000000003</v>
      </c>
      <c r="BZ28" s="45">
        <v>0.27072499999999999</v>
      </c>
      <c r="CA28" s="45">
        <v>0.358039</v>
      </c>
      <c r="CB28" s="45">
        <v>0.45114100000000001</v>
      </c>
      <c r="CC28" s="45">
        <v>0.39600600000000002</v>
      </c>
      <c r="CD28" s="45">
        <v>0.39948699999999998</v>
      </c>
      <c r="CE28" s="45">
        <v>0.39736199999999999</v>
      </c>
      <c r="CF28" s="45">
        <v>0.54791999999999996</v>
      </c>
      <c r="CG28" s="45">
        <v>0.58119799999999999</v>
      </c>
      <c r="CH28" s="45">
        <v>0.559778</v>
      </c>
      <c r="CI28" s="45">
        <v>0.54736200000000002</v>
      </c>
      <c r="CJ28" s="45">
        <v>0.40030300000000002</v>
      </c>
      <c r="CK28" s="45">
        <v>0.198768</v>
      </c>
      <c r="CL28" s="45">
        <f t="shared" si="6"/>
        <v>5.1080890000000005</v>
      </c>
      <c r="CM28" s="45">
        <v>5.1080889999999997</v>
      </c>
      <c r="CN28" s="45">
        <v>0.31728459999999997</v>
      </c>
      <c r="CO28" s="45">
        <v>0.46731865</v>
      </c>
      <c r="CP28" s="45">
        <v>0.44644774999999998</v>
      </c>
      <c r="CQ28" s="45">
        <v>0.48017421999999998</v>
      </c>
      <c r="CR28" s="45">
        <v>0.46608278000000003</v>
      </c>
      <c r="CS28" s="45">
        <v>0.45774399999999998</v>
      </c>
      <c r="CT28" s="45">
        <v>0.52444199999999996</v>
      </c>
      <c r="CU28" s="45">
        <v>0.71233427000000005</v>
      </c>
      <c r="CV28" s="45">
        <v>0.66879372999999998</v>
      </c>
      <c r="CW28" s="45">
        <v>0.51867700000000005</v>
      </c>
      <c r="CX28" s="45">
        <v>0.50569542999999995</v>
      </c>
      <c r="CY28" s="45">
        <v>0.61062485999999994</v>
      </c>
      <c r="CZ28" s="45">
        <f t="shared" si="7"/>
        <v>6.1756192900000002</v>
      </c>
      <c r="DA28" s="45">
        <v>6.1756190000000002</v>
      </c>
      <c r="DB28" s="45">
        <v>0.12798316000000001</v>
      </c>
      <c r="DC28" s="45">
        <v>0.46028940000000002</v>
      </c>
      <c r="DD28" s="45">
        <v>0.42885144000000003</v>
      </c>
      <c r="DE28" s="45">
        <v>0.46812700000000002</v>
      </c>
      <c r="DF28" s="45">
        <v>0.47180299999999997</v>
      </c>
      <c r="DG28" s="45">
        <v>0.46355000000000002</v>
      </c>
      <c r="DH28" s="45">
        <v>0.67634358999999999</v>
      </c>
      <c r="DI28" s="45">
        <v>0.69263989000000004</v>
      </c>
      <c r="DJ28" s="45">
        <v>0.60310251999999998</v>
      </c>
      <c r="DK28" s="45">
        <v>0.50212486999999995</v>
      </c>
      <c r="DL28" s="45">
        <v>0.47081923999999997</v>
      </c>
      <c r="DM28" s="69">
        <v>0.46429994000000002</v>
      </c>
      <c r="DN28" s="42">
        <f t="shared" si="8"/>
        <v>5.8299340500000003</v>
      </c>
      <c r="DO28" s="45">
        <v>5.8293559999999998</v>
      </c>
      <c r="DP28" s="42">
        <v>0.27204834999999999</v>
      </c>
      <c r="DQ28" s="42">
        <v>0.42511563000000002</v>
      </c>
      <c r="DR28" s="69">
        <v>0.46963240000000001</v>
      </c>
      <c r="DS28" s="42">
        <v>0.46754937000000002</v>
      </c>
      <c r="DT28" s="42">
        <v>0.45969388</v>
      </c>
      <c r="DU28" s="69">
        <v>0.46458175000000002</v>
      </c>
      <c r="DV28" s="42">
        <v>0.65696039000000006</v>
      </c>
      <c r="DW28" s="69">
        <v>0.69468770999999996</v>
      </c>
      <c r="DX28" s="42">
        <v>0.62308390000000002</v>
      </c>
      <c r="DY28" s="42">
        <v>0.49644621999999999</v>
      </c>
      <c r="DZ28" s="69">
        <v>0.44643313000000001</v>
      </c>
      <c r="EA28" s="42">
        <v>0.40181428000000002</v>
      </c>
      <c r="EB28" s="42">
        <f t="shared" si="9"/>
        <v>5.8780470100000004</v>
      </c>
      <c r="EC28" s="45">
        <v>5.8780469999999996</v>
      </c>
      <c r="ED28" s="42">
        <v>0.32692471999999995</v>
      </c>
      <c r="EE28" s="42">
        <v>0.42709296000000002</v>
      </c>
      <c r="EF28" s="69">
        <v>0.44628405999999998</v>
      </c>
      <c r="EG28" s="42">
        <v>0.43989815999999998</v>
      </c>
      <c r="EH28" s="69">
        <v>0.42869000000000002</v>
      </c>
      <c r="EI28" s="42">
        <v>0.41843279999999999</v>
      </c>
      <c r="EJ28" s="42">
        <v>0.44284147999999995</v>
      </c>
      <c r="EK28" s="42">
        <v>0.68911905000000007</v>
      </c>
      <c r="EL28" s="42">
        <v>0.75368035</v>
      </c>
      <c r="EM28" s="42">
        <v>0.55685286999999994</v>
      </c>
      <c r="EN28" s="42">
        <v>0.63175040999999998</v>
      </c>
      <c r="EO28" s="69">
        <v>0.58703705000000006</v>
      </c>
      <c r="EP28" s="42">
        <f t="shared" si="10"/>
        <v>6.1486039100000012</v>
      </c>
      <c r="EQ28" s="42">
        <v>6.1466669999999999</v>
      </c>
      <c r="ER28" s="42">
        <v>0.27791808000000001</v>
      </c>
      <c r="ES28" s="42">
        <v>0.60537026999999999</v>
      </c>
      <c r="ET28" s="42">
        <v>0.65707473999999999</v>
      </c>
      <c r="EU28" s="42">
        <v>0.64087103000000001</v>
      </c>
      <c r="EV28" s="43">
        <v>0.83743000000000001</v>
      </c>
      <c r="EW28" s="42">
        <v>0.766374</v>
      </c>
      <c r="EX28" s="69">
        <v>0.18187542000000001</v>
      </c>
      <c r="EY28" s="42">
        <v>0.248666</v>
      </c>
      <c r="EZ28" s="42">
        <v>0.24516087</v>
      </c>
      <c r="FA28" s="42">
        <v>-3.8200000000000002E-4</v>
      </c>
      <c r="FB28" s="42">
        <v>-4.8749999999999998E-4</v>
      </c>
      <c r="FC28" s="42">
        <v>0</v>
      </c>
      <c r="FD28" s="42">
        <f t="shared" si="11"/>
        <v>4.4598709099999994</v>
      </c>
      <c r="FE28" s="42">
        <v>4.412236</v>
      </c>
      <c r="FF28" s="42">
        <v>0.21754573000000002</v>
      </c>
      <c r="FG28" s="42">
        <v>0.26065916</v>
      </c>
      <c r="FH28" s="42">
        <v>0.32016529999999999</v>
      </c>
      <c r="FI28" s="42">
        <v>0.31558658000000001</v>
      </c>
      <c r="FJ28" s="42">
        <v>0.33143529999999999</v>
      </c>
      <c r="FK28" s="42">
        <v>0.32450984000000005</v>
      </c>
      <c r="FL28" s="42">
        <v>0.57283633999999994</v>
      </c>
      <c r="FM28" s="42">
        <v>0.44951003</v>
      </c>
      <c r="FN28" s="42">
        <v>0.42543880000000001</v>
      </c>
      <c r="FO28" s="42">
        <v>0.19192663000000001</v>
      </c>
      <c r="FP28" s="42">
        <v>0.20452729</v>
      </c>
      <c r="FQ28" s="42">
        <v>0.56053525000000004</v>
      </c>
      <c r="FR28" s="42">
        <f t="shared" si="12"/>
        <v>4.174676250000001</v>
      </c>
      <c r="FS28" s="42">
        <v>4.1746759999999998</v>
      </c>
      <c r="FT28" s="42">
        <v>1.1082089999999999E-2</v>
      </c>
      <c r="FU28" s="42"/>
      <c r="FV28" s="42"/>
      <c r="FW28" s="42"/>
      <c r="FX28" s="42"/>
      <c r="FY28" s="42"/>
      <c r="FZ28" s="42">
        <v>0.29934285999999999</v>
      </c>
      <c r="GA28" s="42">
        <v>0.35361768999999998</v>
      </c>
      <c r="GB28" s="42">
        <v>0.75334990000000002</v>
      </c>
      <c r="GC28" s="42">
        <v>0.37370413000000002</v>
      </c>
      <c r="GD28" s="42">
        <v>0.38830559999999997</v>
      </c>
      <c r="GE28" s="42">
        <v>0.38990881999999999</v>
      </c>
      <c r="GF28" s="42">
        <f t="shared" si="13"/>
        <v>2.5693110899999998</v>
      </c>
      <c r="GG28" s="42">
        <v>2.5693109999999999</v>
      </c>
      <c r="GH28" s="42">
        <v>0.10390000000000001</v>
      </c>
      <c r="GI28" s="42">
        <v>3.6746430000000004E-2</v>
      </c>
      <c r="GJ28" s="42">
        <v>9.8069339999999991E-2</v>
      </c>
      <c r="GK28" s="42">
        <v>0.10369333</v>
      </c>
      <c r="GL28" s="42">
        <v>0.10358779</v>
      </c>
      <c r="GM28" s="42">
        <v>0.10184088000000001</v>
      </c>
      <c r="GN28" s="42">
        <v>0.41348233000000001</v>
      </c>
      <c r="GO28" s="42">
        <v>0.46922430999999998</v>
      </c>
      <c r="GP28" s="42">
        <v>0.43565352000000002</v>
      </c>
      <c r="GQ28" s="42">
        <v>9.809785E-2</v>
      </c>
      <c r="GR28" s="42">
        <v>0.14592354000000002</v>
      </c>
      <c r="GS28" s="42">
        <v>0.14606076999999998</v>
      </c>
      <c r="GT28" s="42">
        <f t="shared" si="14"/>
        <v>2.2562800900000002</v>
      </c>
      <c r="GU28" s="42">
        <v>2.2562799999999998</v>
      </c>
      <c r="GV28" s="42">
        <v>0.10170810000000001</v>
      </c>
      <c r="GW28" s="42">
        <v>5.1376129999999999E-2</v>
      </c>
      <c r="GX28" s="42">
        <v>0.14339226000000002</v>
      </c>
      <c r="GY28" s="42">
        <v>0.13586051000000002</v>
      </c>
      <c r="GZ28" s="42">
        <v>-1.6139810000000001E-2</v>
      </c>
      <c r="HA28" s="42">
        <v>-4.6500000000000003E-4</v>
      </c>
      <c r="HB28" s="42">
        <v>0.36048141</v>
      </c>
      <c r="HC28" s="42">
        <v>0.39870201</v>
      </c>
      <c r="HD28" s="42">
        <v>0.36187801000000003</v>
      </c>
      <c r="HE28" s="42"/>
      <c r="HF28" s="42"/>
      <c r="HG28" s="42"/>
      <c r="HH28" s="42">
        <f t="shared" si="15"/>
        <v>1.5367936200000003</v>
      </c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300">
        <f t="shared" si="16"/>
        <v>0.43233700000000003</v>
      </c>
      <c r="HV28" s="300">
        <f t="shared" si="17"/>
        <v>0</v>
      </c>
      <c r="HW28" s="280">
        <f t="shared" si="18"/>
        <v>-0.43233700000000003</v>
      </c>
      <c r="HX28" s="280">
        <f t="shared" si="19"/>
        <v>-100</v>
      </c>
    </row>
    <row r="29" spans="1:232" s="12" customFormat="1" ht="20.5" hidden="1">
      <c r="A29" s="47" t="s">
        <v>213</v>
      </c>
      <c r="B29" s="13">
        <v>7350</v>
      </c>
      <c r="C29" s="47" t="s">
        <v>215</v>
      </c>
      <c r="D29" s="45">
        <v>0</v>
      </c>
      <c r="E29" s="42">
        <v>0</v>
      </c>
      <c r="F29" s="42">
        <v>0</v>
      </c>
      <c r="G29" s="42">
        <v>8.0446326429559303E-2</v>
      </c>
      <c r="H29" s="42">
        <v>0</v>
      </c>
      <c r="I29" s="42">
        <v>0</v>
      </c>
      <c r="J29" s="42">
        <v>0</v>
      </c>
      <c r="K29" s="42">
        <v>9.5332411312400046E-3</v>
      </c>
      <c r="L29" s="42">
        <v>0</v>
      </c>
      <c r="M29" s="42">
        <v>2.7760229025446639E-2</v>
      </c>
      <c r="N29" s="42">
        <v>0</v>
      </c>
      <c r="O29" s="42">
        <v>0</v>
      </c>
      <c r="P29" s="42">
        <v>0</v>
      </c>
      <c r="Q29" s="42">
        <v>0</v>
      </c>
      <c r="R29" s="42">
        <v>4.4274079258128984E-2</v>
      </c>
      <c r="S29" s="42">
        <v>1.2033226903571809E-2</v>
      </c>
      <c r="T29" s="42">
        <v>3.7293470156686645E-2</v>
      </c>
      <c r="U29" s="42">
        <v>9.3602199190670504E-2</v>
      </c>
      <c r="V29" s="42">
        <v>8.1843586547600752E-3</v>
      </c>
      <c r="W29" s="42">
        <v>2.7459718499040983E-3</v>
      </c>
      <c r="X29" s="42">
        <v>2.8742010574783297E-3</v>
      </c>
      <c r="Y29" s="42">
        <v>2.8742010574783297E-3</v>
      </c>
      <c r="Z29" s="42">
        <v>4.4109026129617928E-3</v>
      </c>
      <c r="AA29" s="42">
        <v>2.0347066892049563E-2</v>
      </c>
      <c r="AB29" s="42">
        <v>0</v>
      </c>
      <c r="AC29" s="42">
        <v>1.3688026818287888E-2</v>
      </c>
      <c r="AD29" s="42">
        <v>0</v>
      </c>
      <c r="AE29" s="42">
        <v>2.4786426941224012E-2</v>
      </c>
      <c r="AF29" s="42">
        <v>0</v>
      </c>
      <c r="AG29" s="42">
        <v>2.1764247215439868E-2</v>
      </c>
      <c r="AH29" s="42">
        <v>0.10167540309958395</v>
      </c>
      <c r="AI29" s="42">
        <v>0.10167557384420123</v>
      </c>
      <c r="AJ29" s="42">
        <v>4.7552375911349394E-3</v>
      </c>
      <c r="AK29" s="42">
        <v>0</v>
      </c>
      <c r="AL29" s="42">
        <v>3.1587754196048972E-3</v>
      </c>
      <c r="AM29" s="42">
        <v>6.0628567851065164E-3</v>
      </c>
      <c r="AN29" s="42">
        <v>2.4750855145958192E-2</v>
      </c>
      <c r="AO29" s="42">
        <v>2.3050523332251952E-4</v>
      </c>
      <c r="AP29" s="42">
        <v>4.4109026129617929E-4</v>
      </c>
      <c r="AQ29" s="42">
        <v>4.0731128451175574E-2</v>
      </c>
      <c r="AR29" s="42">
        <v>4.2970728681111667E-4</v>
      </c>
      <c r="AS29" s="42">
        <v>2.1912225883745682E-4</v>
      </c>
      <c r="AT29" s="42">
        <v>2.7888287488403592E-4</v>
      </c>
      <c r="AU29" s="42">
        <v>5.2973517509860499E-2</v>
      </c>
      <c r="AV29" s="42">
        <v>0.13403167881799194</v>
      </c>
      <c r="AW29" s="42">
        <v>0.13403167881799194</v>
      </c>
      <c r="AX29" s="42">
        <v>9.4000000000000004E-3</v>
      </c>
      <c r="AY29" s="42">
        <v>1.2E-2</v>
      </c>
      <c r="AZ29" s="42">
        <v>1.3384999999999999E-2</v>
      </c>
      <c r="BA29" s="42">
        <v>1.3754000000000001E-2</v>
      </c>
      <c r="BB29" s="42"/>
      <c r="BC29" s="42"/>
      <c r="BD29" s="42"/>
      <c r="BE29" s="42"/>
      <c r="BF29" s="42"/>
      <c r="BG29" s="42">
        <v>4.4578910000000006E-2</v>
      </c>
      <c r="BH29" s="42">
        <v>4.0145999999999997E-4</v>
      </c>
      <c r="BI29" s="42">
        <v>3.5499999999999997E-2</v>
      </c>
      <c r="BJ29" s="45">
        <f t="shared" si="4"/>
        <v>0.12901937000000002</v>
      </c>
      <c r="BK29" s="45">
        <v>0.12901899999999999</v>
      </c>
      <c r="BL29" s="42">
        <v>9.4999999999999998E-3</v>
      </c>
      <c r="BM29" s="42">
        <v>1.2E-2</v>
      </c>
      <c r="BN29" s="42">
        <v>1.2999999999999999E-2</v>
      </c>
      <c r="BO29" s="42">
        <v>1.5827999999999998E-2</v>
      </c>
      <c r="BP29" s="42">
        <v>1.2999999999999999E-2</v>
      </c>
      <c r="BQ29" s="42">
        <v>1.2E-2</v>
      </c>
      <c r="BR29" s="42">
        <v>6.6480000000000003E-3</v>
      </c>
      <c r="BS29" s="42">
        <v>4.816E-3</v>
      </c>
      <c r="BT29" s="42">
        <v>0</v>
      </c>
      <c r="BU29" s="42">
        <v>2.6627000000000001E-2</v>
      </c>
      <c r="BV29" s="42">
        <v>1.37E-2</v>
      </c>
      <c r="BW29" s="42">
        <v>6.0000000000000001E-3</v>
      </c>
      <c r="BX29" s="45">
        <f t="shared" si="5"/>
        <v>0.13311899999999999</v>
      </c>
      <c r="BY29" s="45">
        <v>0.13311899999999999</v>
      </c>
      <c r="BZ29" s="45">
        <v>5.0000000000000001E-3</v>
      </c>
      <c r="CA29" s="45">
        <v>1.0500000000000001E-2</v>
      </c>
      <c r="CB29" s="45">
        <v>1.9E-2</v>
      </c>
      <c r="CC29" s="45">
        <v>1.5427E-2</v>
      </c>
      <c r="CD29" s="45">
        <v>1.34E-2</v>
      </c>
      <c r="CE29" s="45">
        <v>1.2E-2</v>
      </c>
      <c r="CF29" s="45">
        <v>6.0000000000000001E-3</v>
      </c>
      <c r="CG29" s="45">
        <v>4.5999999999999999E-3</v>
      </c>
      <c r="CH29" s="45">
        <v>1.151902E-2</v>
      </c>
      <c r="CI29" s="45">
        <v>1.6E-2</v>
      </c>
      <c r="CJ29" s="45">
        <v>1.37E-2</v>
      </c>
      <c r="CK29" s="45">
        <v>6.0000000000000001E-3</v>
      </c>
      <c r="CL29" s="45">
        <f t="shared" si="6"/>
        <v>0.13314602</v>
      </c>
      <c r="CM29" s="45">
        <v>0.13314599999999999</v>
      </c>
      <c r="CN29" s="45">
        <v>5.0000000000000001E-3</v>
      </c>
      <c r="CO29" s="45">
        <v>1.03E-2</v>
      </c>
      <c r="CP29" s="45">
        <v>1.2999999999999999E-2</v>
      </c>
      <c r="CQ29" s="45">
        <v>1.5427E-2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4.0275199999999997E-3</v>
      </c>
      <c r="CX29" s="45">
        <v>2.3987049999999999E-2</v>
      </c>
      <c r="CY29" s="45">
        <v>5.5686730000000004E-2</v>
      </c>
      <c r="CZ29" s="45">
        <f t="shared" si="7"/>
        <v>0.12742829999999999</v>
      </c>
      <c r="DA29" s="45">
        <v>0.12742899999999999</v>
      </c>
      <c r="DB29" s="45">
        <v>0</v>
      </c>
      <c r="DC29" s="45">
        <v>2.5000000000000001E-2</v>
      </c>
      <c r="DD29" s="45">
        <v>0</v>
      </c>
      <c r="DE29" s="45">
        <v>0.03</v>
      </c>
      <c r="DF29" s="45">
        <v>0</v>
      </c>
      <c r="DG29" s="45">
        <v>0</v>
      </c>
      <c r="DH29" s="45">
        <v>0</v>
      </c>
      <c r="DI29" s="45">
        <v>3.9066570000000002E-2</v>
      </c>
      <c r="DJ29" s="45">
        <v>1.27878E-3</v>
      </c>
      <c r="DK29" s="45">
        <v>0</v>
      </c>
      <c r="DL29" s="45">
        <v>1.2999999999999999E-2</v>
      </c>
      <c r="DM29" s="69">
        <v>2.7543959999999999E-2</v>
      </c>
      <c r="DN29" s="42">
        <f t="shared" si="8"/>
        <v>0.13588930999999999</v>
      </c>
      <c r="DO29" s="45">
        <v>0.13588900000000001</v>
      </c>
      <c r="DP29" s="42">
        <v>2.5000000000000001E-2</v>
      </c>
      <c r="DQ29" s="42">
        <v>0</v>
      </c>
      <c r="DR29" s="69">
        <v>0</v>
      </c>
      <c r="DS29" s="42">
        <v>0</v>
      </c>
      <c r="DT29" s="42">
        <v>0.03</v>
      </c>
      <c r="DU29" s="69">
        <v>0</v>
      </c>
      <c r="DV29" s="42">
        <v>7.4683000000000008E-4</v>
      </c>
      <c r="DW29" s="69">
        <v>2.8517000000000001E-4</v>
      </c>
      <c r="DX29" s="42">
        <v>3.5000000000000003E-2</v>
      </c>
      <c r="DY29" s="42">
        <v>1.47595E-3</v>
      </c>
      <c r="DZ29" s="69">
        <v>0</v>
      </c>
      <c r="EA29" s="42">
        <v>3.5454180000000002E-2</v>
      </c>
      <c r="EB29" s="42">
        <f t="shared" si="9"/>
        <v>0.12796213000000001</v>
      </c>
      <c r="EC29" s="45">
        <v>0.12796199999999999</v>
      </c>
      <c r="ED29" s="42">
        <v>2.5000000000000001E-2</v>
      </c>
      <c r="EE29" s="42">
        <v>0</v>
      </c>
      <c r="EF29" s="69">
        <v>0</v>
      </c>
      <c r="EG29" s="42">
        <v>0</v>
      </c>
      <c r="EH29" s="69">
        <v>0</v>
      </c>
      <c r="EI29" s="42"/>
      <c r="EJ29" s="42">
        <v>4.1234480000000004E-2</v>
      </c>
      <c r="EK29" s="42">
        <v>0</v>
      </c>
      <c r="EL29" s="42">
        <v>3.39033E-3</v>
      </c>
      <c r="EM29" s="42">
        <v>0</v>
      </c>
      <c r="EN29" s="42">
        <v>0</v>
      </c>
      <c r="EO29" s="69">
        <v>4.0173190000000004E-2</v>
      </c>
      <c r="EP29" s="42">
        <f t="shared" si="10"/>
        <v>0.10979800000000001</v>
      </c>
      <c r="EQ29" s="166">
        <v>0.10979800000000001</v>
      </c>
      <c r="ER29" s="42">
        <v>2.5000000000000001E-2</v>
      </c>
      <c r="ES29" s="179"/>
      <c r="ET29" s="42"/>
      <c r="EU29" s="183"/>
      <c r="EV29" s="43"/>
      <c r="EW29" s="183"/>
      <c r="EY29" s="183"/>
      <c r="EZ29" s="183"/>
      <c r="FA29" s="183"/>
      <c r="FB29" s="183"/>
      <c r="FC29" s="42">
        <v>4.9124000000000001E-2</v>
      </c>
      <c r="FD29" s="42">
        <f t="shared" si="11"/>
        <v>7.4123999999999995E-2</v>
      </c>
      <c r="FE29" s="42">
        <v>0.108529</v>
      </c>
      <c r="FF29" s="42">
        <v>2.5000000000000001E-2</v>
      </c>
      <c r="FG29" s="42">
        <v>0</v>
      </c>
      <c r="FH29" s="42"/>
      <c r="FI29" s="42"/>
      <c r="FJ29" s="42">
        <v>2.4771709999999999E-2</v>
      </c>
      <c r="FK29" s="42"/>
      <c r="FL29" s="42">
        <v>6.3338000000000001E-4</v>
      </c>
      <c r="FM29" s="42">
        <v>1.9910800000000001E-3</v>
      </c>
      <c r="FN29" s="42">
        <v>2.01987E-3</v>
      </c>
      <c r="FO29" s="42"/>
      <c r="FP29" s="42">
        <v>1.2786E-2</v>
      </c>
      <c r="FQ29" s="42">
        <v>4.2920069999999998E-2</v>
      </c>
      <c r="FR29" s="42">
        <f t="shared" si="12"/>
        <v>0.11012211</v>
      </c>
      <c r="FS29" s="42">
        <v>0.110123</v>
      </c>
      <c r="FT29" s="42">
        <v>2.5000000000000001E-2</v>
      </c>
      <c r="FU29" s="42"/>
      <c r="FV29" s="42"/>
      <c r="FW29" s="42"/>
      <c r="FX29" s="42"/>
      <c r="FY29" s="42">
        <v>0.03</v>
      </c>
      <c r="FZ29" s="42">
        <v>3.83833E-3</v>
      </c>
      <c r="GA29" s="42">
        <v>3.4696000000000005E-2</v>
      </c>
      <c r="GB29" s="42">
        <v>5.2093599999999997E-3</v>
      </c>
      <c r="GC29" s="42"/>
      <c r="GD29" s="42"/>
      <c r="GE29" s="42">
        <v>2.6304099999999997E-2</v>
      </c>
      <c r="GF29" s="42">
        <f t="shared" si="13"/>
        <v>0.12504778999999999</v>
      </c>
      <c r="GG29" s="42">
        <v>0.12504799999999999</v>
      </c>
      <c r="GH29" s="42">
        <v>2.5000000000000001E-2</v>
      </c>
      <c r="GI29" s="42"/>
      <c r="GJ29" s="42"/>
      <c r="GK29" s="42"/>
      <c r="GL29" s="42"/>
      <c r="GM29" s="42"/>
      <c r="GN29" s="42">
        <v>2.078E-3</v>
      </c>
      <c r="GO29" s="42">
        <v>4.62E-3</v>
      </c>
      <c r="GP29" s="42">
        <v>2.1829580000000001E-2</v>
      </c>
      <c r="GQ29" s="42"/>
      <c r="GR29" s="42">
        <v>2.4845860000000001E-2</v>
      </c>
      <c r="GS29" s="42">
        <v>3.6068300000000005E-2</v>
      </c>
      <c r="GT29" s="42">
        <f t="shared" si="14"/>
        <v>0.11444174000000001</v>
      </c>
      <c r="GU29" s="42">
        <v>0.114442</v>
      </c>
      <c r="GV29" s="42">
        <v>2.5000000000000001E-2</v>
      </c>
      <c r="GW29" s="42"/>
      <c r="GX29" s="42"/>
      <c r="GY29" s="42"/>
      <c r="GZ29" s="42"/>
      <c r="HA29" s="42">
        <v>0.03</v>
      </c>
      <c r="HB29" s="42">
        <v>7.0572500000000002E-3</v>
      </c>
      <c r="HC29" s="42">
        <v>8.0165400000000008E-3</v>
      </c>
      <c r="HD29" s="42">
        <v>6.7234199999999999E-3</v>
      </c>
      <c r="HE29" s="42">
        <v>2.7990000000000001E-2</v>
      </c>
      <c r="HF29" s="42"/>
      <c r="HG29" s="42">
        <v>2.8136349999999997E-2</v>
      </c>
      <c r="HH29" s="42">
        <f t="shared" si="15"/>
        <v>0.13292356</v>
      </c>
      <c r="HI29" s="42"/>
      <c r="HJ29" s="42">
        <v>2.5000000000000001E-2</v>
      </c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300">
        <f t="shared" si="16"/>
        <v>2.5000000000000001E-2</v>
      </c>
      <c r="HV29" s="300">
        <f t="shared" si="17"/>
        <v>2.5000000000000001E-2</v>
      </c>
      <c r="HW29" s="280">
        <f t="shared" si="18"/>
        <v>0</v>
      </c>
      <c r="HX29" s="280">
        <f t="shared" si="19"/>
        <v>0</v>
      </c>
    </row>
    <row r="30" spans="1:232" s="12" customFormat="1" ht="20.5">
      <c r="A30" s="46" t="s">
        <v>150</v>
      </c>
      <c r="B30" s="13">
        <v>6000</v>
      </c>
      <c r="C30" s="46" t="s">
        <v>151</v>
      </c>
      <c r="D30" s="45">
        <v>1268.5147978668306</v>
      </c>
      <c r="E30" s="42">
        <v>1696.4157716802977</v>
      </c>
      <c r="F30" s="42">
        <v>2048.3015364169814</v>
      </c>
      <c r="G30" s="42">
        <v>2123.9786014308402</v>
      </c>
      <c r="H30" s="42">
        <v>154.43470441261007</v>
      </c>
      <c r="I30" s="42">
        <v>164.60134546758414</v>
      </c>
      <c r="J30" s="42">
        <v>169.39245507993695</v>
      </c>
      <c r="K30" s="42">
        <v>164.01928845026492</v>
      </c>
      <c r="L30" s="42">
        <v>162.57313703393834</v>
      </c>
      <c r="M30" s="42">
        <v>162.23752568283618</v>
      </c>
      <c r="N30" s="42">
        <v>156.77737320789294</v>
      </c>
      <c r="O30" s="42">
        <v>166.79056180670571</v>
      </c>
      <c r="P30" s="42">
        <v>159.97972407669849</v>
      </c>
      <c r="Q30" s="42">
        <v>157.15072054228492</v>
      </c>
      <c r="R30" s="42">
        <v>167.93622546257563</v>
      </c>
      <c r="S30" s="42">
        <v>154.45921764816364</v>
      </c>
      <c r="T30" s="42">
        <v>1940.3522788714918</v>
      </c>
      <c r="U30" s="42">
        <v>1940.3522760257483</v>
      </c>
      <c r="V30" s="42">
        <v>171.57577076965981</v>
      </c>
      <c r="W30" s="42">
        <v>163.97365700821283</v>
      </c>
      <c r="X30" s="42">
        <v>185.37576621647003</v>
      </c>
      <c r="Y30" s="42">
        <v>176.02870501590772</v>
      </c>
      <c r="Z30" s="42">
        <v>143.81371335393652</v>
      </c>
      <c r="AA30" s="42">
        <v>147.69532045918919</v>
      </c>
      <c r="AB30" s="42">
        <v>166.15525096612996</v>
      </c>
      <c r="AC30" s="42">
        <v>162.59594566906279</v>
      </c>
      <c r="AD30" s="42">
        <v>158.21929869494198</v>
      </c>
      <c r="AE30" s="42">
        <v>168.83595426320852</v>
      </c>
      <c r="AF30" s="42">
        <v>164.25976374636457</v>
      </c>
      <c r="AG30" s="42">
        <v>163.84220778481625</v>
      </c>
      <c r="AH30" s="42">
        <v>1972.3713539478999</v>
      </c>
      <c r="AI30" s="42">
        <v>1972.3713538909853</v>
      </c>
      <c r="AJ30" s="42">
        <v>167.12531658897785</v>
      </c>
      <c r="AK30" s="42">
        <v>167.72995742767543</v>
      </c>
      <c r="AL30" s="42">
        <v>168.85819374960872</v>
      </c>
      <c r="AM30" s="42">
        <v>191.1216128536548</v>
      </c>
      <c r="AN30" s="42">
        <v>147.68092953369646</v>
      </c>
      <c r="AO30" s="42">
        <v>163.43294432018033</v>
      </c>
      <c r="AP30" s="42">
        <v>171.55619632216096</v>
      </c>
      <c r="AQ30" s="42">
        <v>163.69543713467766</v>
      </c>
      <c r="AR30" s="42">
        <v>173.16226145554094</v>
      </c>
      <c r="AS30" s="42">
        <v>174.73160653610395</v>
      </c>
      <c r="AT30" s="42">
        <v>182.18784184495252</v>
      </c>
      <c r="AU30" s="42">
        <v>200.35394078576672</v>
      </c>
      <c r="AV30" s="42">
        <v>2071.6362385529965</v>
      </c>
      <c r="AW30" s="42">
        <v>2071.636238552996</v>
      </c>
      <c r="AX30" s="42">
        <f>AX31+AX33</f>
        <v>138.147593</v>
      </c>
      <c r="AY30" s="42">
        <f>AY31+AY33</f>
        <v>174.501464</v>
      </c>
      <c r="AZ30" s="42">
        <f t="shared" ref="AZ30:BG30" si="26">AZ31+AZ33</f>
        <v>173.14458100000002</v>
      </c>
      <c r="BA30" s="42">
        <f t="shared" si="26"/>
        <v>214.85354700000002</v>
      </c>
      <c r="BB30" s="42">
        <f t="shared" si="26"/>
        <v>133.97299599999999</v>
      </c>
      <c r="BC30" s="42">
        <f t="shared" si="26"/>
        <v>175.15297000000001</v>
      </c>
      <c r="BD30" s="42">
        <f t="shared" si="26"/>
        <v>175.59615499</v>
      </c>
      <c r="BE30" s="42">
        <f t="shared" si="26"/>
        <v>167.73906399999998</v>
      </c>
      <c r="BF30" s="42">
        <f t="shared" si="26"/>
        <v>181.2454386</v>
      </c>
      <c r="BG30" s="42">
        <f t="shared" si="26"/>
        <v>176.68386703000004</v>
      </c>
      <c r="BH30" s="42">
        <f>BH31+BH33</f>
        <v>172.16913553000001</v>
      </c>
      <c r="BI30" s="42">
        <f>BI31+BI33</f>
        <v>215.89433858999999</v>
      </c>
      <c r="BJ30" s="45">
        <f t="shared" si="4"/>
        <v>2099.10114974</v>
      </c>
      <c r="BK30" s="45">
        <f>BK31+BK33</f>
        <v>2099.10115</v>
      </c>
      <c r="BL30" s="42">
        <f>BL31+BL33</f>
        <v>145.68959847000002</v>
      </c>
      <c r="BM30" s="42">
        <v>182.32583944999999</v>
      </c>
      <c r="BN30" s="42">
        <v>219.58194950999999</v>
      </c>
      <c r="BO30" s="42">
        <v>183.35068637000001</v>
      </c>
      <c r="BP30" s="42">
        <v>143.43186235000002</v>
      </c>
      <c r="BQ30" s="42">
        <v>200.59774225999999</v>
      </c>
      <c r="BR30" s="42">
        <v>180.07723173000002</v>
      </c>
      <c r="BS30" s="42">
        <v>166.69782939000004</v>
      </c>
      <c r="BT30" s="42">
        <v>199.35414678999996</v>
      </c>
      <c r="BU30" s="42">
        <v>168.78628636000002</v>
      </c>
      <c r="BV30" s="42">
        <v>184.82528027999999</v>
      </c>
      <c r="BW30" s="42">
        <v>204.72881824000004</v>
      </c>
      <c r="BX30" s="45">
        <f t="shared" si="5"/>
        <v>2179.4472712000002</v>
      </c>
      <c r="BY30" s="45">
        <f>BY31+BY33</f>
        <v>2179.4472700000001</v>
      </c>
      <c r="BZ30" s="45">
        <v>168.32946773999998</v>
      </c>
      <c r="CA30" s="45">
        <v>191.69839929000005</v>
      </c>
      <c r="CB30" s="45">
        <v>207.97553900999995</v>
      </c>
      <c r="CC30" s="45">
        <v>192.40827740999998</v>
      </c>
      <c r="CD30" s="45">
        <v>187.43228274000001</v>
      </c>
      <c r="CE30" s="45">
        <v>189.20782381999999</v>
      </c>
      <c r="CF30" s="45">
        <v>169.98468525999999</v>
      </c>
      <c r="CG30" s="45">
        <v>205.99433174000001</v>
      </c>
      <c r="CH30" s="45">
        <v>191.35359367000001</v>
      </c>
      <c r="CI30" s="45">
        <v>174.23363716000003</v>
      </c>
      <c r="CJ30" s="45">
        <v>207.90865862999999</v>
      </c>
      <c r="CK30" s="45">
        <v>180.79593928</v>
      </c>
      <c r="CL30" s="45">
        <f t="shared" si="6"/>
        <v>2267.3226357499993</v>
      </c>
      <c r="CM30" s="45">
        <f>CM31+CM33</f>
        <v>2267.3226370000002</v>
      </c>
      <c r="CN30" s="45">
        <v>208.76821662</v>
      </c>
      <c r="CO30" s="45">
        <v>195.26668425000003</v>
      </c>
      <c r="CP30" s="45">
        <v>201.04573417000003</v>
      </c>
      <c r="CQ30" s="45">
        <v>214.99620353999998</v>
      </c>
      <c r="CR30" s="45">
        <v>173.77998680000002</v>
      </c>
      <c r="CS30" s="45">
        <v>195.32819119999999</v>
      </c>
      <c r="CT30" s="45">
        <v>175.53392633999999</v>
      </c>
      <c r="CU30" s="45">
        <v>210.18230791999997</v>
      </c>
      <c r="CV30" s="45">
        <v>182.05822219999999</v>
      </c>
      <c r="CW30" s="45">
        <v>215.22306240000003</v>
      </c>
      <c r="CX30" s="45">
        <v>200.26181927000002</v>
      </c>
      <c r="CY30" s="45">
        <v>191.29657578000001</v>
      </c>
      <c r="CZ30" s="45">
        <f t="shared" si="7"/>
        <v>2363.7409304900002</v>
      </c>
      <c r="DA30" s="45">
        <f>DA31+DA33</f>
        <v>2363.7409299999999</v>
      </c>
      <c r="DB30" s="45">
        <v>215.39805241000002</v>
      </c>
      <c r="DC30" s="45">
        <v>204.89847913999992</v>
      </c>
      <c r="DD30" s="45">
        <v>211.47049419999996</v>
      </c>
      <c r="DE30" s="45">
        <v>221.51478139999983</v>
      </c>
      <c r="DF30" s="45">
        <v>191.87500902999997</v>
      </c>
      <c r="DG30" s="45">
        <v>194.36320627999996</v>
      </c>
      <c r="DH30" s="45">
        <v>217.04852503000001</v>
      </c>
      <c r="DI30" s="45">
        <v>207.78880457</v>
      </c>
      <c r="DJ30" s="45">
        <v>192.79436373999994</v>
      </c>
      <c r="DK30" s="45">
        <v>234.83025069000007</v>
      </c>
      <c r="DL30" s="45">
        <v>219.24364647999994</v>
      </c>
      <c r="DM30" s="69">
        <v>240.30287466999999</v>
      </c>
      <c r="DN30" s="42">
        <f t="shared" si="8"/>
        <v>2551.5284876399996</v>
      </c>
      <c r="DO30" s="45">
        <v>2551.5272930000001</v>
      </c>
      <c r="DP30" s="42">
        <v>204.24961691000001</v>
      </c>
      <c r="DQ30" s="42">
        <v>223.00862932000001</v>
      </c>
      <c r="DR30" s="69">
        <v>210.88326010999998</v>
      </c>
      <c r="DS30" s="42">
        <v>254.81949608999997</v>
      </c>
      <c r="DT30" s="42">
        <v>205.61536555999999</v>
      </c>
      <c r="DU30" s="69">
        <v>205.71267327999993</v>
      </c>
      <c r="DV30" s="42">
        <v>236.29353998000005</v>
      </c>
      <c r="DW30" s="69">
        <v>204.6509714</v>
      </c>
      <c r="DX30" s="42">
        <v>226.92906682</v>
      </c>
      <c r="DY30" s="42">
        <v>254.29717637000007</v>
      </c>
      <c r="DZ30" s="69">
        <v>223.18864772000001</v>
      </c>
      <c r="EA30" s="42">
        <v>273.13371449999994</v>
      </c>
      <c r="EB30" s="42">
        <f t="shared" si="9"/>
        <v>2722.7821580600003</v>
      </c>
      <c r="EC30" s="45">
        <v>2722.7821560000002</v>
      </c>
      <c r="ED30" s="42">
        <v>234.42152964000005</v>
      </c>
      <c r="EE30" s="42">
        <v>226.79955081000003</v>
      </c>
      <c r="EF30" s="69">
        <v>266.02907001</v>
      </c>
      <c r="EG30" s="42">
        <v>265.54656362000003</v>
      </c>
      <c r="EH30" s="69">
        <v>214.99411805999992</v>
      </c>
      <c r="EI30" s="42">
        <v>265.10498495999985</v>
      </c>
      <c r="EJ30" s="42">
        <v>229.96096531000001</v>
      </c>
      <c r="EK30" s="42">
        <v>229.05304183000001</v>
      </c>
      <c r="EL30" s="42">
        <v>264.14466105999992</v>
      </c>
      <c r="EM30" s="42">
        <v>232.26351445999998</v>
      </c>
      <c r="EN30" s="42">
        <v>255.24582455000004</v>
      </c>
      <c r="EO30" s="69">
        <v>278.93434037000014</v>
      </c>
      <c r="EP30" s="42">
        <f t="shared" si="10"/>
        <v>2962.4981646800002</v>
      </c>
      <c r="EQ30" s="42">
        <v>2962.498165</v>
      </c>
      <c r="ER30" s="42">
        <v>243.72067916</v>
      </c>
      <c r="ES30" s="42">
        <v>261.82015695000001</v>
      </c>
      <c r="ET30" s="42">
        <v>301.47537782999996</v>
      </c>
      <c r="EU30" s="42">
        <v>263.71672340999999</v>
      </c>
      <c r="EV30" s="43">
        <v>239.95092700000001</v>
      </c>
      <c r="EW30" s="42">
        <v>274.47603900000001</v>
      </c>
      <c r="EX30" s="69">
        <v>238.25188315</v>
      </c>
      <c r="EY30" s="42">
        <v>270.48447083999997</v>
      </c>
      <c r="EZ30" s="42">
        <v>260.31975500999994</v>
      </c>
      <c r="FA30" s="42">
        <v>247.85707742999998</v>
      </c>
      <c r="FB30" s="42">
        <v>283.13435828000001</v>
      </c>
      <c r="FC30" s="42">
        <v>293.08974645999996</v>
      </c>
      <c r="FD30" s="42">
        <f t="shared" si="11"/>
        <v>3178.2971945199997</v>
      </c>
      <c r="FE30" s="42">
        <v>3178.2971940000002</v>
      </c>
      <c r="FF30" s="42">
        <v>264.21707928000001</v>
      </c>
      <c r="FG30" s="42">
        <v>299.22907056999998</v>
      </c>
      <c r="FH30" s="42">
        <v>309.08447893999994</v>
      </c>
      <c r="FI30" s="42">
        <v>290.39470586000004</v>
      </c>
      <c r="FJ30" s="42">
        <v>272.96644623000003</v>
      </c>
      <c r="FK30" s="42">
        <v>269.02066074000004</v>
      </c>
      <c r="FL30" s="42">
        <v>245.94684778000001</v>
      </c>
      <c r="FM30" s="42">
        <v>297.09426048</v>
      </c>
      <c r="FN30" s="42">
        <v>365.21386217000003</v>
      </c>
      <c r="FO30" s="42">
        <v>295.69451857000001</v>
      </c>
      <c r="FP30" s="42">
        <v>345.15075184</v>
      </c>
      <c r="FQ30" s="42">
        <v>303.03427145999996</v>
      </c>
      <c r="FR30" s="42">
        <f t="shared" si="12"/>
        <v>3557.0469539200003</v>
      </c>
      <c r="FS30" s="42">
        <v>3557.046953</v>
      </c>
      <c r="FT30" s="42">
        <v>363.48137595999998</v>
      </c>
      <c r="FU30" s="42">
        <v>337.02647563000005</v>
      </c>
      <c r="FV30" s="42">
        <v>344.02752065999999</v>
      </c>
      <c r="FW30" s="42">
        <v>346.82035535</v>
      </c>
      <c r="FX30" s="42">
        <v>308.33222178999995</v>
      </c>
      <c r="FY30" s="42">
        <v>325.37143030000004</v>
      </c>
      <c r="FZ30" s="42">
        <v>290.38153414999999</v>
      </c>
      <c r="GA30" s="42">
        <v>350.59908898999998</v>
      </c>
      <c r="GB30" s="42">
        <v>295.23502993</v>
      </c>
      <c r="GC30" s="42">
        <v>328.38458152999999</v>
      </c>
      <c r="GD30" s="42">
        <v>347.05813849000003</v>
      </c>
      <c r="GE30" s="42">
        <v>315.89589620999999</v>
      </c>
      <c r="GF30" s="42">
        <f t="shared" si="13"/>
        <v>3952.61364899</v>
      </c>
      <c r="GG30" s="42">
        <v>3952.6136489999999</v>
      </c>
      <c r="GH30" s="42">
        <v>382.99372645</v>
      </c>
      <c r="GI30" s="42">
        <v>352.55959215000001</v>
      </c>
      <c r="GJ30" s="42">
        <v>324.66521838</v>
      </c>
      <c r="GK30" s="42">
        <v>358.82939363999998</v>
      </c>
      <c r="GL30" s="42">
        <v>346.34146532999995</v>
      </c>
      <c r="GM30" s="42">
        <v>343.16874364999995</v>
      </c>
      <c r="GN30" s="42">
        <v>348.22200631999999</v>
      </c>
      <c r="GO30" s="42">
        <v>345.93751974999998</v>
      </c>
      <c r="GP30" s="42">
        <v>352.73975249</v>
      </c>
      <c r="GQ30" s="42">
        <v>373.49785638999998</v>
      </c>
      <c r="GR30" s="42">
        <v>371.54841710000005</v>
      </c>
      <c r="GS30" s="42">
        <v>374.84964009000004</v>
      </c>
      <c r="GT30" s="42">
        <f t="shared" si="14"/>
        <v>4275.3533317400006</v>
      </c>
      <c r="GU30" s="42">
        <v>4275.3533319999997</v>
      </c>
      <c r="GV30" s="42">
        <v>383.12715510999999</v>
      </c>
      <c r="GW30" s="42">
        <v>379.90896602000009</v>
      </c>
      <c r="GX30" s="42">
        <v>379.39251084999995</v>
      </c>
      <c r="GY30" s="42">
        <v>442.29114537000004</v>
      </c>
      <c r="GZ30" s="42">
        <v>315.71614132000002</v>
      </c>
      <c r="HA30" s="42">
        <v>371.92818507999999</v>
      </c>
      <c r="HB30" s="42">
        <v>379.29275654000003</v>
      </c>
      <c r="HC30" s="42">
        <v>373.07799204999998</v>
      </c>
      <c r="HD30" s="42">
        <v>392.69857501000001</v>
      </c>
      <c r="HE30" s="42">
        <v>402.28139374</v>
      </c>
      <c r="HF30" s="42">
        <v>398.47199820000003</v>
      </c>
      <c r="HG30" s="42">
        <v>458.22671731000003</v>
      </c>
      <c r="HH30" s="42">
        <f t="shared" si="15"/>
        <v>4676.4135366</v>
      </c>
      <c r="HI30" s="42">
        <v>360.87155260999998</v>
      </c>
      <c r="HJ30" s="42">
        <v>412.97251386999994</v>
      </c>
      <c r="HK30" s="42">
        <v>426.94631239</v>
      </c>
      <c r="HL30" s="42">
        <v>469.37637183000004</v>
      </c>
      <c r="HM30" s="42"/>
      <c r="HN30" s="42"/>
      <c r="HO30" s="42"/>
      <c r="HP30" s="42"/>
      <c r="HQ30" s="42"/>
      <c r="HR30" s="42"/>
      <c r="HS30" s="42"/>
      <c r="HT30" s="42"/>
      <c r="HU30" s="300">
        <f t="shared" si="16"/>
        <v>1584.719777</v>
      </c>
      <c r="HV30" s="300">
        <f t="shared" si="17"/>
        <v>1670.166751</v>
      </c>
      <c r="HW30" s="280">
        <f t="shared" si="18"/>
        <v>85.446973999999955</v>
      </c>
      <c r="HX30" s="280">
        <f t="shared" si="19"/>
        <v>5.3919295537383789</v>
      </c>
    </row>
    <row r="31" spans="1:232" s="12" customFormat="1" ht="20.5">
      <c r="A31" s="46" t="s">
        <v>152</v>
      </c>
      <c r="B31" s="13">
        <v>6210</v>
      </c>
      <c r="C31" s="46" t="s">
        <v>153</v>
      </c>
      <c r="D31" s="45">
        <v>1081.1978588624993</v>
      </c>
      <c r="E31" s="42">
        <v>1343.4400344904127</v>
      </c>
      <c r="F31" s="42">
        <v>1521.6183317112593</v>
      </c>
      <c r="G31" s="42">
        <v>1746.2566732687919</v>
      </c>
      <c r="H31" s="42">
        <v>129.7521001587925</v>
      </c>
      <c r="I31" s="42">
        <v>141.03110113203681</v>
      </c>
      <c r="J31" s="42">
        <v>145.24196077426993</v>
      </c>
      <c r="K31" s="42">
        <v>141.58938623001578</v>
      </c>
      <c r="L31" s="42">
        <v>140.57620759130569</v>
      </c>
      <c r="M31" s="42">
        <v>142.93497333538227</v>
      </c>
      <c r="N31" s="42">
        <v>136.31929528004963</v>
      </c>
      <c r="O31" s="42">
        <v>147.2571584680793</v>
      </c>
      <c r="P31" s="42">
        <v>141.22029470520943</v>
      </c>
      <c r="Q31" s="42">
        <v>139.22291136646916</v>
      </c>
      <c r="R31" s="42">
        <v>147.03432820530332</v>
      </c>
      <c r="S31" s="42">
        <v>133.73565460640521</v>
      </c>
      <c r="T31" s="42">
        <v>1685.9153718533189</v>
      </c>
      <c r="U31" s="42">
        <v>1685.9153704304472</v>
      </c>
      <c r="V31" s="42">
        <v>150.35472051951896</v>
      </c>
      <c r="W31" s="42">
        <v>143.19143865145901</v>
      </c>
      <c r="X31" s="42">
        <v>162.90744788020558</v>
      </c>
      <c r="Y31" s="42">
        <v>154.94225843905272</v>
      </c>
      <c r="Z31" s="42">
        <v>123.4114674930706</v>
      </c>
      <c r="AA31" s="42">
        <v>128.64287340424926</v>
      </c>
      <c r="AB31" s="42">
        <v>146.95243339537055</v>
      </c>
      <c r="AC31" s="42">
        <v>143.26978218678323</v>
      </c>
      <c r="AD31" s="42">
        <v>140.02025742596797</v>
      </c>
      <c r="AE31" s="42">
        <v>147.62144780052475</v>
      </c>
      <c r="AF31" s="42">
        <v>143.67809090443424</v>
      </c>
      <c r="AG31" s="42">
        <v>144.81316270254581</v>
      </c>
      <c r="AH31" s="42">
        <v>1729.8053808031823</v>
      </c>
      <c r="AI31" s="42">
        <v>1729.8053795937417</v>
      </c>
      <c r="AJ31" s="42">
        <v>142.75265650167046</v>
      </c>
      <c r="AK31" s="42">
        <v>143.42503599865682</v>
      </c>
      <c r="AL31" s="42">
        <v>143.61021138183619</v>
      </c>
      <c r="AM31" s="42">
        <v>164.68091530497836</v>
      </c>
      <c r="AN31" s="42">
        <v>123.25016078451461</v>
      </c>
      <c r="AO31" s="42">
        <v>141.80366503320982</v>
      </c>
      <c r="AP31" s="42">
        <v>146.73154962123152</v>
      </c>
      <c r="AQ31" s="42">
        <v>139.9066211916836</v>
      </c>
      <c r="AR31" s="42">
        <v>150.6242622409662</v>
      </c>
      <c r="AS31" s="42">
        <v>149.0748316742648</v>
      </c>
      <c r="AT31" s="42">
        <v>157.39035065252904</v>
      </c>
      <c r="AU31" s="42">
        <v>176.01704315854778</v>
      </c>
      <c r="AV31" s="42">
        <v>1779.2673035440891</v>
      </c>
      <c r="AW31" s="42">
        <v>1779.2673035440889</v>
      </c>
      <c r="AX31" s="42">
        <v>110.81422000000001</v>
      </c>
      <c r="AY31" s="42">
        <v>147.304755</v>
      </c>
      <c r="AZ31" s="42">
        <v>147.45414500000001</v>
      </c>
      <c r="BA31" s="42">
        <v>185.81795500000001</v>
      </c>
      <c r="BB31" s="42">
        <v>106.396125</v>
      </c>
      <c r="BC31" s="42">
        <v>151.30802</v>
      </c>
      <c r="BD31" s="42">
        <v>147.73269132999999</v>
      </c>
      <c r="BE31" s="42">
        <v>143.44932</v>
      </c>
      <c r="BF31" s="42">
        <v>152.99460848999999</v>
      </c>
      <c r="BG31" s="42">
        <v>150.06979751000003</v>
      </c>
      <c r="BH31" s="42">
        <v>146.98171799000002</v>
      </c>
      <c r="BI31" s="42">
        <v>187.1640764</v>
      </c>
      <c r="BJ31" s="45">
        <f t="shared" si="4"/>
        <v>1777.4874317200001</v>
      </c>
      <c r="BK31" s="45">
        <v>1777.4874319999999</v>
      </c>
      <c r="BL31" s="42">
        <v>115.27692766000001</v>
      </c>
      <c r="BM31" s="42">
        <v>149.82888351</v>
      </c>
      <c r="BN31" s="42">
        <v>185.46509634999998</v>
      </c>
      <c r="BO31" s="42">
        <v>150.50231477</v>
      </c>
      <c r="BP31" s="42">
        <v>113.45253103</v>
      </c>
      <c r="BQ31" s="42">
        <v>167.46680622</v>
      </c>
      <c r="BR31" s="42">
        <v>148.66933960000003</v>
      </c>
      <c r="BS31" s="42">
        <v>136.20024747000002</v>
      </c>
      <c r="BT31" s="42">
        <v>165.19321209999995</v>
      </c>
      <c r="BU31" s="42">
        <v>136.36440575</v>
      </c>
      <c r="BV31" s="42">
        <v>153.73530575999999</v>
      </c>
      <c r="BW31" s="42">
        <v>169.89110632000003</v>
      </c>
      <c r="BX31" s="45">
        <f t="shared" si="5"/>
        <v>1792.0461765400003</v>
      </c>
      <c r="BY31" s="45">
        <v>1792.0461760000001</v>
      </c>
      <c r="BZ31" s="45">
        <v>134.23248572999998</v>
      </c>
      <c r="CA31" s="45">
        <v>153.23380665000005</v>
      </c>
      <c r="CB31" s="45">
        <v>166.44079912999996</v>
      </c>
      <c r="CC31" s="45">
        <v>152.13006413999997</v>
      </c>
      <c r="CD31" s="45">
        <v>149.6991845</v>
      </c>
      <c r="CE31" s="45">
        <v>154.87368190000001</v>
      </c>
      <c r="CF31" s="45">
        <v>136.55817303999999</v>
      </c>
      <c r="CG31" s="45">
        <v>165.90840547000002</v>
      </c>
      <c r="CH31" s="45">
        <v>154.54069968000002</v>
      </c>
      <c r="CI31" s="45">
        <v>140.59378990000002</v>
      </c>
      <c r="CJ31" s="45">
        <v>167.69149166</v>
      </c>
      <c r="CK31" s="45">
        <v>143.02309438</v>
      </c>
      <c r="CL31" s="45">
        <f t="shared" si="6"/>
        <v>1818.92567618</v>
      </c>
      <c r="CM31" s="45">
        <v>1818.9256760000001</v>
      </c>
      <c r="CN31" s="45">
        <v>168.02276803000001</v>
      </c>
      <c r="CO31" s="45">
        <v>154.46284059000001</v>
      </c>
      <c r="CP31" s="45">
        <v>158.85107087000003</v>
      </c>
      <c r="CQ31" s="45">
        <v>175.13153231999999</v>
      </c>
      <c r="CR31" s="45">
        <v>134.59795119</v>
      </c>
      <c r="CS31" s="45">
        <v>158.90988067000001</v>
      </c>
      <c r="CT31" s="45">
        <v>141.55194978</v>
      </c>
      <c r="CU31" s="45">
        <v>169.60089209999998</v>
      </c>
      <c r="CV31" s="45">
        <v>144.262327</v>
      </c>
      <c r="CW31" s="45">
        <v>176.21355947000004</v>
      </c>
      <c r="CX31" s="45">
        <v>161.78147434000002</v>
      </c>
      <c r="CY31" s="45">
        <v>152.56259790000001</v>
      </c>
      <c r="CZ31" s="45">
        <f t="shared" si="7"/>
        <v>1895.94884426</v>
      </c>
      <c r="DA31" s="45">
        <v>1895.9488449999999</v>
      </c>
      <c r="DB31" s="45">
        <v>173.97030234000002</v>
      </c>
      <c r="DC31" s="45">
        <v>163.01363396999997</v>
      </c>
      <c r="DD31" s="45">
        <v>168.23963104999999</v>
      </c>
      <c r="DE31" s="45">
        <v>176.73753145999999</v>
      </c>
      <c r="DF31" s="45">
        <v>147.59003074999995</v>
      </c>
      <c r="DG31" s="45">
        <v>154.94450214999998</v>
      </c>
      <c r="DH31" s="45">
        <v>176.80855879999999</v>
      </c>
      <c r="DI31" s="45">
        <v>165.95529914000002</v>
      </c>
      <c r="DJ31" s="45">
        <v>154.09557443</v>
      </c>
      <c r="DK31" s="45">
        <v>191.38156098000002</v>
      </c>
      <c r="DL31" s="45">
        <v>175.87923344999999</v>
      </c>
      <c r="DM31" s="69">
        <v>199.29676264000003</v>
      </c>
      <c r="DN31" s="42">
        <f t="shared" si="8"/>
        <v>2047.9126211599996</v>
      </c>
      <c r="DO31" s="45">
        <v>2047.911844</v>
      </c>
      <c r="DP31" s="42">
        <v>154.92412659999999</v>
      </c>
      <c r="DQ31" s="42">
        <v>175.16727252999999</v>
      </c>
      <c r="DR31" s="69">
        <v>162.99934705999999</v>
      </c>
      <c r="DS31" s="42">
        <v>205.37990956000002</v>
      </c>
      <c r="DT31" s="42">
        <v>158.85431005999993</v>
      </c>
      <c r="DU31" s="69">
        <v>163.23714601</v>
      </c>
      <c r="DV31" s="42">
        <v>189.58214766</v>
      </c>
      <c r="DW31" s="69">
        <v>159.41330074000001</v>
      </c>
      <c r="DX31" s="42">
        <v>180.93462844000001</v>
      </c>
      <c r="DY31" s="42">
        <v>204.49081439</v>
      </c>
      <c r="DZ31" s="69">
        <v>173.81491448</v>
      </c>
      <c r="EA31" s="42">
        <v>224.24386095</v>
      </c>
      <c r="EB31" s="42">
        <f t="shared" si="9"/>
        <v>2153.0417784800002</v>
      </c>
      <c r="EC31" s="45">
        <v>2153.0417779999998</v>
      </c>
      <c r="ED31" s="42">
        <v>175.25658340000001</v>
      </c>
      <c r="EE31" s="42">
        <v>173.74986817000001</v>
      </c>
      <c r="EF31" s="69">
        <v>209.53632776000003</v>
      </c>
      <c r="EG31" s="42">
        <v>205.69080049000002</v>
      </c>
      <c r="EH31" s="69">
        <v>155.81453023999998</v>
      </c>
      <c r="EI31" s="42">
        <v>208.60359554999997</v>
      </c>
      <c r="EJ31" s="42">
        <v>188.91385179999997</v>
      </c>
      <c r="EK31" s="42">
        <v>175.51319104000001</v>
      </c>
      <c r="EL31" s="42">
        <v>208.43774381999998</v>
      </c>
      <c r="EM31" s="42">
        <v>181.62301777000002</v>
      </c>
      <c r="EN31" s="42">
        <v>200.84818525</v>
      </c>
      <c r="EO31" s="69">
        <v>220.05129278000001</v>
      </c>
      <c r="EP31" s="42">
        <f t="shared" si="10"/>
        <v>2304.03898807</v>
      </c>
      <c r="EQ31" s="42">
        <v>2304.0389890000001</v>
      </c>
      <c r="ER31" s="42">
        <v>177.88908873000003</v>
      </c>
      <c r="ES31" s="42">
        <v>197.83007038999997</v>
      </c>
      <c r="ET31" s="42">
        <v>233.54161542999998</v>
      </c>
      <c r="EU31" s="42">
        <v>200.35685102000002</v>
      </c>
      <c r="EV31" s="43">
        <v>184.69386925999999</v>
      </c>
      <c r="EW31" s="42">
        <v>220.04069899999999</v>
      </c>
      <c r="EX31" s="69">
        <v>184.80770899999999</v>
      </c>
      <c r="EY31" s="42">
        <v>219.26049128</v>
      </c>
      <c r="EZ31" s="42">
        <v>207.04907014</v>
      </c>
      <c r="FA31" s="42">
        <v>193.84728588999999</v>
      </c>
      <c r="FB31" s="42">
        <v>220.56926184</v>
      </c>
      <c r="FC31" s="42">
        <v>223.16923401</v>
      </c>
      <c r="FD31" s="42">
        <f t="shared" si="11"/>
        <v>2463.0552459899995</v>
      </c>
      <c r="FE31" s="42">
        <v>2463.0552469999998</v>
      </c>
      <c r="FF31" s="42">
        <v>194.46830393000002</v>
      </c>
      <c r="FG31" s="42">
        <v>230.0450984</v>
      </c>
      <c r="FH31" s="42">
        <v>227.41530482999997</v>
      </c>
      <c r="FI31" s="42">
        <v>205.07575667</v>
      </c>
      <c r="FJ31" s="42">
        <v>200.63434287000001</v>
      </c>
      <c r="FK31" s="42">
        <v>212.54333395000003</v>
      </c>
      <c r="FL31" s="42">
        <v>191.93401343000002</v>
      </c>
      <c r="FM31" s="42">
        <v>237.29794014000001</v>
      </c>
      <c r="FN31" s="42">
        <v>301.7178442</v>
      </c>
      <c r="FO31" s="42">
        <v>233.93971599999998</v>
      </c>
      <c r="FP31" s="42">
        <v>280.12418886</v>
      </c>
      <c r="FQ31" s="42">
        <v>238.74105175999998</v>
      </c>
      <c r="FR31" s="42">
        <f t="shared" si="12"/>
        <v>2753.9368950400003</v>
      </c>
      <c r="FS31" s="42">
        <v>2753.9368949999998</v>
      </c>
      <c r="FT31" s="42">
        <v>289.03291491000004</v>
      </c>
      <c r="FU31" s="42">
        <v>265.34894378000001</v>
      </c>
      <c r="FV31" s="42">
        <v>273.37161587999998</v>
      </c>
      <c r="FW31" s="42">
        <v>279.23627937000003</v>
      </c>
      <c r="FX31" s="42">
        <v>243.42897143999997</v>
      </c>
      <c r="FY31" s="42">
        <v>261.71233687</v>
      </c>
      <c r="FZ31" s="42">
        <v>229.06252569</v>
      </c>
      <c r="GA31" s="42">
        <v>283.32326159000002</v>
      </c>
      <c r="GB31" s="42">
        <v>230.20382587999998</v>
      </c>
      <c r="GC31" s="42">
        <v>258.85630423999999</v>
      </c>
      <c r="GD31" s="42">
        <v>275.37586741999996</v>
      </c>
      <c r="GE31" s="42">
        <v>248.89348513000002</v>
      </c>
      <c r="GF31" s="42">
        <f t="shared" si="13"/>
        <v>3137.8463321999998</v>
      </c>
      <c r="GG31" s="42">
        <v>3137.846333</v>
      </c>
      <c r="GH31" s="42">
        <v>300.82893518000003</v>
      </c>
      <c r="GI31" s="42">
        <v>274.85864641000001</v>
      </c>
      <c r="GJ31" s="42">
        <v>249.71344275000001</v>
      </c>
      <c r="GK31" s="42">
        <v>278.19002454999998</v>
      </c>
      <c r="GL31" s="42">
        <v>270.95329963</v>
      </c>
      <c r="GM31" s="42">
        <v>275.04582698999997</v>
      </c>
      <c r="GN31" s="42">
        <v>276.75094086000001</v>
      </c>
      <c r="GO31" s="42">
        <v>274.66356479000001</v>
      </c>
      <c r="GP31" s="42">
        <v>281.03529975999999</v>
      </c>
      <c r="GQ31" s="42">
        <v>297.70589036999996</v>
      </c>
      <c r="GR31" s="42">
        <v>297.61809615000004</v>
      </c>
      <c r="GS31" s="42">
        <v>307.15241294000003</v>
      </c>
      <c r="GT31" s="42">
        <f t="shared" si="14"/>
        <v>3384.5163803799992</v>
      </c>
      <c r="GU31" s="42">
        <v>3384.51638</v>
      </c>
      <c r="GV31" s="42">
        <v>295.74762931999999</v>
      </c>
      <c r="GW31" s="42">
        <v>302.36792387000008</v>
      </c>
      <c r="GX31" s="42">
        <v>296.82264656999996</v>
      </c>
      <c r="GY31" s="42">
        <v>360.78455602000003</v>
      </c>
      <c r="GZ31" s="42">
        <v>237.13292429000001</v>
      </c>
      <c r="HA31" s="42">
        <v>300.65621477000002</v>
      </c>
      <c r="HB31" s="42">
        <v>300.49554506000004</v>
      </c>
      <c r="HC31" s="42">
        <v>300.74139055000001</v>
      </c>
      <c r="HD31" s="42">
        <v>316.05471768000001</v>
      </c>
      <c r="HE31" s="42">
        <v>323.38674037999999</v>
      </c>
      <c r="HF31" s="42">
        <v>324.65932742000001</v>
      </c>
      <c r="HG31" s="42">
        <v>383.64484535000003</v>
      </c>
      <c r="HH31" s="42">
        <f t="shared" si="15"/>
        <v>3742.4944612800005</v>
      </c>
      <c r="HI31" s="42">
        <v>269.38432602999995</v>
      </c>
      <c r="HJ31" s="42">
        <v>330.52469004</v>
      </c>
      <c r="HK31" s="42">
        <v>337.99445229999998</v>
      </c>
      <c r="HL31" s="42">
        <v>380.21201348</v>
      </c>
      <c r="HM31" s="42"/>
      <c r="HN31" s="42"/>
      <c r="HO31" s="42"/>
      <c r="HP31" s="42"/>
      <c r="HQ31" s="42"/>
      <c r="HR31" s="42"/>
      <c r="HS31" s="42"/>
      <c r="HT31" s="42"/>
      <c r="HU31" s="300">
        <f t="shared" si="16"/>
        <v>1255.7227559999999</v>
      </c>
      <c r="HV31" s="300">
        <f t="shared" si="17"/>
        <v>1318.1154819999999</v>
      </c>
      <c r="HW31" s="280">
        <f t="shared" si="18"/>
        <v>62.392726000000039</v>
      </c>
      <c r="HX31" s="280">
        <f t="shared" si="19"/>
        <v>4.968670488918022</v>
      </c>
    </row>
    <row r="32" spans="1:232" s="12" customFormat="1" ht="20.5">
      <c r="A32" s="47" t="s">
        <v>226</v>
      </c>
      <c r="B32" s="13"/>
      <c r="C32" s="47" t="s">
        <v>227</v>
      </c>
      <c r="D32" s="45"/>
      <c r="E32" s="42"/>
      <c r="F32" s="42"/>
      <c r="G32" s="42"/>
      <c r="H32" s="42">
        <v>113.43440933744999</v>
      </c>
      <c r="I32" s="42">
        <v>124.1626681123</v>
      </c>
      <c r="J32" s="42">
        <v>128.22038057551998</v>
      </c>
      <c r="K32" s="42">
        <v>124.85256190915</v>
      </c>
      <c r="L32" s="42">
        <v>124.00642706927999</v>
      </c>
      <c r="M32" s="42">
        <v>126.16747435985</v>
      </c>
      <c r="N32" s="42">
        <v>120.31041148029999</v>
      </c>
      <c r="O32" s="42">
        <v>130.50043312218</v>
      </c>
      <c r="P32" s="42">
        <v>125.87465114029001</v>
      </c>
      <c r="Q32" s="42">
        <v>122.28589487254</v>
      </c>
      <c r="R32" s="42">
        <v>130.08653264636999</v>
      </c>
      <c r="S32" s="42">
        <v>117.81176356424001</v>
      </c>
      <c r="T32" s="42">
        <v>1487.7136081894698</v>
      </c>
      <c r="U32" s="42">
        <v>1487.7136081894698</v>
      </c>
      <c r="V32" s="42">
        <v>133.59051041257999</v>
      </c>
      <c r="W32" s="42">
        <v>126.8461032948</v>
      </c>
      <c r="X32" s="42">
        <v>144.55045460754002</v>
      </c>
      <c r="Y32" s="42">
        <v>137.21049359423</v>
      </c>
      <c r="Z32" s="42">
        <v>109.17414004474</v>
      </c>
      <c r="AA32" s="42">
        <v>114.7571077427</v>
      </c>
      <c r="AB32" s="42">
        <v>130.6874720548</v>
      </c>
      <c r="AC32" s="42">
        <v>127.49540651448</v>
      </c>
      <c r="AD32" s="42">
        <v>125.17260998799</v>
      </c>
      <c r="AE32" s="42">
        <v>130.84153159344999</v>
      </c>
      <c r="AF32" s="42">
        <v>127.65891912965999</v>
      </c>
      <c r="AG32" s="42">
        <v>128.74413719899999</v>
      </c>
      <c r="AH32" s="42">
        <v>1536.7288861759698</v>
      </c>
      <c r="AI32" s="42">
        <v>1536.7288861759698</v>
      </c>
      <c r="AJ32" s="42">
        <v>127.18763801999999</v>
      </c>
      <c r="AK32" s="42">
        <v>127.62488820999999</v>
      </c>
      <c r="AL32" s="42">
        <v>128.12549662999999</v>
      </c>
      <c r="AM32" s="42">
        <v>146.46085381</v>
      </c>
      <c r="AN32" s="42">
        <v>109.7331963</v>
      </c>
      <c r="AO32" s="42">
        <v>126.36547151000001</v>
      </c>
      <c r="AP32" s="42">
        <v>130.90169990000001</v>
      </c>
      <c r="AQ32" s="42">
        <v>124.7442403</v>
      </c>
      <c r="AR32" s="42">
        <v>135.09838640999999</v>
      </c>
      <c r="AS32" s="42">
        <v>132.47263977</v>
      </c>
      <c r="AT32" s="42">
        <v>140.77704650000001</v>
      </c>
      <c r="AU32" s="42">
        <v>156.45319215000001</v>
      </c>
      <c r="AV32" s="42">
        <v>1585.9447495100003</v>
      </c>
      <c r="AW32" s="42">
        <v>1585.9447500000001</v>
      </c>
      <c r="AX32" s="42">
        <v>98.864629090000008</v>
      </c>
      <c r="AY32" s="42">
        <v>131.09029021999999</v>
      </c>
      <c r="AZ32" s="42">
        <v>131.59673391999999</v>
      </c>
      <c r="BA32" s="42">
        <v>165.7899831</v>
      </c>
      <c r="BB32" s="42">
        <v>94.374160970000005</v>
      </c>
      <c r="BC32" s="42">
        <v>135.21261716000001</v>
      </c>
      <c r="BD32" s="42">
        <v>131.88953129000001</v>
      </c>
      <c r="BE32" s="42">
        <v>127.98104226999999</v>
      </c>
      <c r="BF32" s="42">
        <v>137.35510209999998</v>
      </c>
      <c r="BG32" s="42">
        <v>133.73243776000001</v>
      </c>
      <c r="BH32" s="42">
        <v>131.06903858000001</v>
      </c>
      <c r="BI32" s="42">
        <v>167.50909153999999</v>
      </c>
      <c r="BJ32" s="45">
        <v>1586.4646580000003</v>
      </c>
      <c r="BK32" s="45">
        <v>1586.4646580000001</v>
      </c>
      <c r="BL32" s="42">
        <v>102.90374704000001</v>
      </c>
      <c r="BM32" s="42">
        <v>133.66113966</v>
      </c>
      <c r="BN32" s="42">
        <v>165.79593905999999</v>
      </c>
      <c r="BO32" s="42">
        <v>134.40145046000001</v>
      </c>
      <c r="BP32" s="42">
        <v>100.98501420000001</v>
      </c>
      <c r="BQ32" s="42">
        <v>149.64748409000001</v>
      </c>
      <c r="BR32" s="42">
        <v>132.88033643</v>
      </c>
      <c r="BS32" s="42">
        <v>121.99113051</v>
      </c>
      <c r="BT32" s="42">
        <v>147.94945994999998</v>
      </c>
      <c r="BU32" s="42">
        <v>121.93963544</v>
      </c>
      <c r="BV32" s="42">
        <v>137.36520365999999</v>
      </c>
      <c r="BW32" s="42">
        <v>152.07643524000002</v>
      </c>
      <c r="BX32" s="45">
        <v>1601.5969757399998</v>
      </c>
      <c r="BY32" s="45">
        <v>1601.596976</v>
      </c>
      <c r="BZ32" s="45">
        <v>120.12673836</v>
      </c>
      <c r="CA32" s="45">
        <v>136.91905418000002</v>
      </c>
      <c r="CB32" s="45">
        <v>148.65137308000001</v>
      </c>
      <c r="CC32" s="45">
        <v>135.94681044999999</v>
      </c>
      <c r="CD32" s="45">
        <v>133.60710965999999</v>
      </c>
      <c r="CE32" s="45">
        <v>138.85093356000002</v>
      </c>
      <c r="CF32" s="45">
        <v>122.42124384</v>
      </c>
      <c r="CG32" s="45">
        <v>148.55021158000002</v>
      </c>
      <c r="CH32" s="45">
        <v>138.79086973</v>
      </c>
      <c r="CI32" s="45">
        <v>125.84184560999999</v>
      </c>
      <c r="CJ32" s="45">
        <v>149.43335263999998</v>
      </c>
      <c r="CK32" s="45">
        <v>128.40220478999998</v>
      </c>
      <c r="CL32" s="45">
        <v>1627.5417474800001</v>
      </c>
      <c r="CM32" s="45">
        <v>1627.5417480000001</v>
      </c>
      <c r="CN32" s="45">
        <v>150.1393463</v>
      </c>
      <c r="CO32" s="45">
        <v>138.18131209000001</v>
      </c>
      <c r="CP32" s="45">
        <v>142.62109855</v>
      </c>
      <c r="CQ32" s="45">
        <v>157.15035097999998</v>
      </c>
      <c r="CR32" s="45">
        <v>120.00373668</v>
      </c>
      <c r="CS32" s="45">
        <v>142.6690433</v>
      </c>
      <c r="CT32" s="45">
        <v>126.98314736</v>
      </c>
      <c r="CU32" s="45">
        <v>150.46685872999998</v>
      </c>
      <c r="CV32" s="45">
        <v>129.94323163999999</v>
      </c>
      <c r="CW32" s="45">
        <v>157.02255058</v>
      </c>
      <c r="CX32" s="45">
        <v>144.58824605999999</v>
      </c>
      <c r="CY32" s="45">
        <v>137.09811134999998</v>
      </c>
      <c r="CZ32" s="45">
        <v>1696.8670336199998</v>
      </c>
      <c r="DA32" s="45">
        <v>1696.8670340000001</v>
      </c>
      <c r="DB32" s="45">
        <v>155.53859071000002</v>
      </c>
      <c r="DC32" s="45">
        <v>145.85924227000001</v>
      </c>
      <c r="DD32" s="45">
        <v>151.11071038</v>
      </c>
      <c r="DE32" s="45">
        <v>158.39091347999999</v>
      </c>
      <c r="DF32" s="45">
        <v>131.69266926999998</v>
      </c>
      <c r="DG32" s="45">
        <v>139.40805466999998</v>
      </c>
      <c r="DH32" s="45">
        <v>158.67186728999999</v>
      </c>
      <c r="DI32" s="45">
        <v>149.19484336000002</v>
      </c>
      <c r="DJ32" s="45">
        <v>139.17013890999999</v>
      </c>
      <c r="DK32" s="45">
        <v>171.41741580999999</v>
      </c>
      <c r="DL32" s="45">
        <v>157.98711673</v>
      </c>
      <c r="DM32" s="69">
        <v>179.97404146</v>
      </c>
      <c r="DN32" s="42">
        <f t="shared" si="8"/>
        <v>1838.4156043400001</v>
      </c>
      <c r="DO32" s="45">
        <v>1838.4150079999999</v>
      </c>
      <c r="DP32" s="42">
        <v>139.00121578</v>
      </c>
      <c r="DQ32" s="42">
        <v>157.42146094999998</v>
      </c>
      <c r="DR32" s="69">
        <v>146.95883975000001</v>
      </c>
      <c r="DS32" s="42">
        <v>184.76775193</v>
      </c>
      <c r="DT32" s="42">
        <v>142.31784622000001</v>
      </c>
      <c r="DU32" s="69">
        <v>147.24627562000001</v>
      </c>
      <c r="DV32" s="42">
        <v>170.56700985000001</v>
      </c>
      <c r="DW32" s="69">
        <v>143.70101552</v>
      </c>
      <c r="DX32" s="42">
        <v>163.87071603000001</v>
      </c>
      <c r="DY32" s="42">
        <v>183.5</v>
      </c>
      <c r="DZ32" s="69">
        <v>156.84802273</v>
      </c>
      <c r="EA32" s="42">
        <v>203.59802841999999</v>
      </c>
      <c r="EB32" s="42">
        <f t="shared" si="9"/>
        <v>1939.7981827999999</v>
      </c>
      <c r="EC32" s="45">
        <v>1939.8050470000001</v>
      </c>
      <c r="ED32" s="42">
        <v>157.02656937</v>
      </c>
      <c r="EE32" s="42">
        <v>156.69855325999998</v>
      </c>
      <c r="EF32" s="69">
        <v>188.99099608</v>
      </c>
      <c r="EG32" s="42">
        <v>185.63950912000001</v>
      </c>
      <c r="EH32" s="69">
        <v>139.85963816</v>
      </c>
      <c r="EI32" s="42">
        <v>188.32799132</v>
      </c>
      <c r="EJ32" s="42">
        <v>170.48585534</v>
      </c>
      <c r="EK32" s="42">
        <v>158.57332428999999</v>
      </c>
      <c r="EL32" s="42">
        <v>188.40404038999998</v>
      </c>
      <c r="EM32" s="42">
        <v>163.84260877</v>
      </c>
      <c r="EN32" s="42">
        <v>181.50133606999998</v>
      </c>
      <c r="EO32" s="69">
        <v>199.20196562999999</v>
      </c>
      <c r="EP32" s="42">
        <f t="shared" si="10"/>
        <v>2078.5523877999999</v>
      </c>
      <c r="EQ32" s="42">
        <v>2078.5523880000001</v>
      </c>
      <c r="ER32" s="42">
        <v>160.68116968000001</v>
      </c>
      <c r="ES32" s="42">
        <v>178.47648748</v>
      </c>
      <c r="ET32" s="42">
        <v>211.28476875999999</v>
      </c>
      <c r="EU32" s="42">
        <v>179.79184952</v>
      </c>
      <c r="EV32" s="43">
        <v>156.26805295</v>
      </c>
      <c r="EW32" s="42">
        <v>196.52175771</v>
      </c>
      <c r="EX32" s="69">
        <v>165.02547013</v>
      </c>
      <c r="EY32" s="42">
        <v>196.0399175</v>
      </c>
      <c r="EZ32" s="42">
        <v>185.09764312999999</v>
      </c>
      <c r="FA32" s="42">
        <v>173.1343555</v>
      </c>
      <c r="FB32" s="42">
        <v>196.26812390000001</v>
      </c>
      <c r="FC32" s="42">
        <v>200.22983141</v>
      </c>
      <c r="FD32" s="42">
        <f t="shared" si="11"/>
        <v>2198.8194276700001</v>
      </c>
      <c r="FE32" s="42">
        <v>2198.8194279999998</v>
      </c>
      <c r="FF32" s="42">
        <v>173.76861378000001</v>
      </c>
      <c r="FG32" s="42">
        <v>207.20781122</v>
      </c>
      <c r="FH32" s="42">
        <v>202.81681669999998</v>
      </c>
      <c r="FI32" s="42">
        <v>182.22587084</v>
      </c>
      <c r="FJ32" s="42">
        <v>177.64949607</v>
      </c>
      <c r="FK32" s="42">
        <v>189.82104833000002</v>
      </c>
      <c r="FL32" s="42">
        <v>171.70821309000002</v>
      </c>
      <c r="FM32" s="42">
        <v>212.12048059</v>
      </c>
      <c r="FN32" s="42">
        <v>270.08679645000001</v>
      </c>
      <c r="FO32" s="42">
        <v>209.33813834999998</v>
      </c>
      <c r="FP32" s="42">
        <v>249.94192999000001</v>
      </c>
      <c r="FQ32" s="42">
        <v>214.10795969999998</v>
      </c>
      <c r="FR32" s="42">
        <f t="shared" si="12"/>
        <v>2460.7931751099995</v>
      </c>
      <c r="FS32" s="42">
        <v>2460.7929989999998</v>
      </c>
      <c r="FT32" s="42">
        <v>258.88722352000002</v>
      </c>
      <c r="FU32" s="42">
        <v>237.78574227000001</v>
      </c>
      <c r="FV32" s="42">
        <v>245.58235597999999</v>
      </c>
      <c r="FW32" s="42">
        <v>250.54066486000002</v>
      </c>
      <c r="FX32" s="42">
        <v>217.21991716999997</v>
      </c>
      <c r="FY32" s="42">
        <v>234.23952152000001</v>
      </c>
      <c r="FZ32" s="42">
        <v>205.29287653</v>
      </c>
      <c r="GA32" s="42">
        <v>252.86668750000001</v>
      </c>
      <c r="GB32" s="42">
        <v>206.13270494999998</v>
      </c>
      <c r="GC32" s="42">
        <v>226.0584202</v>
      </c>
      <c r="GD32" s="42">
        <v>246.14488524999999</v>
      </c>
      <c r="GE32" s="42">
        <v>223.90084946000002</v>
      </c>
      <c r="GF32" s="42">
        <f t="shared" si="13"/>
        <v>2804.6518492099995</v>
      </c>
      <c r="GG32" s="42">
        <v>2804.6518489999999</v>
      </c>
      <c r="GH32" s="42">
        <v>268.07194942000001</v>
      </c>
      <c r="GI32" s="42">
        <v>245.51759792999999</v>
      </c>
      <c r="GJ32" s="42">
        <v>224.52599050000001</v>
      </c>
      <c r="GK32" s="42">
        <v>248.31886040999998</v>
      </c>
      <c r="GL32" s="42">
        <v>241.80428655</v>
      </c>
      <c r="GM32" s="42">
        <v>246.27904784999998</v>
      </c>
      <c r="GN32" s="42">
        <v>247.53027846999998</v>
      </c>
      <c r="GO32" s="42">
        <v>246.05543154</v>
      </c>
      <c r="GP32" s="42">
        <v>251.63561996999999</v>
      </c>
      <c r="GQ32" s="42">
        <v>266.78936622999998</v>
      </c>
      <c r="GR32" s="42">
        <v>266.81286886000004</v>
      </c>
      <c r="GS32" s="42">
        <v>275.92458305000002</v>
      </c>
      <c r="GT32" s="42">
        <f t="shared" si="14"/>
        <v>3029.2658807799999</v>
      </c>
      <c r="GU32" s="42">
        <v>3029.2658809999998</v>
      </c>
      <c r="GV32" s="42">
        <v>265.15334733999998</v>
      </c>
      <c r="GW32" s="42">
        <v>270.81430570000009</v>
      </c>
      <c r="GX32" s="42">
        <v>265.86426266999996</v>
      </c>
      <c r="GY32" s="42">
        <v>322.91343522000005</v>
      </c>
      <c r="GZ32" s="42">
        <v>212.61933537000002</v>
      </c>
      <c r="HA32" s="42">
        <v>269.6425691</v>
      </c>
      <c r="HB32" s="42">
        <v>269.79737679000004</v>
      </c>
      <c r="HC32" s="42">
        <v>270.58230044999999</v>
      </c>
      <c r="HD32" s="42">
        <v>285.79838286</v>
      </c>
      <c r="HE32" s="42">
        <v>290.02384431999997</v>
      </c>
      <c r="HF32" s="42">
        <v>292.31163244999999</v>
      </c>
      <c r="HG32" s="42">
        <v>345.57077019000002</v>
      </c>
      <c r="HH32" s="42">
        <f t="shared" si="15"/>
        <v>3361.0915624600002</v>
      </c>
      <c r="HI32" s="42">
        <v>242.41519616999997</v>
      </c>
      <c r="HJ32" s="42">
        <v>297.42436645999999</v>
      </c>
      <c r="HK32" s="42">
        <v>304.80718313</v>
      </c>
      <c r="HL32" s="42">
        <v>342.26466091000003</v>
      </c>
      <c r="HM32" s="42"/>
      <c r="HN32" s="42"/>
      <c r="HO32" s="42"/>
      <c r="HP32" s="42"/>
      <c r="HQ32" s="42"/>
      <c r="HR32" s="42"/>
      <c r="HS32" s="42"/>
      <c r="HT32" s="42"/>
      <c r="HU32" s="300">
        <f t="shared" si="16"/>
        <v>1124.745351</v>
      </c>
      <c r="HV32" s="300">
        <f t="shared" si="17"/>
        <v>1186.9114070000001</v>
      </c>
      <c r="HW32" s="280">
        <f t="shared" si="18"/>
        <v>62.166056000000026</v>
      </c>
      <c r="HX32" s="280">
        <f t="shared" si="19"/>
        <v>5.5271227344686196</v>
      </c>
    </row>
    <row r="33" spans="1:232" s="12" customFormat="1" ht="20.5">
      <c r="A33" s="47" t="s">
        <v>154</v>
      </c>
      <c r="B33" s="13"/>
      <c r="C33" s="47" t="s">
        <v>155</v>
      </c>
      <c r="D33" s="45">
        <v>187.31693900433129</v>
      </c>
      <c r="E33" s="42">
        <v>352.97573718988497</v>
      </c>
      <c r="F33" s="42">
        <v>526.68320470572189</v>
      </c>
      <c r="G33" s="42">
        <v>377.72192816204819</v>
      </c>
      <c r="H33" s="42">
        <v>24.682604253817559</v>
      </c>
      <c r="I33" s="42">
        <v>23.570244335547329</v>
      </c>
      <c r="J33" s="42">
        <v>24.150494305667007</v>
      </c>
      <c r="K33" s="42">
        <v>22.429902220249168</v>
      </c>
      <c r="L33" s="42">
        <v>21.996929442632656</v>
      </c>
      <c r="M33" s="42">
        <v>19.302552347453915</v>
      </c>
      <c r="N33" s="42">
        <v>20.458077927843316</v>
      </c>
      <c r="O33" s="42">
        <v>19.533403338626421</v>
      </c>
      <c r="P33" s="42">
        <v>18.759429371489063</v>
      </c>
      <c r="Q33" s="42">
        <v>17.927809175815742</v>
      </c>
      <c r="R33" s="42">
        <v>20.901897257272299</v>
      </c>
      <c r="S33" s="42">
        <v>20.72356304175845</v>
      </c>
      <c r="T33" s="42">
        <v>254.43690701817292</v>
      </c>
      <c r="U33" s="42">
        <v>254.4369055953012</v>
      </c>
      <c r="V33" s="42">
        <v>21.221050250140859</v>
      </c>
      <c r="W33" s="42">
        <v>20.782218356753827</v>
      </c>
      <c r="X33" s="42">
        <v>22.468318336264431</v>
      </c>
      <c r="Y33" s="42">
        <v>21.086446576854993</v>
      </c>
      <c r="Z33" s="42">
        <v>20.402245860865904</v>
      </c>
      <c r="AA33" s="42">
        <v>19.052447054939925</v>
      </c>
      <c r="AB33" s="42">
        <v>19.202817570759418</v>
      </c>
      <c r="AC33" s="42">
        <v>19.326163482279572</v>
      </c>
      <c r="AD33" s="42">
        <v>18.19904126897401</v>
      </c>
      <c r="AE33" s="42">
        <v>21.214506462683779</v>
      </c>
      <c r="AF33" s="42">
        <v>20.581672841930331</v>
      </c>
      <c r="AG33" s="42">
        <v>19.029045082270446</v>
      </c>
      <c r="AH33" s="42">
        <v>242.56597314471747</v>
      </c>
      <c r="AI33" s="42">
        <v>242.56597429724371</v>
      </c>
      <c r="AJ33" s="42">
        <v>24.372660087307402</v>
      </c>
      <c r="AK33" s="42">
        <v>24.304921429018624</v>
      </c>
      <c r="AL33" s="42">
        <v>25.247982367772543</v>
      </c>
      <c r="AM33" s="42">
        <v>26.440697548676443</v>
      </c>
      <c r="AN33" s="42">
        <v>24.430768749181841</v>
      </c>
      <c r="AO33" s="42">
        <v>21.629279286970476</v>
      </c>
      <c r="AP33" s="42">
        <v>24.824646700929417</v>
      </c>
      <c r="AQ33" s="42">
        <v>23.788815942994059</v>
      </c>
      <c r="AR33" s="42">
        <v>22.53799921457475</v>
      </c>
      <c r="AS33" s="42">
        <v>25.656774861839146</v>
      </c>
      <c r="AT33" s="42">
        <v>24.797491192423504</v>
      </c>
      <c r="AU33" s="42">
        <v>24.336897627218963</v>
      </c>
      <c r="AV33" s="42">
        <v>292.36893500890716</v>
      </c>
      <c r="AW33" s="42">
        <v>292.36893500890721</v>
      </c>
      <c r="AX33" s="42">
        <v>27.333373000000002</v>
      </c>
      <c r="AY33" s="42">
        <v>27.196708999999998</v>
      </c>
      <c r="AZ33" s="42">
        <v>25.690435999999998</v>
      </c>
      <c r="BA33" s="42">
        <v>29.035592000000001</v>
      </c>
      <c r="BB33" s="42">
        <v>27.576871000000001</v>
      </c>
      <c r="BC33" s="42">
        <v>23.844950000000001</v>
      </c>
      <c r="BD33" s="42">
        <v>27.863463660000001</v>
      </c>
      <c r="BE33" s="42">
        <v>24.289743999999999</v>
      </c>
      <c r="BF33" s="42">
        <v>28.250830109999995</v>
      </c>
      <c r="BG33" s="42">
        <v>26.614069520000008</v>
      </c>
      <c r="BH33" s="42">
        <v>25.187417539999995</v>
      </c>
      <c r="BI33" s="42">
        <v>28.730262190000001</v>
      </c>
      <c r="BJ33" s="45">
        <f t="shared" si="4"/>
        <v>321.61371802000002</v>
      </c>
      <c r="BK33" s="45">
        <v>321.61371800000001</v>
      </c>
      <c r="BL33" s="42">
        <v>30.412670810000002</v>
      </c>
      <c r="BM33" s="42">
        <v>32.496955939999992</v>
      </c>
      <c r="BN33" s="42">
        <v>34.116853160000005</v>
      </c>
      <c r="BO33" s="42">
        <v>32.8483716</v>
      </c>
      <c r="BP33" s="42">
        <v>29.97933132</v>
      </c>
      <c r="BQ33" s="42">
        <v>33.130936040000002</v>
      </c>
      <c r="BR33" s="42">
        <v>31.40789213</v>
      </c>
      <c r="BS33" s="42">
        <v>30.497581920000002</v>
      </c>
      <c r="BT33" s="42">
        <v>34.160934689999998</v>
      </c>
      <c r="BU33" s="42">
        <v>32.421880610000002</v>
      </c>
      <c r="BV33" s="42">
        <v>31.089974519999991</v>
      </c>
      <c r="BW33" s="42">
        <v>34.837711920000004</v>
      </c>
      <c r="BX33" s="45">
        <f t="shared" si="5"/>
        <v>387.40109466000001</v>
      </c>
      <c r="BY33" s="45">
        <v>387.401094</v>
      </c>
      <c r="BZ33" s="45">
        <v>34.096982009999998</v>
      </c>
      <c r="CA33" s="45">
        <v>38.464592639999992</v>
      </c>
      <c r="CB33" s="45">
        <v>41.534739879999997</v>
      </c>
      <c r="CC33" s="45">
        <v>40.278213270000009</v>
      </c>
      <c r="CD33" s="45">
        <v>37.733098239999997</v>
      </c>
      <c r="CE33" s="45">
        <v>34.334141919999993</v>
      </c>
      <c r="CF33" s="45">
        <v>33.426512219999999</v>
      </c>
      <c r="CG33" s="45">
        <v>40.085926269999995</v>
      </c>
      <c r="CH33" s="45">
        <v>36.812893989999992</v>
      </c>
      <c r="CI33" s="45">
        <v>33.639847260000003</v>
      </c>
      <c r="CJ33" s="45">
        <v>40.217166970000008</v>
      </c>
      <c r="CK33" s="45">
        <v>37.772844899999996</v>
      </c>
      <c r="CL33" s="45">
        <f t="shared" si="6"/>
        <v>448.39695957000004</v>
      </c>
      <c r="CM33" s="45">
        <v>448.39696099999998</v>
      </c>
      <c r="CN33" s="45">
        <v>40.745448590000002</v>
      </c>
      <c r="CO33" s="45">
        <v>40.803843660000013</v>
      </c>
      <c r="CP33" s="45">
        <v>42.194663300000009</v>
      </c>
      <c r="CQ33" s="45">
        <v>39.864671219999991</v>
      </c>
      <c r="CR33" s="45">
        <v>39.18203561</v>
      </c>
      <c r="CS33" s="45">
        <v>36.418310529999992</v>
      </c>
      <c r="CT33" s="45">
        <v>33.981976559999993</v>
      </c>
      <c r="CU33" s="45">
        <v>40.581415820000004</v>
      </c>
      <c r="CV33" s="45">
        <v>37.795895200000004</v>
      </c>
      <c r="CW33" s="45">
        <v>39.009502929999996</v>
      </c>
      <c r="CX33" s="45">
        <v>38.480344930000001</v>
      </c>
      <c r="CY33" s="45">
        <v>38.733977879999991</v>
      </c>
      <c r="CZ33" s="45">
        <f t="shared" si="7"/>
        <v>467.79208623</v>
      </c>
      <c r="DA33" s="45">
        <f>2363.74093-1895.948845</f>
        <v>467.79208500000004</v>
      </c>
      <c r="DB33" s="45">
        <v>41.427750070000009</v>
      </c>
      <c r="DC33" s="45">
        <v>41.884845169999991</v>
      </c>
      <c r="DD33" s="45">
        <v>43.23086314999999</v>
      </c>
      <c r="DE33" s="45">
        <v>44.77724993999999</v>
      </c>
      <c r="DF33" s="45">
        <v>44.284978280000004</v>
      </c>
      <c r="DG33" s="45">
        <v>39.418704130000009</v>
      </c>
      <c r="DH33" s="45">
        <v>40.239966230000007</v>
      </c>
      <c r="DI33" s="45">
        <v>41.833505430000002</v>
      </c>
      <c r="DJ33" s="45">
        <v>38.698789310000009</v>
      </c>
      <c r="DK33" s="45">
        <v>43.448689710000011</v>
      </c>
      <c r="DL33" s="45">
        <v>43.364413030000001</v>
      </c>
      <c r="DM33" s="69">
        <v>41.006112030000004</v>
      </c>
      <c r="DN33" s="42">
        <f t="shared" si="8"/>
        <v>503.61586648000002</v>
      </c>
      <c r="DO33" s="45">
        <f>DO30-DO31</f>
        <v>503.61544900000013</v>
      </c>
      <c r="DP33" s="42">
        <v>49.325490310000021</v>
      </c>
      <c r="DQ33" s="42">
        <v>47.841356789999999</v>
      </c>
      <c r="DR33" s="69">
        <v>47.883913050000004</v>
      </c>
      <c r="DS33" s="42">
        <v>49.439586530000007</v>
      </c>
      <c r="DT33" s="42">
        <v>46.761055499999991</v>
      </c>
      <c r="DU33" s="69">
        <v>42.475527270000001</v>
      </c>
      <c r="DV33" s="42">
        <v>46.711392320000002</v>
      </c>
      <c r="DW33" s="69">
        <v>45.237670659999999</v>
      </c>
      <c r="DX33" s="42">
        <v>45.994438380000005</v>
      </c>
      <c r="DY33" s="42">
        <v>49.806361979999998</v>
      </c>
      <c r="DZ33" s="69">
        <v>49.373733240000007</v>
      </c>
      <c r="EA33" s="42">
        <v>48.889853550000005</v>
      </c>
      <c r="EB33" s="42">
        <f t="shared" si="9"/>
        <v>569.74037958000008</v>
      </c>
      <c r="EC33" s="45">
        <f>EC30-EC31</f>
        <v>569.74037800000042</v>
      </c>
      <c r="ED33" s="42">
        <v>59.164946239999999</v>
      </c>
      <c r="EE33" s="42">
        <v>53.04968264</v>
      </c>
      <c r="EF33" s="69">
        <v>56.492742250000006</v>
      </c>
      <c r="EG33" s="42">
        <v>59.855763129999993</v>
      </c>
      <c r="EH33" s="69">
        <v>59.179587820000002</v>
      </c>
      <c r="EI33" s="42">
        <v>56.501389410000002</v>
      </c>
      <c r="EJ33" s="42">
        <v>41.047113510000003</v>
      </c>
      <c r="EK33" s="42">
        <v>53.539850789999988</v>
      </c>
      <c r="EL33" s="42">
        <v>55.706917240000003</v>
      </c>
      <c r="EM33" s="42">
        <v>50.640496689999985</v>
      </c>
      <c r="EN33" s="42">
        <v>54.397639299999994</v>
      </c>
      <c r="EO33" s="69">
        <v>58.883047590000004</v>
      </c>
      <c r="EP33" s="42">
        <f t="shared" si="10"/>
        <v>658.4591766100001</v>
      </c>
      <c r="EQ33" s="45">
        <f>EQ30-EQ31</f>
        <v>658.45917599999984</v>
      </c>
      <c r="ER33" s="42">
        <v>65.831590430000006</v>
      </c>
      <c r="ES33" s="42">
        <v>63.990086560000002</v>
      </c>
      <c r="ET33" s="69">
        <v>67.933762399999992</v>
      </c>
      <c r="EU33" s="42">
        <v>63.359872389999992</v>
      </c>
      <c r="EV33" s="43">
        <v>55.25705705</v>
      </c>
      <c r="EW33" s="42">
        <v>54.435339959999993</v>
      </c>
      <c r="EX33" s="69">
        <v>53.444174719999999</v>
      </c>
      <c r="EY33" s="42">
        <v>51.223979560000004</v>
      </c>
      <c r="EZ33" s="42">
        <v>53.270684870000004</v>
      </c>
      <c r="FA33" s="42">
        <v>54.009791540000002</v>
      </c>
      <c r="FB33" s="42">
        <v>62.565096439999991</v>
      </c>
      <c r="FC33" s="42">
        <v>69.920512450000004</v>
      </c>
      <c r="FD33" s="42">
        <f t="shared" si="11"/>
        <v>715.24194836999993</v>
      </c>
      <c r="FE33" s="45">
        <f>FE30-FE31</f>
        <v>715.24194700000044</v>
      </c>
      <c r="FF33" s="42">
        <v>69.748775350000003</v>
      </c>
      <c r="FG33" s="42">
        <v>69.18397216999999</v>
      </c>
      <c r="FH33" s="42">
        <v>81.669174109999986</v>
      </c>
      <c r="FI33" s="42">
        <v>85.318949189999998</v>
      </c>
      <c r="FJ33" s="42">
        <v>72.332103360000019</v>
      </c>
      <c r="FK33" s="42">
        <v>56.477326790000014</v>
      </c>
      <c r="FL33" s="42">
        <v>54.012834350000006</v>
      </c>
      <c r="FM33" s="42">
        <v>59.796320340000008</v>
      </c>
      <c r="FN33" s="42">
        <v>63.496017969999997</v>
      </c>
      <c r="FO33" s="42">
        <v>61.754802569999988</v>
      </c>
      <c r="FP33" s="42">
        <v>65.026562980000008</v>
      </c>
      <c r="FQ33" s="42">
        <v>64.293219699999995</v>
      </c>
      <c r="FR33" s="42">
        <f t="shared" si="12"/>
        <v>803.11005888000011</v>
      </c>
      <c r="FS33" s="45">
        <f>FS30-FS31</f>
        <v>803.11005800000021</v>
      </c>
      <c r="FT33" s="42">
        <v>74.448461049999992</v>
      </c>
      <c r="FU33" s="42">
        <v>71.677531850000008</v>
      </c>
      <c r="FV33" s="42">
        <v>70.655904780000014</v>
      </c>
      <c r="FW33" s="42">
        <v>67.584075980000009</v>
      </c>
      <c r="FX33" s="42">
        <v>64.903250350000008</v>
      </c>
      <c r="FY33" s="42">
        <v>63.659093430000006</v>
      </c>
      <c r="FZ33" s="42">
        <v>61.319008460000006</v>
      </c>
      <c r="GA33" s="42">
        <v>67.275827399999997</v>
      </c>
      <c r="GB33" s="42">
        <v>65.031204049999985</v>
      </c>
      <c r="GC33" s="42">
        <v>69.528277290000005</v>
      </c>
      <c r="GD33" s="42">
        <v>71.682271070000013</v>
      </c>
      <c r="GE33" s="42">
        <v>67.002411080000016</v>
      </c>
      <c r="GF33" s="42">
        <f t="shared" si="13"/>
        <v>814.76731679</v>
      </c>
      <c r="GG33" s="45">
        <f>GG30-GG31</f>
        <v>814.76731599999994</v>
      </c>
      <c r="GH33" s="42">
        <v>82.164791270000009</v>
      </c>
      <c r="GI33" s="42">
        <v>77.700945740000009</v>
      </c>
      <c r="GJ33" s="42">
        <v>74.95177563</v>
      </c>
      <c r="GK33" s="42">
        <v>80.639369090000017</v>
      </c>
      <c r="GL33" s="42">
        <v>75.388165699999988</v>
      </c>
      <c r="GM33" s="42">
        <v>68.122916659999987</v>
      </c>
      <c r="GN33" s="42">
        <v>71.471065459999991</v>
      </c>
      <c r="GO33" s="42">
        <v>71.273954959999998</v>
      </c>
      <c r="GP33" s="42">
        <v>71.70445273</v>
      </c>
      <c r="GQ33" s="42">
        <v>75.791966020000004</v>
      </c>
      <c r="GR33" s="42">
        <v>73.930320950000024</v>
      </c>
      <c r="GS33" s="42">
        <v>67.697227150000003</v>
      </c>
      <c r="GT33" s="42">
        <f t="shared" si="14"/>
        <v>890.83695135999994</v>
      </c>
      <c r="GU33" s="45">
        <f>GU30-GU31</f>
        <v>890.83695199999966</v>
      </c>
      <c r="GV33" s="42">
        <v>87.379525789999988</v>
      </c>
      <c r="GW33" s="42">
        <v>77.541042149999981</v>
      </c>
      <c r="GX33" s="42">
        <v>82.56986427999999</v>
      </c>
      <c r="GY33" s="42">
        <v>81.506589349999985</v>
      </c>
      <c r="GZ33" s="42">
        <v>78.583217030000014</v>
      </c>
      <c r="HA33" s="42">
        <v>71.27197031</v>
      </c>
      <c r="HB33" s="42">
        <v>78.797211480000001</v>
      </c>
      <c r="HC33" s="42">
        <v>72.336601499999986</v>
      </c>
      <c r="HD33" s="42">
        <v>76.643857330000003</v>
      </c>
      <c r="HE33" s="42">
        <v>78.894653360000021</v>
      </c>
      <c r="HF33" s="42">
        <v>73.812670779999991</v>
      </c>
      <c r="HG33" s="42">
        <v>74.581871960000001</v>
      </c>
      <c r="HH33" s="42">
        <f t="shared" si="15"/>
        <v>933.91907532000005</v>
      </c>
      <c r="HI33" s="42">
        <v>91.487226580000012</v>
      </c>
      <c r="HJ33" s="42">
        <v>82.44782382999999</v>
      </c>
      <c r="HK33" s="42">
        <v>88.951860089999997</v>
      </c>
      <c r="HL33" s="42">
        <v>89.164358350000001</v>
      </c>
      <c r="HM33" s="42"/>
      <c r="HN33" s="42"/>
      <c r="HO33" s="42"/>
      <c r="HP33" s="42"/>
      <c r="HQ33" s="42"/>
      <c r="HR33" s="42"/>
      <c r="HS33" s="42"/>
      <c r="HT33" s="42"/>
      <c r="HU33" s="300">
        <f t="shared" si="16"/>
        <v>328.99702200000002</v>
      </c>
      <c r="HV33" s="300">
        <f t="shared" si="17"/>
        <v>352.05126899999999</v>
      </c>
      <c r="HW33" s="280">
        <f t="shared" si="18"/>
        <v>23.054246999999975</v>
      </c>
      <c r="HX33" s="280">
        <f t="shared" si="19"/>
        <v>7.0074333378008475</v>
      </c>
    </row>
    <row r="34" spans="1:232" s="12" customFormat="1" ht="20.5">
      <c r="A34" s="47" t="s">
        <v>228</v>
      </c>
      <c r="B34" s="13"/>
      <c r="C34" s="47" t="s">
        <v>229</v>
      </c>
      <c r="D34" s="45"/>
      <c r="E34" s="42"/>
      <c r="F34" s="42"/>
      <c r="G34" s="42"/>
      <c r="H34" s="107">
        <v>5.7828774594299999</v>
      </c>
      <c r="I34" s="107">
        <v>6.1250419747200002</v>
      </c>
      <c r="J34" s="107">
        <v>5.5727968821999996</v>
      </c>
      <c r="K34" s="107">
        <v>5.7990909983400005</v>
      </c>
      <c r="L34" s="107">
        <v>5.1860998514499999</v>
      </c>
      <c r="M34" s="107">
        <v>4.95834663718</v>
      </c>
      <c r="N34" s="107">
        <v>4.8573495597599994</v>
      </c>
      <c r="O34" s="107">
        <v>4.9607974058200002</v>
      </c>
      <c r="P34" s="107">
        <v>4.8803782135600002</v>
      </c>
      <c r="Q34" s="107">
        <v>4.5657402775199998</v>
      </c>
      <c r="R34" s="107">
        <v>4.7338915401700001</v>
      </c>
      <c r="S34" s="107">
        <v>4.8025295957399994</v>
      </c>
      <c r="T34" s="42">
        <v>62.224940395889995</v>
      </c>
      <c r="U34" s="42">
        <v>62.224940395889995</v>
      </c>
      <c r="V34" s="107">
        <v>5.1645686279499996</v>
      </c>
      <c r="W34" s="107">
        <v>5.5605163174900003</v>
      </c>
      <c r="X34" s="107">
        <v>5.2790647463600004</v>
      </c>
      <c r="Y34" s="107">
        <v>5.3821628363</v>
      </c>
      <c r="Z34" s="107">
        <v>4.9091287613599999</v>
      </c>
      <c r="AA34" s="107">
        <v>4.7193138058399997</v>
      </c>
      <c r="AB34" s="107">
        <v>4.54719579001</v>
      </c>
      <c r="AC34" s="107">
        <v>4.6984407174699996</v>
      </c>
      <c r="AD34" s="107">
        <v>4.6415746780000005</v>
      </c>
      <c r="AE34" s="107">
        <v>4.3437642358299993</v>
      </c>
      <c r="AF34" s="107">
        <v>4.4379074677999997</v>
      </c>
      <c r="AG34" s="107">
        <v>4.4484902049500006</v>
      </c>
      <c r="AH34" s="42">
        <v>58.132128189359996</v>
      </c>
      <c r="AI34" s="42">
        <v>58.132128189359996</v>
      </c>
      <c r="AJ34" s="110">
        <v>4.9376885899999996</v>
      </c>
      <c r="AK34" s="110">
        <v>6.07374101</v>
      </c>
      <c r="AL34" s="110">
        <v>5.9920203799999996</v>
      </c>
      <c r="AM34" s="110">
        <v>6.7334297999999997</v>
      </c>
      <c r="AN34" s="110">
        <v>6.2682915499999998</v>
      </c>
      <c r="AO34" s="110">
        <v>6.0842107400000005</v>
      </c>
      <c r="AP34" s="110">
        <v>6.08024729</v>
      </c>
      <c r="AQ34" s="110">
        <v>6.5094517999999999</v>
      </c>
      <c r="AR34" s="110">
        <v>6.4760916799999997</v>
      </c>
      <c r="AS34" s="110">
        <v>6.1475083000000001</v>
      </c>
      <c r="AT34" s="110">
        <v>6.3829539100000003</v>
      </c>
      <c r="AU34" s="110">
        <v>6.5465873200000004</v>
      </c>
      <c r="AV34" s="42">
        <v>74.232222370000002</v>
      </c>
      <c r="AW34" s="42">
        <v>74.232219999999998</v>
      </c>
      <c r="AX34" s="42">
        <v>7.5915491900000003</v>
      </c>
      <c r="AY34" s="42">
        <v>8.1638675700000007</v>
      </c>
      <c r="AZ34" s="42">
        <v>7.6052562000000004</v>
      </c>
      <c r="BA34" s="42">
        <v>8.0129565199999995</v>
      </c>
      <c r="BB34" s="42">
        <v>7.15471419</v>
      </c>
      <c r="BC34" s="42">
        <v>6.8761895199999996</v>
      </c>
      <c r="BD34" s="42">
        <v>6.7100740099999996</v>
      </c>
      <c r="BE34" s="42">
        <v>6.9732854099999999</v>
      </c>
      <c r="BF34" s="42">
        <v>6.8556135400000002</v>
      </c>
      <c r="BG34" s="42">
        <v>6.2732838800000001</v>
      </c>
      <c r="BH34" s="42">
        <v>6.50150469</v>
      </c>
      <c r="BI34" s="42">
        <v>6.5104042800000004</v>
      </c>
      <c r="BJ34" s="45">
        <v>85.228698999999992</v>
      </c>
      <c r="BK34" s="45">
        <v>85.228699000000006</v>
      </c>
      <c r="BL34" s="42">
        <v>7.3169533700000002</v>
      </c>
      <c r="BM34" s="42">
        <v>8.7948347400000007</v>
      </c>
      <c r="BN34" s="42">
        <v>8.5306121400000006</v>
      </c>
      <c r="BO34" s="42">
        <v>9.2639358699999992</v>
      </c>
      <c r="BP34" s="42">
        <v>8.4296459000000006</v>
      </c>
      <c r="BQ34" s="42">
        <v>8.2176195399999994</v>
      </c>
      <c r="BR34" s="42">
        <v>8.26853193</v>
      </c>
      <c r="BS34" s="42">
        <v>8.8765834399999992</v>
      </c>
      <c r="BT34" s="42">
        <v>8.9574581899999988</v>
      </c>
      <c r="BU34" s="42">
        <v>8.356465570000001</v>
      </c>
      <c r="BV34" s="42">
        <v>8.6000607300000009</v>
      </c>
      <c r="BW34" s="42">
        <v>8.4926287499999997</v>
      </c>
      <c r="BX34" s="45">
        <v>102.10533016999999</v>
      </c>
      <c r="BY34" s="45">
        <v>102.10533</v>
      </c>
      <c r="BZ34" s="45">
        <v>9.48323845</v>
      </c>
      <c r="CA34" s="45">
        <v>10.66334275</v>
      </c>
      <c r="CB34" s="45">
        <v>10.363607609999999</v>
      </c>
      <c r="CC34" s="45">
        <v>10.81300909</v>
      </c>
      <c r="CD34" s="45">
        <v>9.7300023099999997</v>
      </c>
      <c r="CE34" s="45">
        <v>9.4149019999999997</v>
      </c>
      <c r="CF34" s="45">
        <v>9.3022496099999987</v>
      </c>
      <c r="CG34" s="45">
        <v>9.7370353100000013</v>
      </c>
      <c r="CH34" s="45">
        <v>9.6061085899999998</v>
      </c>
      <c r="CI34" s="45">
        <v>8.8968637299999997</v>
      </c>
      <c r="CJ34" s="45">
        <v>9.1223244100000009</v>
      </c>
      <c r="CK34" s="45">
        <v>9.0348051500000004</v>
      </c>
      <c r="CL34" s="45">
        <v>116.16748901000001</v>
      </c>
      <c r="CM34" s="45">
        <v>116.167489</v>
      </c>
      <c r="CN34" s="45">
        <v>10.04598354</v>
      </c>
      <c r="CO34" s="45">
        <v>10.99374832</v>
      </c>
      <c r="CP34" s="45">
        <v>9.9578277599999989</v>
      </c>
      <c r="CQ34" s="45">
        <v>10.50486914</v>
      </c>
      <c r="CR34" s="45">
        <v>9.2803530500000004</v>
      </c>
      <c r="CS34" s="45">
        <v>9.0102270299999994</v>
      </c>
      <c r="CT34" s="45">
        <v>8.7978945</v>
      </c>
      <c r="CU34" s="45">
        <v>9.2394441899999986</v>
      </c>
      <c r="CV34" s="45">
        <v>9.1735737499999992</v>
      </c>
      <c r="CW34" s="45">
        <v>8.4910905000000003</v>
      </c>
      <c r="CX34" s="45">
        <v>8.6783294600000005</v>
      </c>
      <c r="CY34" s="45">
        <v>8.6480265100000011</v>
      </c>
      <c r="CZ34" s="45">
        <v>112.82136775000001</v>
      </c>
      <c r="DA34" s="45">
        <v>112.82136800000001</v>
      </c>
      <c r="DB34" s="45">
        <v>9.5324949100000005</v>
      </c>
      <c r="DC34" s="45">
        <v>10.298664449999999</v>
      </c>
      <c r="DD34" s="45">
        <v>9.4784782799999991</v>
      </c>
      <c r="DE34" s="45">
        <v>10.39768836</v>
      </c>
      <c r="DF34" s="45">
        <v>9.5509720700000003</v>
      </c>
      <c r="DG34" s="45">
        <v>9.6973056599999996</v>
      </c>
      <c r="DH34" s="45">
        <v>9.8637309700000007</v>
      </c>
      <c r="DI34" s="45">
        <v>10.62515823</v>
      </c>
      <c r="DJ34" s="45">
        <v>10.621796789999999</v>
      </c>
      <c r="DK34" s="45">
        <v>9.8317819700000015</v>
      </c>
      <c r="DL34" s="45">
        <v>10.09449328</v>
      </c>
      <c r="DM34" s="69">
        <v>9.8950343599999986</v>
      </c>
      <c r="DN34" s="42">
        <f t="shared" si="8"/>
        <v>119.88759932999999</v>
      </c>
      <c r="DO34" s="45">
        <v>119.887271</v>
      </c>
      <c r="DP34" s="42">
        <v>10.81794608</v>
      </c>
      <c r="DQ34" s="42">
        <v>11.605713529999999</v>
      </c>
      <c r="DR34" s="69">
        <v>10.57683263</v>
      </c>
      <c r="DS34" s="42">
        <v>11.385208650000001</v>
      </c>
      <c r="DT34" s="42">
        <v>10.23280141</v>
      </c>
      <c r="DU34" s="69">
        <v>10.3000712</v>
      </c>
      <c r="DV34" s="42">
        <v>10.449559429999999</v>
      </c>
      <c r="DW34" s="69">
        <v>11.339940759999999</v>
      </c>
      <c r="DX34" s="42">
        <v>11.57175818</v>
      </c>
      <c r="DY34" s="42">
        <v>10.9</v>
      </c>
      <c r="DZ34" s="69">
        <v>11.34432466</v>
      </c>
      <c r="EA34" s="42">
        <v>11.42925361</v>
      </c>
      <c r="EB34" s="42">
        <f t="shared" si="9"/>
        <v>131.95341014000002</v>
      </c>
      <c r="EC34" s="45">
        <v>131.93104</v>
      </c>
      <c r="ED34" s="42">
        <v>13.341928380000001</v>
      </c>
      <c r="EE34" s="42">
        <v>14.440764789999999</v>
      </c>
      <c r="EF34" s="42">
        <v>13.186593439999999</v>
      </c>
      <c r="EG34" s="42">
        <v>13.763764929999999</v>
      </c>
      <c r="EH34" s="69">
        <v>16.718550969999999</v>
      </c>
      <c r="EI34" s="42">
        <v>18.44634916</v>
      </c>
      <c r="EJ34" s="42">
        <v>-8.8094030000000004E-2</v>
      </c>
      <c r="EK34" s="42">
        <v>16.531841849999999</v>
      </c>
      <c r="EL34" s="42">
        <v>14.98688177</v>
      </c>
      <c r="EM34" s="42">
        <v>9.7492629199999996</v>
      </c>
      <c r="EN34" s="42">
        <v>12.296379589999999</v>
      </c>
      <c r="EO34" s="69">
        <v>11.809524250000001</v>
      </c>
      <c r="EP34" s="42">
        <f t="shared" si="10"/>
        <v>155.18374802</v>
      </c>
      <c r="EQ34" s="42">
        <v>155.18374800000001</v>
      </c>
      <c r="ER34" s="42">
        <v>12.0361376</v>
      </c>
      <c r="ES34" s="42">
        <v>12.30971916</v>
      </c>
      <c r="ET34" s="69">
        <v>10.797509099999999</v>
      </c>
      <c r="EU34" s="42">
        <v>11.07780612</v>
      </c>
      <c r="EV34" s="43">
        <v>9.5343689999999999</v>
      </c>
      <c r="EW34" s="42">
        <v>9.0667980000000004</v>
      </c>
      <c r="EX34" s="69">
        <v>8.9079582599999991</v>
      </c>
      <c r="EY34" s="42">
        <v>9.50354791</v>
      </c>
      <c r="EZ34" s="42">
        <v>9.2114981300000007</v>
      </c>
      <c r="FA34" s="42">
        <v>8.6488180000000003</v>
      </c>
      <c r="FB34" s="42">
        <v>9.3381910000000001</v>
      </c>
      <c r="FC34" s="42">
        <v>10.46962999</v>
      </c>
      <c r="FD34" s="42">
        <f t="shared" si="11"/>
        <v>120.90198226999999</v>
      </c>
      <c r="FE34" s="42">
        <v>120.904262</v>
      </c>
      <c r="FF34" s="42">
        <v>12.645130999999999</v>
      </c>
      <c r="FG34" s="42">
        <v>13.743677</v>
      </c>
      <c r="FH34" s="42">
        <v>12.303990259999999</v>
      </c>
      <c r="FI34" s="42">
        <v>12.757538</v>
      </c>
      <c r="FJ34" s="42">
        <v>11.713984999999999</v>
      </c>
      <c r="FK34" s="42">
        <v>11.462671140000001</v>
      </c>
      <c r="FL34" s="42">
        <v>11.403242029999999</v>
      </c>
      <c r="FM34" s="42">
        <v>12.07387065</v>
      </c>
      <c r="FN34" s="42">
        <v>11.615440599999999</v>
      </c>
      <c r="FO34" s="42">
        <v>10.686401800000001</v>
      </c>
      <c r="FP34" s="42">
        <v>10.98945762</v>
      </c>
      <c r="FQ34" s="42">
        <v>11.08516146</v>
      </c>
      <c r="FR34" s="42">
        <f t="shared" si="12"/>
        <v>142.48056656</v>
      </c>
      <c r="FS34" s="42">
        <v>142.49576099999999</v>
      </c>
      <c r="FT34" s="42">
        <v>12.59467733</v>
      </c>
      <c r="FU34" s="42">
        <v>13.64251382</v>
      </c>
      <c r="FV34" s="42">
        <v>12.441388470000001</v>
      </c>
      <c r="FW34" s="42">
        <v>13.18144393</v>
      </c>
      <c r="FX34" s="42">
        <v>11.91790993</v>
      </c>
      <c r="FY34" s="42">
        <v>11.91006956</v>
      </c>
      <c r="FZ34" s="42">
        <v>12.41356897</v>
      </c>
      <c r="GA34" s="42">
        <v>13.91062093</v>
      </c>
      <c r="GB34" s="42">
        <v>14.122182460000001</v>
      </c>
      <c r="GC34" s="42">
        <v>13.042207660000001</v>
      </c>
      <c r="GD34" s="42">
        <v>13.49163356</v>
      </c>
      <c r="GE34" s="42">
        <v>13.46636752</v>
      </c>
      <c r="GF34" s="42">
        <f t="shared" si="13"/>
        <v>156.13458414000002</v>
      </c>
      <c r="GG34" s="42">
        <v>156.13458399999999</v>
      </c>
      <c r="GH34" s="42">
        <v>15.19355597</v>
      </c>
      <c r="GI34" s="42">
        <v>16.45097067</v>
      </c>
      <c r="GJ34" s="42">
        <v>15.55645219</v>
      </c>
      <c r="GK34" s="42">
        <v>15.938726279999999</v>
      </c>
      <c r="GL34" s="42">
        <v>14.48562585</v>
      </c>
      <c r="GM34" s="42">
        <v>14.425971669999999</v>
      </c>
      <c r="GN34" s="42">
        <v>14.7519033</v>
      </c>
      <c r="GO34" s="42">
        <v>16.411228489999999</v>
      </c>
      <c r="GP34" s="42">
        <v>16.377593400000002</v>
      </c>
      <c r="GQ34" s="42">
        <v>15.0376876</v>
      </c>
      <c r="GR34" s="42">
        <v>15.46306498</v>
      </c>
      <c r="GS34" s="42">
        <v>15.168233750000001</v>
      </c>
      <c r="GT34" s="42">
        <f t="shared" si="14"/>
        <v>185.26101415000002</v>
      </c>
      <c r="GU34" s="42">
        <v>185.26101399999999</v>
      </c>
      <c r="GV34" s="42">
        <v>16.78422467</v>
      </c>
      <c r="GW34" s="42">
        <v>17.909653389999999</v>
      </c>
      <c r="GX34" s="42">
        <v>15.976585910000001</v>
      </c>
      <c r="GY34" s="42">
        <v>16.774792420000001</v>
      </c>
      <c r="GZ34" s="42">
        <v>14.956272480000001</v>
      </c>
      <c r="HA34" s="42">
        <v>14.766073840000001</v>
      </c>
      <c r="HB34" s="42">
        <v>15.07755637</v>
      </c>
      <c r="HC34" s="42">
        <v>16.24979381</v>
      </c>
      <c r="HD34" s="42">
        <v>16.094042330000001</v>
      </c>
      <c r="HE34" s="42">
        <v>14.705007500000001</v>
      </c>
      <c r="HF34" s="42">
        <v>14.912538039999999</v>
      </c>
      <c r="HG34" s="42">
        <v>14.95304318</v>
      </c>
      <c r="HH34" s="42">
        <f t="shared" si="15"/>
        <v>189.15958393999998</v>
      </c>
      <c r="HI34" s="42">
        <v>16.807660989999999</v>
      </c>
      <c r="HJ34" s="42">
        <v>18.07947927</v>
      </c>
      <c r="HK34" s="42">
        <v>16.546148420000002</v>
      </c>
      <c r="HL34" s="42">
        <v>17.203900100000002</v>
      </c>
      <c r="HM34" s="42"/>
      <c r="HN34" s="42"/>
      <c r="HO34" s="42"/>
      <c r="HP34" s="42"/>
      <c r="HQ34" s="42"/>
      <c r="HR34" s="42"/>
      <c r="HS34" s="42"/>
      <c r="HT34" s="42"/>
      <c r="HU34" s="300">
        <f t="shared" si="16"/>
        <v>67.445256000000001</v>
      </c>
      <c r="HV34" s="300">
        <f t="shared" si="17"/>
        <v>68.637189000000006</v>
      </c>
      <c r="HW34" s="280">
        <f t="shared" si="18"/>
        <v>1.1919330000000059</v>
      </c>
      <c r="HX34" s="280">
        <f t="shared" si="19"/>
        <v>1.7672599537616094</v>
      </c>
    </row>
    <row r="35" spans="1:232" s="12" customFormat="1" ht="20.5">
      <c r="A35" s="47" t="s">
        <v>230</v>
      </c>
      <c r="B35" s="13"/>
      <c r="C35" s="47" t="s">
        <v>231</v>
      </c>
      <c r="D35" s="45"/>
      <c r="E35" s="42"/>
      <c r="F35" s="42"/>
      <c r="G35" s="42"/>
      <c r="H35" s="42">
        <v>7.3809574646699998</v>
      </c>
      <c r="I35" s="42">
        <v>7.13470556514</v>
      </c>
      <c r="J35" s="42">
        <v>8.2008024712500003</v>
      </c>
      <c r="K35" s="42">
        <v>6.796058801600001</v>
      </c>
      <c r="L35" s="42">
        <v>6.8148427584400002</v>
      </c>
      <c r="M35" s="42">
        <v>4.7921184853899996</v>
      </c>
      <c r="N35" s="42">
        <v>5.8437844121600007</v>
      </c>
      <c r="O35" s="42">
        <v>5.0575958161900001</v>
      </c>
      <c r="P35" s="42">
        <v>5.0823010682899996</v>
      </c>
      <c r="Q35" s="42">
        <v>4.9024966562500003</v>
      </c>
      <c r="R35" s="42">
        <v>7.0938785209000006</v>
      </c>
      <c r="S35" s="42">
        <v>6.7339092833800009</v>
      </c>
      <c r="T35" s="42">
        <v>75.833451303659999</v>
      </c>
      <c r="U35" s="42">
        <v>75.833451303659999</v>
      </c>
      <c r="V35" s="42">
        <v>6.63464240386</v>
      </c>
      <c r="W35" s="42">
        <v>6.1801220254800002</v>
      </c>
      <c r="X35" s="42">
        <v>7.8252403515100006</v>
      </c>
      <c r="Y35" s="42">
        <v>6.6004970091299997</v>
      </c>
      <c r="Z35" s="42">
        <v>6.225231913880001</v>
      </c>
      <c r="AA35" s="42">
        <v>5.4744176612600004</v>
      </c>
      <c r="AB35" s="42">
        <v>5.3689071633000003</v>
      </c>
      <c r="AC35" s="42">
        <v>5.1087509462100007</v>
      </c>
      <c r="AD35" s="42">
        <v>4.7025982777599999</v>
      </c>
      <c r="AE35" s="42">
        <v>6.8028246566599995</v>
      </c>
      <c r="AF35" s="42">
        <v>6.46293601061</v>
      </c>
      <c r="AG35" s="42">
        <v>5.4749938674200003</v>
      </c>
      <c r="AH35" s="42">
        <v>72.861162287079992</v>
      </c>
      <c r="AI35" s="42">
        <v>72.861162287079992</v>
      </c>
      <c r="AJ35" s="42">
        <v>8.1731651799999998</v>
      </c>
      <c r="AK35" s="42">
        <v>7.2858778100000006</v>
      </c>
      <c r="AL35" s="42">
        <v>8.70957604</v>
      </c>
      <c r="AM35" s="42">
        <v>8.1061322199999992</v>
      </c>
      <c r="AN35" s="42">
        <v>7.2510772499999998</v>
      </c>
      <c r="AO35" s="42">
        <v>5.0079391100000006</v>
      </c>
      <c r="AP35" s="42">
        <v>6.7533681699999999</v>
      </c>
      <c r="AQ35" s="42">
        <v>5.8307131800000001</v>
      </c>
      <c r="AR35" s="42">
        <v>5.2057222100000002</v>
      </c>
      <c r="AS35" s="42">
        <v>7.4269235999999994</v>
      </c>
      <c r="AT35" s="42">
        <v>6.8755753999999998</v>
      </c>
      <c r="AU35" s="42">
        <v>6.2110883799999996</v>
      </c>
      <c r="AV35" s="42">
        <v>82.837158549999998</v>
      </c>
      <c r="AW35" s="42">
        <v>82.837158000000002</v>
      </c>
      <c r="AX35" s="42">
        <v>7.4696686499999991</v>
      </c>
      <c r="AY35" s="42">
        <v>6.90888977</v>
      </c>
      <c r="AZ35" s="42">
        <v>6.8497745599999993</v>
      </c>
      <c r="BA35" s="42">
        <v>7.9396157700000005</v>
      </c>
      <c r="BB35" s="42">
        <v>7.93605391</v>
      </c>
      <c r="BC35" s="42">
        <v>5.1282801800000009</v>
      </c>
      <c r="BD35" s="42">
        <v>7.5491129699999995</v>
      </c>
      <c r="BE35" s="42">
        <v>5.2739213300000003</v>
      </c>
      <c r="BF35" s="42">
        <v>7.8072447499999997</v>
      </c>
      <c r="BG35" s="42">
        <v>7.3744008499999998</v>
      </c>
      <c r="BH35" s="42">
        <v>6.4493601700000003</v>
      </c>
      <c r="BI35" s="42">
        <v>8.2437560899999998</v>
      </c>
      <c r="BJ35" s="45">
        <v>84.930079000000006</v>
      </c>
      <c r="BK35" s="45">
        <v>84.930079000000006</v>
      </c>
      <c r="BL35" s="42">
        <v>9.2274148699999987</v>
      </c>
      <c r="BM35" s="42">
        <v>10.146596379999998</v>
      </c>
      <c r="BN35" s="42">
        <v>11.797491280000001</v>
      </c>
      <c r="BO35" s="42">
        <v>9.76280401</v>
      </c>
      <c r="BP35" s="42">
        <v>8.8690935300000007</v>
      </c>
      <c r="BQ35" s="42">
        <v>10.10744292</v>
      </c>
      <c r="BR35" s="42">
        <v>9.0392762000000015</v>
      </c>
      <c r="BS35" s="42">
        <v>7.25280082</v>
      </c>
      <c r="BT35" s="42">
        <v>10.203135880000001</v>
      </c>
      <c r="BU35" s="42">
        <v>10.367596019999999</v>
      </c>
      <c r="BV35" s="42">
        <v>8.8508314099999996</v>
      </c>
      <c r="BW35" s="42">
        <v>11.39554657</v>
      </c>
      <c r="BX35" s="45">
        <v>117.02002988999999</v>
      </c>
      <c r="BY35" s="45">
        <v>117.02003000000001</v>
      </c>
      <c r="BZ35" s="45">
        <v>10.010591880000002</v>
      </c>
      <c r="CA35" s="45">
        <v>12.383868290000001</v>
      </c>
      <c r="CB35" s="45">
        <v>15.330054410000001</v>
      </c>
      <c r="CC35" s="45">
        <v>13.2569192</v>
      </c>
      <c r="CD35" s="45">
        <v>11.93793861</v>
      </c>
      <c r="CE35" s="45">
        <v>9.3448712800000013</v>
      </c>
      <c r="CF35" s="45">
        <v>9.1656115400000004</v>
      </c>
      <c r="CG35" s="45">
        <v>11.09633975</v>
      </c>
      <c r="CH35" s="45">
        <v>10.48283494</v>
      </c>
      <c r="CI35" s="45">
        <v>9.5556622499999992</v>
      </c>
      <c r="CJ35" s="45">
        <v>13.546870299999998</v>
      </c>
      <c r="CK35" s="45">
        <v>12.6493477</v>
      </c>
      <c r="CL35" s="45">
        <v>138.76091015</v>
      </c>
      <c r="CM35" s="45">
        <v>138.76091</v>
      </c>
      <c r="CN35" s="45">
        <v>13.301997399999998</v>
      </c>
      <c r="CO35" s="45">
        <v>13.57795657</v>
      </c>
      <c r="CP35" s="45">
        <v>16.161076130000001</v>
      </c>
      <c r="CQ35" s="45">
        <v>12.931816900000001</v>
      </c>
      <c r="CR35" s="45">
        <v>12.887915919999999</v>
      </c>
      <c r="CS35" s="45">
        <v>10.636485360000002</v>
      </c>
      <c r="CT35" s="45">
        <v>9.4381345000000003</v>
      </c>
      <c r="CU35" s="45">
        <v>11.889870740000001</v>
      </c>
      <c r="CV35" s="45">
        <v>11.057268949999999</v>
      </c>
      <c r="CW35" s="45">
        <v>12.482243279999999</v>
      </c>
      <c r="CX35" s="45">
        <v>12.501471780000001</v>
      </c>
      <c r="CY35" s="45">
        <v>13.429458759999999</v>
      </c>
      <c r="CZ35" s="45">
        <v>150.29569629</v>
      </c>
      <c r="DA35" s="45">
        <v>150.29569599999999</v>
      </c>
      <c r="DB35" s="45">
        <v>13.221570129999998</v>
      </c>
      <c r="DC35" s="45">
        <v>14.07213039</v>
      </c>
      <c r="DD35" s="45">
        <v>16.792821739999997</v>
      </c>
      <c r="DE35" s="45">
        <v>15.836726759999999</v>
      </c>
      <c r="DF35" s="45">
        <v>15.926630690000001</v>
      </c>
      <c r="DG35" s="45">
        <v>12.049971850000002</v>
      </c>
      <c r="DH35" s="45">
        <v>11.823711900000001</v>
      </c>
      <c r="DI35" s="45">
        <v>12.370780160000001</v>
      </c>
      <c r="DJ35" s="45">
        <v>10.63786273</v>
      </c>
      <c r="DK35" s="45">
        <v>14.537643859999999</v>
      </c>
      <c r="DL35" s="45">
        <v>14.59370367</v>
      </c>
      <c r="DM35" s="69">
        <v>13.221355150000001</v>
      </c>
      <c r="DN35" s="42">
        <f t="shared" si="8"/>
        <v>165.08490902999998</v>
      </c>
      <c r="DO35" s="45">
        <v>165.08484200000001</v>
      </c>
      <c r="DP35" s="42">
        <v>18.582007830000002</v>
      </c>
      <c r="DQ35" s="42">
        <v>17.4383053</v>
      </c>
      <c r="DR35" s="69">
        <v>19.711796970000002</v>
      </c>
      <c r="DS35" s="42">
        <v>17.7664516</v>
      </c>
      <c r="DT35" s="42">
        <v>16.972469920000002</v>
      </c>
      <c r="DU35" s="69">
        <v>13.29927799</v>
      </c>
      <c r="DV35" s="42">
        <v>15.67979908</v>
      </c>
      <c r="DW35" s="69">
        <v>14.051413519999999</v>
      </c>
      <c r="DX35" s="42">
        <v>14.374774720000001</v>
      </c>
      <c r="DY35" s="42">
        <v>17.600000000000001</v>
      </c>
      <c r="DZ35" s="69">
        <v>17.955080819999999</v>
      </c>
      <c r="EA35" s="42">
        <v>16.852203670000002</v>
      </c>
      <c r="EB35" s="42">
        <f t="shared" si="9"/>
        <v>200.28358142000002</v>
      </c>
      <c r="EC35" s="45">
        <v>200.31965400000001</v>
      </c>
      <c r="ED35" s="42">
        <v>23.401323129999998</v>
      </c>
      <c r="EE35" s="42">
        <v>17.887591279999999</v>
      </c>
      <c r="EF35" s="69">
        <v>21.872198640000001</v>
      </c>
      <c r="EG35" s="42">
        <v>24.164128239999997</v>
      </c>
      <c r="EH35" s="69">
        <v>22.046520770000001</v>
      </c>
      <c r="EI35" s="42">
        <v>16.526168289999998</v>
      </c>
      <c r="EJ35" s="42">
        <v>18.454423310000003</v>
      </c>
      <c r="EK35" s="42">
        <v>15.926458109999999</v>
      </c>
      <c r="EL35" s="42">
        <v>18.18541222</v>
      </c>
      <c r="EM35" s="42">
        <v>19.59459906</v>
      </c>
      <c r="EN35" s="42">
        <v>20.116964740000004</v>
      </c>
      <c r="EO35" s="69">
        <v>24.354574420000002</v>
      </c>
      <c r="EP35" s="42">
        <f t="shared" si="10"/>
        <v>242.53036221000002</v>
      </c>
      <c r="EQ35" s="42">
        <v>242.530362</v>
      </c>
      <c r="ER35" s="42">
        <v>30.566588200000002</v>
      </c>
      <c r="ES35" s="42">
        <v>29.176499799999998</v>
      </c>
      <c r="ET35" s="69">
        <v>34.02153216</v>
      </c>
      <c r="EU35" s="42">
        <v>28.74572581</v>
      </c>
      <c r="EV35" s="43">
        <v>23.87799356</v>
      </c>
      <c r="EW35" s="42">
        <v>21.725160769999999</v>
      </c>
      <c r="EX35" s="69">
        <v>21.223495600000003</v>
      </c>
      <c r="EY35" s="42">
        <v>17.496122760000002</v>
      </c>
      <c r="EZ35" s="42">
        <v>20.393311899999997</v>
      </c>
      <c r="FA35" s="42">
        <v>22.14304593</v>
      </c>
      <c r="FB35" s="42">
        <v>28.050986859999998</v>
      </c>
      <c r="FC35" s="42">
        <v>35.068242229999996</v>
      </c>
      <c r="FD35" s="42">
        <f t="shared" si="11"/>
        <v>312.48870557999999</v>
      </c>
      <c r="FE35" s="42">
        <v>312.48870499999998</v>
      </c>
      <c r="FF35" s="42">
        <v>33.188331439999999</v>
      </c>
      <c r="FG35" s="42">
        <v>31.137115550000001</v>
      </c>
      <c r="FH35" s="42">
        <v>44.538851679999993</v>
      </c>
      <c r="FI35" s="42">
        <v>48.394672579999991</v>
      </c>
      <c r="FJ35" s="42">
        <v>35.738865419999996</v>
      </c>
      <c r="FK35" s="42">
        <v>20.337633659999998</v>
      </c>
      <c r="FL35" s="42">
        <v>19.2983394</v>
      </c>
      <c r="FM35" s="42">
        <v>20.575595370000002</v>
      </c>
      <c r="FN35" s="42">
        <v>24.939436390000004</v>
      </c>
      <c r="FO35" s="42">
        <v>25.449228139999999</v>
      </c>
      <c r="FP35" s="42">
        <v>26.945487100000001</v>
      </c>
      <c r="FQ35" s="42">
        <v>28.031912369999997</v>
      </c>
      <c r="FR35" s="42">
        <f t="shared" si="12"/>
        <v>358.57546909999996</v>
      </c>
      <c r="FS35" s="42">
        <v>358.575469</v>
      </c>
      <c r="FT35" s="42">
        <v>33.135419839999997</v>
      </c>
      <c r="FU35" s="42">
        <v>31.855100020000002</v>
      </c>
      <c r="FV35" s="42">
        <v>31.520949399999999</v>
      </c>
      <c r="FW35" s="42">
        <v>26.382779509999999</v>
      </c>
      <c r="FX35" s="42">
        <v>26.088299640000002</v>
      </c>
      <c r="FY35" s="42">
        <v>24.37671791</v>
      </c>
      <c r="FZ35" s="42">
        <v>22.842980239999999</v>
      </c>
      <c r="GA35" s="42">
        <v>24.120491210000001</v>
      </c>
      <c r="GB35" s="42">
        <v>24.672272929999998</v>
      </c>
      <c r="GC35" s="42">
        <v>28.092626890000002</v>
      </c>
      <c r="GD35" s="42">
        <v>30.293726109999998</v>
      </c>
      <c r="GE35" s="42">
        <v>27.870515840000003</v>
      </c>
      <c r="GF35" s="42">
        <f t="shared" si="13"/>
        <v>331.25187954000006</v>
      </c>
      <c r="GG35" s="42">
        <v>331.25187899999997</v>
      </c>
      <c r="GH35" s="42">
        <v>36.809353719999997</v>
      </c>
      <c r="GI35" s="42">
        <v>33.618797610000001</v>
      </c>
      <c r="GJ35" s="42">
        <v>34.281976139999998</v>
      </c>
      <c r="GK35" s="42">
        <v>36.619365260000009</v>
      </c>
      <c r="GL35" s="42">
        <v>33.273316520000002</v>
      </c>
      <c r="GM35" s="42">
        <v>27.05753936</v>
      </c>
      <c r="GN35" s="42">
        <v>28.672849709999998</v>
      </c>
      <c r="GO35" s="42">
        <v>26.890159579999999</v>
      </c>
      <c r="GP35" s="42">
        <v>27.620497279999995</v>
      </c>
      <c r="GQ35" s="42">
        <v>32.387579500000001</v>
      </c>
      <c r="GR35" s="42">
        <v>30.873571450000004</v>
      </c>
      <c r="GS35" s="42">
        <v>25.99085887</v>
      </c>
      <c r="GT35" s="42">
        <f>SUM(GH35:GS35)</f>
        <v>374.095865</v>
      </c>
      <c r="GU35" s="42">
        <v>374.095865</v>
      </c>
      <c r="GV35" s="42">
        <v>40.561564619999992</v>
      </c>
      <c r="GW35" s="42">
        <v>31.322605199999998</v>
      </c>
      <c r="GX35" s="42">
        <v>38.31301362</v>
      </c>
      <c r="GY35" s="42">
        <v>33.809213410000005</v>
      </c>
      <c r="GZ35" s="42">
        <v>36.057769590000007</v>
      </c>
      <c r="HA35" s="42">
        <v>27.703611240000001</v>
      </c>
      <c r="HB35" s="42">
        <v>33.698056770000001</v>
      </c>
      <c r="HC35" s="42">
        <v>26.622017460000002</v>
      </c>
      <c r="HD35" s="42">
        <v>30.42924257</v>
      </c>
      <c r="HE35" s="42">
        <v>34.020767080000006</v>
      </c>
      <c r="HF35" s="42">
        <v>29.724470580000002</v>
      </c>
      <c r="HG35" s="42">
        <v>28.6027454</v>
      </c>
      <c r="HH35" s="42">
        <f t="shared" si="15"/>
        <v>390.86507753999996</v>
      </c>
      <c r="HI35" s="42">
        <v>44.439233310000006</v>
      </c>
      <c r="HJ35" s="42">
        <v>34.31956667</v>
      </c>
      <c r="HK35" s="42">
        <v>42.487249750000004</v>
      </c>
      <c r="HL35" s="42">
        <v>39.859188210000006</v>
      </c>
      <c r="HM35" s="42"/>
      <c r="HN35" s="42"/>
      <c r="HO35" s="42"/>
      <c r="HP35" s="42"/>
      <c r="HQ35" s="42"/>
      <c r="HR35" s="42"/>
      <c r="HS35" s="42"/>
      <c r="HT35" s="42"/>
      <c r="HU35" s="300">
        <f t="shared" si="16"/>
        <v>144.00639699999999</v>
      </c>
      <c r="HV35" s="300">
        <f t="shared" si="17"/>
        <v>161.10523800000001</v>
      </c>
      <c r="HW35" s="280">
        <f t="shared" si="18"/>
        <v>17.098841000000021</v>
      </c>
      <c r="HX35" s="280">
        <f t="shared" si="19"/>
        <v>11.873667667693979</v>
      </c>
    </row>
    <row r="36" spans="1:232" s="12" customFormat="1" ht="20.25" hidden="1" customHeight="1">
      <c r="A36" s="47" t="s">
        <v>156</v>
      </c>
      <c r="B36" s="13">
        <v>7700</v>
      </c>
      <c r="C36" s="47" t="s">
        <v>157</v>
      </c>
      <c r="D36" s="45">
        <v>0</v>
      </c>
      <c r="E36" s="42">
        <v>1.3851657076510664E-2</v>
      </c>
      <c r="F36" s="42">
        <v>1.5904861099253848E-2</v>
      </c>
      <c r="G36" s="42">
        <v>1.659922254284267E-2</v>
      </c>
      <c r="H36" s="42">
        <v>0</v>
      </c>
      <c r="I36" s="42">
        <v>0</v>
      </c>
      <c r="J36" s="42">
        <v>1.5936164279087769E-2</v>
      </c>
      <c r="K36" s="42">
        <v>0</v>
      </c>
      <c r="L36" s="42">
        <v>8.5372308637970197E-5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1.6021536587725739E-2</v>
      </c>
      <c r="U36" s="42">
        <v>1.6021536587725739E-2</v>
      </c>
      <c r="V36" s="42">
        <v>0</v>
      </c>
      <c r="W36" s="42">
        <v>0</v>
      </c>
      <c r="X36" s="42">
        <v>1.7233823370384916E-2</v>
      </c>
      <c r="Y36" s="42">
        <v>0</v>
      </c>
      <c r="Z36" s="42">
        <v>0</v>
      </c>
      <c r="AA36" s="42">
        <v>0</v>
      </c>
      <c r="AB36" s="42">
        <v>0</v>
      </c>
      <c r="AC36" s="42">
        <v>0</v>
      </c>
      <c r="AD36" s="42">
        <v>0</v>
      </c>
      <c r="AE36" s="42">
        <v>0</v>
      </c>
      <c r="AF36" s="42">
        <v>0</v>
      </c>
      <c r="AG36" s="42">
        <v>0</v>
      </c>
      <c r="AH36" s="42">
        <v>1.7233823370384916E-2</v>
      </c>
      <c r="AI36" s="42">
        <v>1.7233823370384916E-2</v>
      </c>
      <c r="AJ36" s="42">
        <v>0</v>
      </c>
      <c r="AK36" s="42">
        <v>0</v>
      </c>
      <c r="AL36" s="42">
        <v>1.6849647981514049E-2</v>
      </c>
      <c r="AM36" s="42">
        <v>0</v>
      </c>
      <c r="AN36" s="42">
        <v>0</v>
      </c>
      <c r="AO36" s="42">
        <v>0</v>
      </c>
      <c r="AP36" s="42">
        <v>0</v>
      </c>
      <c r="AQ36" s="42">
        <v>0</v>
      </c>
      <c r="AR36" s="42">
        <v>0</v>
      </c>
      <c r="AS36" s="42">
        <v>0</v>
      </c>
      <c r="AT36" s="42">
        <v>0</v>
      </c>
      <c r="AU36" s="42">
        <v>0</v>
      </c>
      <c r="AV36" s="42">
        <v>1.6849647981514049E-2</v>
      </c>
      <c r="AW36" s="42">
        <v>1.6849647981514049E-2</v>
      </c>
      <c r="AX36" s="42"/>
      <c r="AY36" s="42"/>
      <c r="AZ36" s="42">
        <v>1.7075E-2</v>
      </c>
      <c r="BA36" s="42"/>
      <c r="BB36" s="42"/>
      <c r="BC36" s="42"/>
      <c r="BD36" s="42"/>
      <c r="BE36" s="42"/>
      <c r="BF36" s="42"/>
      <c r="BG36" s="42"/>
      <c r="BH36" s="42"/>
      <c r="BI36" s="42">
        <v>0</v>
      </c>
      <c r="BJ36" s="45">
        <f t="shared" si="4"/>
        <v>1.7075E-2</v>
      </c>
      <c r="BK36" s="45">
        <v>1.7075E-2</v>
      </c>
      <c r="BL36" s="42"/>
      <c r="BM36" s="42">
        <v>0</v>
      </c>
      <c r="BN36" s="42">
        <v>1.7441999999999999E-2</v>
      </c>
      <c r="BO36" s="42">
        <v>0</v>
      </c>
      <c r="BP36" s="42">
        <v>0</v>
      </c>
      <c r="BQ36" s="42">
        <v>0</v>
      </c>
      <c r="BR36" s="42">
        <v>0</v>
      </c>
      <c r="BS36" s="42">
        <v>0</v>
      </c>
      <c r="BT36" s="42">
        <v>0</v>
      </c>
      <c r="BU36" s="42">
        <v>0</v>
      </c>
      <c r="BV36" s="42">
        <v>0</v>
      </c>
      <c r="BW36" s="42">
        <v>1.9793300000000001E-3</v>
      </c>
      <c r="BX36" s="45">
        <f t="shared" si="5"/>
        <v>1.9421330000000001E-2</v>
      </c>
      <c r="BY36" s="45">
        <v>1.9421330000000001E-2</v>
      </c>
      <c r="BZ36" s="45">
        <v>0</v>
      </c>
      <c r="CA36" s="45">
        <v>0</v>
      </c>
      <c r="CB36" s="45">
        <v>1.8976070000000001E-2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f t="shared" si="6"/>
        <v>1.8976070000000001E-2</v>
      </c>
      <c r="CM36" s="45">
        <v>1.8977000000000001E-2</v>
      </c>
      <c r="CN36" s="45">
        <v>0</v>
      </c>
      <c r="CO36" s="45">
        <v>0</v>
      </c>
      <c r="CP36" s="45">
        <v>1.913194E-2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f t="shared" si="7"/>
        <v>1.913194E-2</v>
      </c>
      <c r="DA36" s="45">
        <v>1.9132E-2</v>
      </c>
      <c r="DB36" s="45">
        <v>0</v>
      </c>
      <c r="DC36" s="45">
        <v>0</v>
      </c>
      <c r="DD36" s="45">
        <v>1.7785789999999999E-2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69">
        <v>0</v>
      </c>
      <c r="DN36" s="42">
        <f t="shared" si="8"/>
        <v>1.7785789999999999E-2</v>
      </c>
      <c r="DO36" s="45">
        <v>1.7786E-2</v>
      </c>
      <c r="DP36" s="42">
        <v>0</v>
      </c>
      <c r="DQ36" s="42">
        <v>0</v>
      </c>
      <c r="DR36" s="69">
        <v>1.7895999999999999E-2</v>
      </c>
      <c r="DS36" s="42">
        <v>0</v>
      </c>
      <c r="DT36" s="42">
        <v>0</v>
      </c>
      <c r="DU36" s="69">
        <v>0</v>
      </c>
      <c r="DV36" s="42">
        <v>0</v>
      </c>
      <c r="DW36" s="69">
        <v>1.2777E-4</v>
      </c>
      <c r="DX36" s="42">
        <v>0</v>
      </c>
      <c r="DY36" s="42">
        <v>0</v>
      </c>
      <c r="DZ36" s="69">
        <v>0</v>
      </c>
      <c r="EA36" s="42">
        <v>0</v>
      </c>
      <c r="EB36" s="42">
        <f t="shared" si="9"/>
        <v>1.8023769999999998E-2</v>
      </c>
      <c r="EC36" s="45">
        <v>1.8023999999999998E-2</v>
      </c>
      <c r="ED36" s="42">
        <v>0</v>
      </c>
      <c r="EE36" s="42">
        <v>0</v>
      </c>
      <c r="EF36" s="69">
        <v>1.8325999999999999E-2</v>
      </c>
      <c r="EG36" s="42">
        <v>2.2083899999999997E-3</v>
      </c>
      <c r="EH36" s="69">
        <v>0</v>
      </c>
      <c r="EI36" s="42"/>
      <c r="EJ36" s="42"/>
      <c r="EK36" s="42"/>
      <c r="EL36" s="42">
        <v>0</v>
      </c>
      <c r="EM36" s="42">
        <v>0</v>
      </c>
      <c r="EN36" s="42">
        <v>0</v>
      </c>
      <c r="EO36" s="69">
        <v>0</v>
      </c>
      <c r="EP36" s="42">
        <f t="shared" si="10"/>
        <v>2.053439E-2</v>
      </c>
      <c r="EQ36" s="42">
        <v>2.0534E-2</v>
      </c>
      <c r="ER36" s="42">
        <v>0</v>
      </c>
      <c r="ES36" s="42">
        <v>0</v>
      </c>
      <c r="ET36" s="42">
        <v>2.4901159999548571E-2</v>
      </c>
      <c r="EU36" s="42">
        <v>0</v>
      </c>
      <c r="EV36" s="43"/>
      <c r="EW36" s="42"/>
      <c r="EX36" s="69"/>
      <c r="EY36" s="42"/>
      <c r="EZ36" s="42"/>
      <c r="FA36" s="42"/>
      <c r="FB36" s="42"/>
      <c r="FC36" s="42"/>
      <c r="FD36" s="42">
        <f t="shared" si="11"/>
        <v>2.4901159999548571E-2</v>
      </c>
      <c r="FE36" s="42">
        <v>1.9723999999999998E-2</v>
      </c>
      <c r="FF36" s="42">
        <v>0</v>
      </c>
      <c r="FG36" s="42">
        <v>0</v>
      </c>
      <c r="FH36" s="42">
        <v>2.0313999999999999E-2</v>
      </c>
      <c r="FI36" s="42">
        <v>9.5584000000000001E-4</v>
      </c>
      <c r="FJ36" s="42"/>
      <c r="FK36" s="42"/>
      <c r="FL36" s="42"/>
      <c r="FM36" s="42"/>
      <c r="FN36" s="42"/>
      <c r="FO36" s="42"/>
      <c r="FP36" s="42"/>
      <c r="FQ36" s="42"/>
      <c r="FR36" s="42">
        <f t="shared" si="12"/>
        <v>2.1269839999999998E-2</v>
      </c>
      <c r="FS36" s="42">
        <v>2.1270000000000001E-2</v>
      </c>
      <c r="FT36" s="42">
        <v>0</v>
      </c>
      <c r="FU36" s="42"/>
      <c r="FV36" s="42">
        <v>2.1142000000000001E-2</v>
      </c>
      <c r="FW36" s="42"/>
      <c r="FX36" s="42"/>
      <c r="FY36" s="42"/>
      <c r="FZ36" s="42"/>
      <c r="GA36" s="42"/>
      <c r="GB36" s="42"/>
      <c r="GC36" s="42"/>
      <c r="GD36" s="42"/>
      <c r="GE36" s="42"/>
      <c r="GF36" s="42">
        <f t="shared" si="13"/>
        <v>2.1142000000000001E-2</v>
      </c>
      <c r="GG36" s="42">
        <v>2.1281000000000001E-2</v>
      </c>
      <c r="GH36" s="42"/>
      <c r="GI36" s="42"/>
      <c r="GJ36" s="42">
        <v>2.2040819999999999E-2</v>
      </c>
      <c r="GK36" s="42"/>
      <c r="GL36" s="42"/>
      <c r="GM36" s="42"/>
      <c r="GN36" s="42"/>
      <c r="GO36" s="42"/>
      <c r="GP36" s="42"/>
      <c r="GQ36" s="42"/>
      <c r="GR36" s="42"/>
      <c r="GS36" s="42"/>
      <c r="GT36" s="42">
        <f t="shared" si="14"/>
        <v>2.2040819999999999E-2</v>
      </c>
      <c r="GU36" s="42">
        <v>2.2041000000000002E-2</v>
      </c>
      <c r="GV36" s="42"/>
      <c r="GW36" s="42"/>
      <c r="GX36" s="42">
        <v>2.2100000000000002E-2</v>
      </c>
      <c r="GY36" s="42"/>
      <c r="GZ36" s="42"/>
      <c r="HA36" s="42"/>
      <c r="HB36" s="42"/>
      <c r="HC36" s="42"/>
      <c r="HD36" s="42"/>
      <c r="HE36" s="42"/>
      <c r="HF36" s="42"/>
      <c r="HG36" s="42">
        <v>1.4931999999999999E-4</v>
      </c>
      <c r="HH36" s="42">
        <f t="shared" si="15"/>
        <v>2.2249320000000003E-2</v>
      </c>
      <c r="HI36" s="42"/>
      <c r="HJ36" s="42"/>
      <c r="HK36" s="42">
        <v>2.2997790000000001E-2</v>
      </c>
      <c r="HL36" s="42"/>
      <c r="HM36" s="42"/>
      <c r="HN36" s="42"/>
      <c r="HO36" s="42"/>
      <c r="HP36" s="42"/>
      <c r="HQ36" s="42"/>
      <c r="HR36" s="42"/>
      <c r="HS36" s="42"/>
      <c r="HT36" s="42"/>
      <c r="HU36" s="300">
        <f t="shared" si="16"/>
        <v>2.2100000000000002E-2</v>
      </c>
      <c r="HV36" s="300">
        <f t="shared" si="17"/>
        <v>2.2998000000000001E-2</v>
      </c>
      <c r="HW36" s="280">
        <f t="shared" si="18"/>
        <v>8.9799999999999949E-4</v>
      </c>
      <c r="HX36" s="280"/>
    </row>
    <row r="37" spans="1:232" s="12" customFormat="1" ht="20.5">
      <c r="A37" s="42" t="s">
        <v>160</v>
      </c>
      <c r="B37" s="13" t="s">
        <v>91</v>
      </c>
      <c r="C37" s="42" t="s">
        <v>161</v>
      </c>
      <c r="D37" s="45">
        <v>0.90847803939647476</v>
      </c>
      <c r="E37" s="42">
        <v>2.1566738379405925</v>
      </c>
      <c r="F37" s="42">
        <v>1.9897795117842245</v>
      </c>
      <c r="G37" s="42">
        <v>1.6378677412194582E-2</v>
      </c>
      <c r="H37" s="42">
        <v>0</v>
      </c>
      <c r="I37" s="42">
        <v>0</v>
      </c>
      <c r="J37" s="42">
        <v>0</v>
      </c>
      <c r="K37" s="42">
        <v>0</v>
      </c>
      <c r="L37" s="42">
        <v>7.1613138229150667E-3</v>
      </c>
      <c r="M37" s="42">
        <v>9.248666769113437E-4</v>
      </c>
      <c r="N37" s="42">
        <v>1.7942413532080067E-3</v>
      </c>
      <c r="O37" s="42">
        <v>2.1560776546519372E-2</v>
      </c>
      <c r="P37" s="42">
        <v>1.0311552011656165E-2</v>
      </c>
      <c r="Q37" s="42">
        <v>6.2663274540270117E-3</v>
      </c>
      <c r="R37" s="42">
        <v>1.039407857667287E-2</v>
      </c>
      <c r="S37" s="42">
        <v>3.0591743928605987E-3</v>
      </c>
      <c r="T37" s="42">
        <v>6.1472330834770432E-2</v>
      </c>
      <c r="U37" s="42">
        <v>6.1472330834770432E-2</v>
      </c>
      <c r="V37" s="42">
        <v>0</v>
      </c>
      <c r="W37" s="42">
        <v>1.8497333538226874E-2</v>
      </c>
      <c r="X37" s="42">
        <v>0</v>
      </c>
      <c r="Y37" s="42">
        <v>0</v>
      </c>
      <c r="Z37" s="42">
        <v>9.8889590838982131E-4</v>
      </c>
      <c r="AA37" s="42">
        <v>0.25870655260926234</v>
      </c>
      <c r="AB37" s="42">
        <v>4.8009117762562538E-2</v>
      </c>
      <c r="AC37" s="42">
        <v>2.1752864240954805E-2</v>
      </c>
      <c r="AD37" s="42">
        <v>9.9518500179281863E-2</v>
      </c>
      <c r="AE37" s="42">
        <v>6.8138485267585272E-2</v>
      </c>
      <c r="AF37" s="42">
        <v>0.11704116652722522</v>
      </c>
      <c r="AG37" s="42">
        <v>4.445478397960171E-2</v>
      </c>
      <c r="AH37" s="42">
        <v>0.6771077000130904</v>
      </c>
      <c r="AI37" s="42">
        <v>0.67710770001309051</v>
      </c>
      <c r="AJ37" s="42">
        <v>4.254386713792181E-4</v>
      </c>
      <c r="AK37" s="42">
        <v>8.0316845094791714E-2</v>
      </c>
      <c r="AL37" s="42">
        <v>4.6768373543690706E-2</v>
      </c>
      <c r="AM37" s="42">
        <v>3.3268165804406349E-2</v>
      </c>
      <c r="AN37" s="42">
        <v>9.5716586701270912E-3</v>
      </c>
      <c r="AO37" s="42">
        <v>5.8287943722574141E-2</v>
      </c>
      <c r="AP37" s="42">
        <v>2.1404260647349758E-2</v>
      </c>
      <c r="AQ37" s="42">
        <v>6.9843085696723414E-2</v>
      </c>
      <c r="AR37" s="42">
        <v>5.0252986607930525E-2</v>
      </c>
      <c r="AS37" s="42">
        <v>6.6448113556553459E-2</v>
      </c>
      <c r="AT37" s="42">
        <v>0.17613303282280693</v>
      </c>
      <c r="AU37" s="42">
        <v>0.20132782397368257</v>
      </c>
      <c r="AV37" s="42">
        <v>0.81404772881201592</v>
      </c>
      <c r="AW37" s="42">
        <v>0.81404915168382652</v>
      </c>
      <c r="AX37" s="42">
        <f>AX38</f>
        <v>2.6898999999999999E-2</v>
      </c>
      <c r="AY37" s="42">
        <f>AY38</f>
        <v>0.12782399999999999</v>
      </c>
      <c r="AZ37" s="42">
        <f t="shared" ref="AZ37:BG37" si="27">AZ38</f>
        <v>2.1693E-2</v>
      </c>
      <c r="BA37" s="42">
        <f t="shared" si="27"/>
        <v>1.9205E-2</v>
      </c>
      <c r="BB37" s="42">
        <f t="shared" si="27"/>
        <v>6.4083000000000001E-2</v>
      </c>
      <c r="BC37" s="42">
        <f t="shared" si="27"/>
        <v>6.5060000000000005E-3</v>
      </c>
      <c r="BD37" s="42">
        <f t="shared" si="27"/>
        <v>4.0501250000000003E-2</v>
      </c>
      <c r="BE37" s="42">
        <f t="shared" si="27"/>
        <v>4.07E-2</v>
      </c>
      <c r="BF37" s="42">
        <f t="shared" si="27"/>
        <v>3.221504E-2</v>
      </c>
      <c r="BG37" s="42">
        <f t="shared" si="27"/>
        <v>3.1596230000000003E-2</v>
      </c>
      <c r="BH37" s="42">
        <f>BH38</f>
        <v>0.18179292</v>
      </c>
      <c r="BI37" s="42">
        <f>BI38</f>
        <v>7.3846449999999994E-2</v>
      </c>
      <c r="BJ37" s="45">
        <f t="shared" si="4"/>
        <v>0.66686189000000007</v>
      </c>
      <c r="BK37" s="45">
        <f>BK38</f>
        <v>0.66686200000000007</v>
      </c>
      <c r="BL37" s="42">
        <f>BL38</f>
        <v>9.44768E-3</v>
      </c>
      <c r="BM37" s="42">
        <v>1.83997E-3</v>
      </c>
      <c r="BN37" s="42">
        <v>9.4995620000000003E-2</v>
      </c>
      <c r="BO37" s="42">
        <v>8.2290539999999995E-2</v>
      </c>
      <c r="BP37" s="42">
        <v>9.5072190000000015E-2</v>
      </c>
      <c r="BQ37" s="42">
        <v>0.12544237</v>
      </c>
      <c r="BR37" s="42">
        <v>7.5720629999999997E-2</v>
      </c>
      <c r="BS37" s="42">
        <v>2.7661959999999999E-2</v>
      </c>
      <c r="BT37" s="42">
        <v>2.703624E-2</v>
      </c>
      <c r="BU37" s="42">
        <v>0.21121518</v>
      </c>
      <c r="BV37" s="42">
        <v>9.0407210000000002E-2</v>
      </c>
      <c r="BW37" s="42">
        <v>2.5000729999999999E-2</v>
      </c>
      <c r="BX37" s="45">
        <f t="shared" si="5"/>
        <v>0.86613032000000001</v>
      </c>
      <c r="BY37" s="45">
        <f>BY38</f>
        <v>0.86613032000000001</v>
      </c>
      <c r="BZ37" s="45">
        <v>6.8456960000000011E-2</v>
      </c>
      <c r="CA37" s="45">
        <v>3.3162910000000004E-2</v>
      </c>
      <c r="CB37" s="45">
        <v>5.8879180000000003E-2</v>
      </c>
      <c r="CC37" s="45">
        <v>0.35566913000000006</v>
      </c>
      <c r="CD37" s="45">
        <v>2.5327820000000001E-2</v>
      </c>
      <c r="CE37" s="45">
        <v>0.19204191999999998</v>
      </c>
      <c r="CF37" s="45">
        <v>0.13427033000000002</v>
      </c>
      <c r="CG37" s="45">
        <v>3.9681419999999995E-2</v>
      </c>
      <c r="CH37" s="45">
        <v>0.12888322000000002</v>
      </c>
      <c r="CI37" s="45">
        <v>4.9356739999999996E-2</v>
      </c>
      <c r="CJ37" s="45">
        <v>5.3263370000000004E-2</v>
      </c>
      <c r="CK37" s="45">
        <v>9.6741870000000008E-2</v>
      </c>
      <c r="CL37" s="45">
        <f t="shared" si="6"/>
        <v>1.2357348699999999</v>
      </c>
      <c r="CM37" s="45">
        <f>CM38</f>
        <v>1.235735</v>
      </c>
      <c r="CN37" s="45">
        <v>9.0708299999999985E-3</v>
      </c>
      <c r="CO37" s="45">
        <v>2.0477849999999999E-2</v>
      </c>
      <c r="CP37" s="45">
        <v>5.419032E-2</v>
      </c>
      <c r="CQ37" s="45">
        <v>0.12003950000000001</v>
      </c>
      <c r="CR37" s="45">
        <v>6.5918319999999989E-2</v>
      </c>
      <c r="CS37" s="45">
        <v>6.28243E-2</v>
      </c>
      <c r="CT37" s="45">
        <v>8.0989260000000007E-2</v>
      </c>
      <c r="CU37" s="45">
        <v>8.851545999999999E-2</v>
      </c>
      <c r="CV37" s="45">
        <v>0.13061844</v>
      </c>
      <c r="CW37" s="45">
        <v>0.16828666</v>
      </c>
      <c r="CX37" s="45">
        <v>0.14791667</v>
      </c>
      <c r="CY37" s="45">
        <v>0.51011110999999998</v>
      </c>
      <c r="CZ37" s="45">
        <f t="shared" si="7"/>
        <v>1.45895872</v>
      </c>
      <c r="DA37" s="45">
        <f>DA38</f>
        <v>1.4589590000000001</v>
      </c>
      <c r="DB37" s="45">
        <v>2.8353159999999999E-2</v>
      </c>
      <c r="DC37" s="45">
        <v>0.1205837</v>
      </c>
      <c r="DD37" s="45">
        <v>4.6727919999999999E-2</v>
      </c>
      <c r="DE37" s="45">
        <v>2.8297299999999999E-3</v>
      </c>
      <c r="DF37" s="45">
        <v>0.21357745</v>
      </c>
      <c r="DG37" s="45">
        <v>0.17380504000000002</v>
      </c>
      <c r="DH37" s="45">
        <v>9.2001199999999991E-3</v>
      </c>
      <c r="DI37" s="45">
        <v>0.12785880999999999</v>
      </c>
      <c r="DJ37" s="45">
        <v>0.21162320000000001</v>
      </c>
      <c r="DK37" s="45">
        <v>5.0482570000000004E-2</v>
      </c>
      <c r="DL37" s="45">
        <v>0.12931991000000001</v>
      </c>
      <c r="DM37" s="69">
        <v>0.68032890000000013</v>
      </c>
      <c r="DN37" s="42">
        <f t="shared" si="8"/>
        <v>1.7946905100000001</v>
      </c>
      <c r="DO37" s="45">
        <f>DO38</f>
        <v>1.7946909999999998</v>
      </c>
      <c r="DP37" s="42">
        <v>5.4268500000000004E-3</v>
      </c>
      <c r="DQ37" s="42">
        <v>0</v>
      </c>
      <c r="DR37" s="69">
        <v>7.3626320000000009E-2</v>
      </c>
      <c r="DS37" s="42">
        <v>0</v>
      </c>
      <c r="DT37" s="42">
        <v>3.1326180000000002E-2</v>
      </c>
      <c r="DU37" s="69">
        <v>1.27755E-2</v>
      </c>
      <c r="DV37" s="42">
        <v>4.7504660000000004E-2</v>
      </c>
      <c r="DW37" s="69">
        <v>0.14264125000000002</v>
      </c>
      <c r="DX37" s="42">
        <v>2.464643E-2</v>
      </c>
      <c r="DY37" s="42">
        <v>0.15062623</v>
      </c>
      <c r="DZ37" s="69">
        <v>0.11514541</v>
      </c>
      <c r="EA37" s="42">
        <v>0.50234717000000007</v>
      </c>
      <c r="EB37" s="42">
        <f t="shared" si="9"/>
        <v>1.1060660000000002</v>
      </c>
      <c r="EC37" s="45">
        <f>EC38</f>
        <v>1.106066</v>
      </c>
      <c r="ED37" s="42">
        <v>2.9012800000000002E-2</v>
      </c>
      <c r="EE37" s="42">
        <v>0.29763338</v>
      </c>
      <c r="EF37" s="69">
        <v>4.215E-2</v>
      </c>
      <c r="EG37" s="42">
        <v>3.8061029999999996E-2</v>
      </c>
      <c r="EH37" s="69">
        <v>3.2291E-2</v>
      </c>
      <c r="EI37" s="42">
        <v>0.26203192000000003</v>
      </c>
      <c r="EJ37" s="42">
        <v>3.0895840000000001E-2</v>
      </c>
      <c r="EK37" s="42">
        <v>6.6586299999999987E-2</v>
      </c>
      <c r="EL37" s="42">
        <v>3.0709800000000002E-2</v>
      </c>
      <c r="EM37" s="42">
        <v>0.15069472999999997</v>
      </c>
      <c r="EN37" s="42">
        <v>4.9588940000000005E-2</v>
      </c>
      <c r="EO37" s="69">
        <v>0.15870861000000003</v>
      </c>
      <c r="EP37" s="42">
        <f t="shared" si="10"/>
        <v>1.1883643500000001</v>
      </c>
      <c r="EQ37" s="45">
        <f>EQ38</f>
        <v>1.188364</v>
      </c>
      <c r="ER37" s="42">
        <v>0.12675175</v>
      </c>
      <c r="ES37" s="42">
        <v>8.9712910000000007E-2</v>
      </c>
      <c r="ET37" s="69">
        <v>8.6452080000000001E-2</v>
      </c>
      <c r="EU37" s="42">
        <v>5.6157190000000003E-2</v>
      </c>
      <c r="EV37" s="43">
        <v>3.7746999999999998E-3</v>
      </c>
      <c r="EW37" s="42">
        <v>5.5310999999999999E-2</v>
      </c>
      <c r="EX37" s="69">
        <v>0.12134608</v>
      </c>
      <c r="EY37" s="42">
        <v>0.18183723000000002</v>
      </c>
      <c r="EZ37" s="42">
        <v>5.0610000000000002E-2</v>
      </c>
      <c r="FA37" s="42">
        <v>0.31470588999999999</v>
      </c>
      <c r="FB37" s="42">
        <v>-0.12024594</v>
      </c>
      <c r="FC37" s="42">
        <v>0.70880559999999992</v>
      </c>
      <c r="FD37" s="42">
        <f t="shared" si="11"/>
        <v>1.6752184899999998</v>
      </c>
      <c r="FE37" s="45">
        <f>FE38</f>
        <v>1.6752180000000001</v>
      </c>
      <c r="FF37" s="42">
        <v>2.2808500000000001E-3</v>
      </c>
      <c r="FG37" s="42">
        <v>0</v>
      </c>
      <c r="FH37" s="42">
        <v>6.9163600000000006E-2</v>
      </c>
      <c r="FI37" s="42">
        <v>0.28880605999999998</v>
      </c>
      <c r="FJ37" s="42">
        <v>4.6482199999999998E-3</v>
      </c>
      <c r="FK37" s="42">
        <v>0.23598568</v>
      </c>
      <c r="FL37" s="42">
        <v>3.5229150000000001E-2</v>
      </c>
      <c r="FM37" s="42">
        <v>0.48158733999999997</v>
      </c>
      <c r="FN37" s="42">
        <v>0.15515332000000001</v>
      </c>
      <c r="FO37" s="42">
        <v>0.15084242</v>
      </c>
      <c r="FP37" s="42">
        <v>0.12493459</v>
      </c>
      <c r="FQ37" s="42">
        <v>0.47948020000000002</v>
      </c>
      <c r="FR37" s="42">
        <f t="shared" si="12"/>
        <v>2.02811143</v>
      </c>
      <c r="FS37" s="45">
        <f>FS38</f>
        <v>2.028111</v>
      </c>
      <c r="FT37" s="42">
        <v>0</v>
      </c>
      <c r="FU37" s="42"/>
      <c r="FV37" s="42">
        <v>0.20897433000000001</v>
      </c>
      <c r="FW37" s="42">
        <v>3.7280099999999997E-2</v>
      </c>
      <c r="FX37" s="42">
        <v>0.15726177</v>
      </c>
      <c r="FY37" s="42">
        <v>0.29167666999999997</v>
      </c>
      <c r="FZ37" s="42"/>
      <c r="GA37" s="42"/>
      <c r="GB37" s="42">
        <v>8.0985299999999996E-3</v>
      </c>
      <c r="GC37" s="42">
        <v>0.13046592999999998</v>
      </c>
      <c r="GD37" s="42">
        <v>3.9204000000000003E-2</v>
      </c>
      <c r="GE37" s="42">
        <v>0.94901057999999994</v>
      </c>
      <c r="GF37" s="42">
        <f t="shared" si="13"/>
        <v>1.8219719099999998</v>
      </c>
      <c r="GG37" s="45">
        <f>GG38</f>
        <v>1.8219719999999999</v>
      </c>
      <c r="GH37" s="42">
        <v>3.58838E-2</v>
      </c>
      <c r="GI37" s="42">
        <v>3.4397899999999999E-3</v>
      </c>
      <c r="GJ37" s="42">
        <v>0.16106261999999999</v>
      </c>
      <c r="GK37" s="42"/>
      <c r="GL37" s="42">
        <v>1.858487E-2</v>
      </c>
      <c r="GM37" s="42">
        <v>0.15281592000000002</v>
      </c>
      <c r="GN37" s="42">
        <v>0.41805500000000001</v>
      </c>
      <c r="GO37" s="42">
        <v>8.7920499999999992E-3</v>
      </c>
      <c r="GP37" s="42">
        <v>5.4450000000000002E-3</v>
      </c>
      <c r="GQ37" s="42">
        <v>0.22926407999999998</v>
      </c>
      <c r="GR37" s="42">
        <v>1.5245999999999999E-2</v>
      </c>
      <c r="GS37" s="42">
        <v>0.40514787000000002</v>
      </c>
      <c r="GT37" s="42">
        <f t="shared" si="14"/>
        <v>1.4537370000000001</v>
      </c>
      <c r="GU37" s="45">
        <f>GU38</f>
        <v>1.4537370000000001</v>
      </c>
      <c r="GV37" s="42">
        <v>2.8349220000000001E-2</v>
      </c>
      <c r="GW37" s="42">
        <v>2.7219499999999999E-3</v>
      </c>
      <c r="GX37" s="42">
        <v>4.1852569999999999E-2</v>
      </c>
      <c r="GY37" s="42">
        <v>5.7414140000000002E-2</v>
      </c>
      <c r="GZ37" s="42">
        <v>4.4768679999999998E-2</v>
      </c>
      <c r="HA37" s="42">
        <v>1.1443700000000001E-2</v>
      </c>
      <c r="HB37" s="42">
        <v>0.1888176</v>
      </c>
      <c r="HC37" s="42">
        <v>1.5004E-2</v>
      </c>
      <c r="HD37" s="42">
        <v>3.4847999999999997E-2</v>
      </c>
      <c r="HE37" s="42">
        <v>9.3617370000000005E-2</v>
      </c>
      <c r="HF37" s="42">
        <v>0.20818165</v>
      </c>
      <c r="HG37" s="42">
        <v>0.64168911999999989</v>
      </c>
      <c r="HH37" s="42">
        <f t="shared" si="15"/>
        <v>1.3687079999999998</v>
      </c>
      <c r="HI37" s="42">
        <v>0.12627340000000001</v>
      </c>
      <c r="HJ37" s="42"/>
      <c r="HK37" s="42">
        <v>1.9332780000000001E-2</v>
      </c>
      <c r="HL37" s="42">
        <v>0.10904269999999999</v>
      </c>
      <c r="HM37" s="42"/>
      <c r="HN37" s="42"/>
      <c r="HO37" s="42"/>
      <c r="HP37" s="42"/>
      <c r="HQ37" s="42"/>
      <c r="HR37" s="42"/>
      <c r="HS37" s="42"/>
      <c r="HT37" s="42"/>
      <c r="HU37" s="300">
        <f t="shared" si="16"/>
        <v>0.13033800000000001</v>
      </c>
      <c r="HV37" s="300">
        <f t="shared" si="17"/>
        <v>0.25464900000000001</v>
      </c>
      <c r="HW37" s="280">
        <f t="shared" si="18"/>
        <v>0.124311</v>
      </c>
      <c r="HX37" s="280">
        <f t="shared" si="19"/>
        <v>95.375868894719872</v>
      </c>
    </row>
    <row r="38" spans="1:232" s="12" customFormat="1" ht="20.5">
      <c r="A38" s="47" t="s">
        <v>216</v>
      </c>
      <c r="B38" s="13" t="s">
        <v>163</v>
      </c>
      <c r="C38" s="47" t="s">
        <v>164</v>
      </c>
      <c r="D38" s="45">
        <v>0.90847803939647476</v>
      </c>
      <c r="E38" s="42">
        <v>2.1566738379405925</v>
      </c>
      <c r="F38" s="42">
        <v>0</v>
      </c>
      <c r="G38" s="42">
        <v>1.6378677412194582E-2</v>
      </c>
      <c r="H38" s="42">
        <v>0</v>
      </c>
      <c r="I38" s="42">
        <v>0</v>
      </c>
      <c r="J38" s="42">
        <v>0</v>
      </c>
      <c r="K38" s="42">
        <v>0</v>
      </c>
      <c r="L38" s="42">
        <v>7.1613138229150667E-3</v>
      </c>
      <c r="M38" s="42">
        <v>9.248666769113437E-4</v>
      </c>
      <c r="N38" s="42">
        <v>1.7942413532080067E-3</v>
      </c>
      <c r="O38" s="42">
        <v>2.1560776546519372E-2</v>
      </c>
      <c r="P38" s="42">
        <v>1.0311552011656165E-2</v>
      </c>
      <c r="Q38" s="42">
        <v>6.2663274540270117E-3</v>
      </c>
      <c r="R38" s="42">
        <v>1.039407857667287E-2</v>
      </c>
      <c r="S38" s="42">
        <v>3.0591743928605987E-3</v>
      </c>
      <c r="T38" s="42">
        <v>6.1472330834770432E-2</v>
      </c>
      <c r="U38" s="42">
        <v>6.1472330834770432E-2</v>
      </c>
      <c r="V38" s="42">
        <v>0</v>
      </c>
      <c r="W38" s="42">
        <v>1.8497333538226874E-2</v>
      </c>
      <c r="X38" s="42">
        <v>0</v>
      </c>
      <c r="Y38" s="42">
        <v>0</v>
      </c>
      <c r="Z38" s="42">
        <v>9.8889590838982131E-4</v>
      </c>
      <c r="AA38" s="42">
        <v>0.25870655260926234</v>
      </c>
      <c r="AB38" s="42">
        <v>4.8009117762562538E-2</v>
      </c>
      <c r="AC38" s="42">
        <v>2.1752864240954805E-2</v>
      </c>
      <c r="AD38" s="42">
        <v>9.9518500179281863E-2</v>
      </c>
      <c r="AE38" s="42">
        <v>6.8138485267585272E-2</v>
      </c>
      <c r="AF38" s="42">
        <v>0.11704116652722522</v>
      </c>
      <c r="AG38" s="42">
        <v>4.445478397960171E-2</v>
      </c>
      <c r="AH38" s="42">
        <v>0.6771077000130904</v>
      </c>
      <c r="AI38" s="42">
        <v>0.67710770001309051</v>
      </c>
      <c r="AJ38" s="42">
        <v>4.254386713792181E-4</v>
      </c>
      <c r="AK38" s="42">
        <v>8.0316845094791714E-2</v>
      </c>
      <c r="AL38" s="42">
        <v>4.6768373543690706E-2</v>
      </c>
      <c r="AM38" s="42">
        <v>3.3268165804406349E-2</v>
      </c>
      <c r="AN38" s="42">
        <v>9.5716586701270912E-3</v>
      </c>
      <c r="AO38" s="42">
        <v>5.8287943722574141E-2</v>
      </c>
      <c r="AP38" s="42">
        <v>2.1404260647349758E-2</v>
      </c>
      <c r="AQ38" s="42">
        <v>6.9843085696723414E-2</v>
      </c>
      <c r="AR38" s="42">
        <v>5.0252986607930525E-2</v>
      </c>
      <c r="AS38" s="42">
        <v>6.6448113556553459E-2</v>
      </c>
      <c r="AT38" s="42">
        <v>0.17613303282280693</v>
      </c>
      <c r="AU38" s="42">
        <v>0.20132782397368257</v>
      </c>
      <c r="AV38" s="42">
        <v>0.81404772881201592</v>
      </c>
      <c r="AW38" s="42">
        <v>0.81404915168382652</v>
      </c>
      <c r="AX38" s="42">
        <f>AX39+AX40</f>
        <v>2.6898999999999999E-2</v>
      </c>
      <c r="AY38" s="42">
        <f>AY39+AY40</f>
        <v>0.12782399999999999</v>
      </c>
      <c r="AZ38" s="42">
        <f t="shared" ref="AZ38:BG38" si="28">AZ39+AZ40</f>
        <v>2.1693E-2</v>
      </c>
      <c r="BA38" s="42">
        <f t="shared" si="28"/>
        <v>1.9205E-2</v>
      </c>
      <c r="BB38" s="42">
        <f t="shared" si="28"/>
        <v>6.4083000000000001E-2</v>
      </c>
      <c r="BC38" s="42">
        <f t="shared" si="28"/>
        <v>6.5060000000000005E-3</v>
      </c>
      <c r="BD38" s="42">
        <f t="shared" si="28"/>
        <v>4.0501250000000003E-2</v>
      </c>
      <c r="BE38" s="42">
        <f t="shared" si="28"/>
        <v>4.07E-2</v>
      </c>
      <c r="BF38" s="42">
        <f t="shared" si="28"/>
        <v>3.221504E-2</v>
      </c>
      <c r="BG38" s="42">
        <f t="shared" si="28"/>
        <v>3.1596230000000003E-2</v>
      </c>
      <c r="BH38" s="42">
        <f>BH39+BH40</f>
        <v>0.18179292</v>
      </c>
      <c r="BI38" s="42">
        <f>BI39+BI40</f>
        <v>7.3846449999999994E-2</v>
      </c>
      <c r="BJ38" s="45">
        <f t="shared" si="4"/>
        <v>0.66686189000000007</v>
      </c>
      <c r="BK38" s="45">
        <f>BK39+BK40</f>
        <v>0.66686200000000007</v>
      </c>
      <c r="BL38" s="42">
        <f>BL39+BL40</f>
        <v>9.44768E-3</v>
      </c>
      <c r="BM38" s="42">
        <v>1.83997E-3</v>
      </c>
      <c r="BN38" s="42">
        <v>9.4995620000000003E-2</v>
      </c>
      <c r="BO38" s="42">
        <v>8.2290539999999995E-2</v>
      </c>
      <c r="BP38" s="42">
        <v>9.5072190000000015E-2</v>
      </c>
      <c r="BQ38" s="42">
        <v>0.12544237</v>
      </c>
      <c r="BR38" s="42">
        <v>7.5720629999999997E-2</v>
      </c>
      <c r="BS38" s="42">
        <v>2.7661959999999999E-2</v>
      </c>
      <c r="BT38" s="42">
        <v>2.703624E-2</v>
      </c>
      <c r="BU38" s="42">
        <v>0.21121518</v>
      </c>
      <c r="BV38" s="42">
        <v>9.0407210000000002E-2</v>
      </c>
      <c r="BW38" s="42">
        <v>2.5000729999999999E-2</v>
      </c>
      <c r="BX38" s="45">
        <f t="shared" si="5"/>
        <v>0.86613032000000001</v>
      </c>
      <c r="BY38" s="45">
        <f>BY39+BY40</f>
        <v>0.86613032000000001</v>
      </c>
      <c r="BZ38" s="45">
        <v>6.8456960000000011E-2</v>
      </c>
      <c r="CA38" s="45">
        <v>3.3162910000000004E-2</v>
      </c>
      <c r="CB38" s="45">
        <v>5.8879180000000003E-2</v>
      </c>
      <c r="CC38" s="45">
        <v>0.35566913000000006</v>
      </c>
      <c r="CD38" s="45">
        <v>2.5327820000000001E-2</v>
      </c>
      <c r="CE38" s="45">
        <v>0.19204191999999998</v>
      </c>
      <c r="CF38" s="45">
        <v>0.13427033000000002</v>
      </c>
      <c r="CG38" s="45">
        <v>3.9681419999999995E-2</v>
      </c>
      <c r="CH38" s="45">
        <v>0.12888322000000002</v>
      </c>
      <c r="CI38" s="45">
        <v>4.9356739999999996E-2</v>
      </c>
      <c r="CJ38" s="45">
        <v>5.3263370000000004E-2</v>
      </c>
      <c r="CK38" s="45">
        <v>9.6741870000000008E-2</v>
      </c>
      <c r="CL38" s="45">
        <f t="shared" si="6"/>
        <v>1.2357348699999999</v>
      </c>
      <c r="CM38" s="45">
        <f>CM39+CM40</f>
        <v>1.235735</v>
      </c>
      <c r="CN38" s="45">
        <v>9.0708299999999985E-3</v>
      </c>
      <c r="CO38" s="45">
        <v>2.0477849999999999E-2</v>
      </c>
      <c r="CP38" s="45">
        <v>5.419032E-2</v>
      </c>
      <c r="CQ38" s="45">
        <v>0.12003950000000001</v>
      </c>
      <c r="CR38" s="45">
        <v>6.5918319999999989E-2</v>
      </c>
      <c r="CS38" s="45">
        <v>6.28243E-2</v>
      </c>
      <c r="CT38" s="45">
        <v>8.0989260000000007E-2</v>
      </c>
      <c r="CU38" s="45">
        <v>8.851545999999999E-2</v>
      </c>
      <c r="CV38" s="45">
        <v>0.13061844</v>
      </c>
      <c r="CW38" s="45">
        <v>0.16828666</v>
      </c>
      <c r="CX38" s="45">
        <v>0.14791667</v>
      </c>
      <c r="CY38" s="45">
        <v>0.51011110999999998</v>
      </c>
      <c r="CZ38" s="45">
        <f t="shared" si="7"/>
        <v>1.45895872</v>
      </c>
      <c r="DA38" s="45">
        <f>DA39+DA40</f>
        <v>1.4589590000000001</v>
      </c>
      <c r="DB38" s="45">
        <v>2.8353159999999999E-2</v>
      </c>
      <c r="DC38" s="45">
        <v>0.1205837</v>
      </c>
      <c r="DD38" s="45">
        <v>4.6727919999999999E-2</v>
      </c>
      <c r="DE38" s="45">
        <v>2.8297299999999999E-3</v>
      </c>
      <c r="DF38" s="45">
        <v>0.21357745</v>
      </c>
      <c r="DG38" s="45">
        <v>0.17380504000000002</v>
      </c>
      <c r="DH38" s="45">
        <v>9.2001199999999991E-3</v>
      </c>
      <c r="DI38" s="45">
        <v>0.12785880999999999</v>
      </c>
      <c r="DJ38" s="45">
        <v>0.21162320000000001</v>
      </c>
      <c r="DK38" s="45">
        <v>5.0482570000000004E-2</v>
      </c>
      <c r="DL38" s="45">
        <v>0.12931991000000001</v>
      </c>
      <c r="DM38" s="69">
        <v>0.68032890000000013</v>
      </c>
      <c r="DN38" s="42">
        <f t="shared" si="8"/>
        <v>1.7946905100000001</v>
      </c>
      <c r="DO38" s="45">
        <f>DO39+DO40</f>
        <v>1.7946909999999998</v>
      </c>
      <c r="DP38" s="42">
        <v>5.4268500000000004E-3</v>
      </c>
      <c r="DQ38" s="42">
        <v>0</v>
      </c>
      <c r="DR38" s="69">
        <v>7.3626320000000009E-2</v>
      </c>
      <c r="DS38" s="42">
        <v>0</v>
      </c>
      <c r="DT38" s="42">
        <v>3.1326180000000002E-2</v>
      </c>
      <c r="DU38" s="69">
        <v>1.27755E-2</v>
      </c>
      <c r="DV38" s="42">
        <v>4.7504660000000004E-2</v>
      </c>
      <c r="DW38" s="69">
        <v>0.14264125000000002</v>
      </c>
      <c r="DX38" s="42">
        <v>2.464643E-2</v>
      </c>
      <c r="DY38" s="42">
        <v>0.15062623</v>
      </c>
      <c r="DZ38" s="69">
        <v>0.11514541</v>
      </c>
      <c r="EA38" s="42">
        <v>0.50234717000000007</v>
      </c>
      <c r="EB38" s="42">
        <f t="shared" si="9"/>
        <v>1.1060660000000002</v>
      </c>
      <c r="EC38" s="45">
        <v>1.106066</v>
      </c>
      <c r="ED38" s="42">
        <v>2.9012800000000002E-2</v>
      </c>
      <c r="EE38" s="42">
        <v>0.29763338</v>
      </c>
      <c r="EF38" s="69">
        <v>4.2150109999999998E-2</v>
      </c>
      <c r="EG38" s="42">
        <v>3.8061029999999996E-2</v>
      </c>
      <c r="EH38" s="69">
        <v>3.2291E-2</v>
      </c>
      <c r="EI38" s="42">
        <v>0.26203192000000003</v>
      </c>
      <c r="EJ38" s="42">
        <v>3.0895840000000001E-2</v>
      </c>
      <c r="EK38" s="42">
        <v>6.6586299999999987E-2</v>
      </c>
      <c r="EL38" s="42">
        <v>3.0709800000000002E-2</v>
      </c>
      <c r="EM38" s="42">
        <v>0.15069472999999997</v>
      </c>
      <c r="EN38" s="42">
        <v>4.9588940000000005E-2</v>
      </c>
      <c r="EO38" s="69">
        <v>0.15870861000000003</v>
      </c>
      <c r="EP38" s="42">
        <f t="shared" si="10"/>
        <v>1.1883644599999998</v>
      </c>
      <c r="EQ38" s="42">
        <v>1.188364</v>
      </c>
      <c r="ER38" s="42">
        <v>0.12675175</v>
      </c>
      <c r="ES38" s="42">
        <v>8.9712910000000007E-2</v>
      </c>
      <c r="ET38" s="69">
        <v>8.6452080000000001E-2</v>
      </c>
      <c r="EU38" s="42">
        <v>5.6157190000000003E-2</v>
      </c>
      <c r="EV38" s="43">
        <v>3.7746999999999998E-3</v>
      </c>
      <c r="EW38" s="42">
        <v>5.5310999999999999E-2</v>
      </c>
      <c r="EX38" s="69">
        <v>0.12134608</v>
      </c>
      <c r="EY38" s="42">
        <v>0.18183723000000002</v>
      </c>
      <c r="EZ38" s="42">
        <v>5.0610000000000002E-2</v>
      </c>
      <c r="FA38" s="42">
        <v>0.31470588999999999</v>
      </c>
      <c r="FB38" s="42">
        <v>-0.12024594</v>
      </c>
      <c r="FC38" s="42">
        <v>0.70880559999999992</v>
      </c>
      <c r="FD38" s="42">
        <f t="shared" si="11"/>
        <v>1.6752184899999998</v>
      </c>
      <c r="FE38" s="42">
        <v>1.6752180000000001</v>
      </c>
      <c r="FF38" s="42">
        <v>2.2808500000000001E-3</v>
      </c>
      <c r="FG38" s="42">
        <v>0</v>
      </c>
      <c r="FH38" s="42">
        <v>6.9163600000000006E-2</v>
      </c>
      <c r="FI38" s="42">
        <v>0.28880605999999998</v>
      </c>
      <c r="FJ38" s="42">
        <v>4.6482199999999998E-3</v>
      </c>
      <c r="FK38" s="42">
        <v>0.23598568</v>
      </c>
      <c r="FL38" s="42">
        <v>3.5229150000000001E-2</v>
      </c>
      <c r="FM38" s="42">
        <v>0.48158733999999997</v>
      </c>
      <c r="FN38" s="42">
        <v>0.15515332000000001</v>
      </c>
      <c r="FO38" s="42">
        <v>0.15084242</v>
      </c>
      <c r="FP38" s="42">
        <v>0.12493459</v>
      </c>
      <c r="FQ38" s="42">
        <v>0.47948020000000002</v>
      </c>
      <c r="FR38" s="42">
        <f t="shared" si="12"/>
        <v>2.02811143</v>
      </c>
      <c r="FS38" s="42">
        <v>2.028111</v>
      </c>
      <c r="FT38" s="42">
        <v>0</v>
      </c>
      <c r="FU38" s="42"/>
      <c r="FV38" s="42">
        <v>0.20897433000000001</v>
      </c>
      <c r="FW38" s="42">
        <v>3.7280099999999997E-2</v>
      </c>
      <c r="FX38" s="42">
        <v>0.15726177</v>
      </c>
      <c r="FY38" s="42">
        <v>0.29167666999999997</v>
      </c>
      <c r="FZ38" s="42"/>
      <c r="GA38" s="42"/>
      <c r="GB38" s="42">
        <v>8.0985299999999996E-3</v>
      </c>
      <c r="GC38" s="42">
        <v>0.13046592999999998</v>
      </c>
      <c r="GD38" s="42">
        <v>3.9204000000000003E-2</v>
      </c>
      <c r="GE38" s="42">
        <v>0.94901057999999994</v>
      </c>
      <c r="GF38" s="42">
        <f t="shared" si="13"/>
        <v>1.8219719099999998</v>
      </c>
      <c r="GG38" s="42">
        <v>1.8219719999999999</v>
      </c>
      <c r="GH38" s="42">
        <v>3.58838E-2</v>
      </c>
      <c r="GI38" s="42">
        <v>3.4397899999999999E-3</v>
      </c>
      <c r="GJ38" s="42">
        <v>0.16106261999999999</v>
      </c>
      <c r="GK38" s="42"/>
      <c r="GL38" s="42">
        <v>1.858487E-2</v>
      </c>
      <c r="GM38" s="42">
        <v>0.15281592000000002</v>
      </c>
      <c r="GN38" s="42">
        <v>0.41805500000000001</v>
      </c>
      <c r="GO38" s="42">
        <v>8.7920499999999992E-3</v>
      </c>
      <c r="GP38" s="42">
        <v>5.4450000000000002E-3</v>
      </c>
      <c r="GQ38" s="42">
        <v>0.22926407999999998</v>
      </c>
      <c r="GR38" s="42">
        <v>1.5245999999999999E-2</v>
      </c>
      <c r="GS38" s="42">
        <v>0.40514787000000002</v>
      </c>
      <c r="GT38" s="42">
        <f t="shared" si="14"/>
        <v>1.4537370000000001</v>
      </c>
      <c r="GU38" s="42">
        <v>1.4537370000000001</v>
      </c>
      <c r="GV38" s="42">
        <v>2.8349220000000001E-2</v>
      </c>
      <c r="GW38" s="42">
        <v>2.7219499999999999E-3</v>
      </c>
      <c r="GX38" s="42">
        <v>4.1852569999999999E-2</v>
      </c>
      <c r="GY38" s="42">
        <v>5.7414140000000002E-2</v>
      </c>
      <c r="GZ38" s="42">
        <v>4.4768679999999998E-2</v>
      </c>
      <c r="HA38" s="42">
        <v>1.1443700000000001E-2</v>
      </c>
      <c r="HB38" s="42">
        <v>0.1888176</v>
      </c>
      <c r="HC38" s="42">
        <v>1.5004E-2</v>
      </c>
      <c r="HD38" s="42">
        <v>3.4847999999999997E-2</v>
      </c>
      <c r="HE38" s="42">
        <v>9.3617370000000005E-2</v>
      </c>
      <c r="HF38" s="42">
        <v>0.20818165</v>
      </c>
      <c r="HG38" s="42">
        <v>0.64168911999999989</v>
      </c>
      <c r="HH38" s="42">
        <f t="shared" si="15"/>
        <v>1.3687079999999998</v>
      </c>
      <c r="HI38" s="42">
        <v>0.12627340000000001</v>
      </c>
      <c r="HJ38" s="42"/>
      <c r="HK38" s="42">
        <v>1.9332780000000001E-2</v>
      </c>
      <c r="HL38" s="42">
        <v>0.10904269999999999</v>
      </c>
      <c r="HM38" s="42"/>
      <c r="HN38" s="42"/>
      <c r="HO38" s="42"/>
      <c r="HP38" s="42"/>
      <c r="HQ38" s="42"/>
      <c r="HR38" s="42"/>
      <c r="HS38" s="42"/>
      <c r="HT38" s="42"/>
      <c r="HU38" s="300">
        <f t="shared" si="16"/>
        <v>0.13033800000000001</v>
      </c>
      <c r="HV38" s="300">
        <f t="shared" si="17"/>
        <v>0.25464900000000001</v>
      </c>
      <c r="HW38" s="280">
        <f t="shared" si="18"/>
        <v>0.124311</v>
      </c>
      <c r="HX38" s="280">
        <f t="shared" si="19"/>
        <v>95.375868894719872</v>
      </c>
    </row>
    <row r="39" spans="1:232" s="12" customFormat="1" ht="20.5">
      <c r="A39" s="77" t="s">
        <v>165</v>
      </c>
      <c r="B39" s="13">
        <v>5100</v>
      </c>
      <c r="C39" s="77" t="s">
        <v>166</v>
      </c>
      <c r="D39" s="45">
        <v>0.43936004917444976</v>
      </c>
      <c r="E39" s="42">
        <v>1.3620867268826018</v>
      </c>
      <c r="F39" s="42">
        <v>1.9097002862818082</v>
      </c>
      <c r="G39" s="42">
        <v>9.3767252320703918E-4</v>
      </c>
      <c r="H39" s="42"/>
      <c r="I39" s="42"/>
      <c r="J39" s="42"/>
      <c r="K39" s="42"/>
      <c r="L39" s="42">
        <v>7.1613138229150667E-3</v>
      </c>
      <c r="M39" s="42"/>
      <c r="N39" s="42"/>
      <c r="O39" s="42">
        <v>2.1560776546519372E-2</v>
      </c>
      <c r="P39" s="42">
        <v>1.0806142250000001E-2</v>
      </c>
      <c r="Q39" s="42">
        <v>5.3044376499999995E-3</v>
      </c>
      <c r="R39" s="42">
        <v>1.9592944800000001E-3</v>
      </c>
      <c r="S39" s="42">
        <v>2.5463998499999996E-3</v>
      </c>
      <c r="T39" s="44">
        <v>0</v>
      </c>
      <c r="U39" s="42">
        <v>4.9338080033693603E-2</v>
      </c>
      <c r="V39" s="42">
        <v>0</v>
      </c>
      <c r="W39" s="42">
        <v>1.8497333538226874E-2</v>
      </c>
      <c r="X39" s="42">
        <v>0</v>
      </c>
      <c r="Y39" s="42">
        <v>0</v>
      </c>
      <c r="Z39" s="42">
        <v>0</v>
      </c>
      <c r="AA39" s="42">
        <v>0</v>
      </c>
      <c r="AB39" s="42">
        <v>3.0440919516678905E-2</v>
      </c>
      <c r="AC39" s="42">
        <v>2.1752864240954805E-2</v>
      </c>
      <c r="AD39" s="42">
        <v>9.4895589666535773E-2</v>
      </c>
      <c r="AE39" s="42">
        <v>5.0991457077648961E-2</v>
      </c>
      <c r="AF39" s="42">
        <v>0.11144928031143818</v>
      </c>
      <c r="AG39" s="42">
        <v>3.9288336435193881E-2</v>
      </c>
      <c r="AH39" s="42">
        <v>0.36731578078667737</v>
      </c>
      <c r="AI39" s="42">
        <v>0.36731578078667743</v>
      </c>
      <c r="AJ39" s="42">
        <v>0</v>
      </c>
      <c r="AK39" s="42">
        <v>8.0316845094791714E-2</v>
      </c>
      <c r="AL39" s="42">
        <v>2.5268780485028543E-2</v>
      </c>
      <c r="AM39" s="42">
        <v>0</v>
      </c>
      <c r="AN39" s="42">
        <v>0</v>
      </c>
      <c r="AO39" s="42">
        <v>5.7848276333088595E-2</v>
      </c>
      <c r="AP39" s="42">
        <v>1.8692266976283574E-2</v>
      </c>
      <c r="AQ39" s="42">
        <v>6.9843085696723414E-2</v>
      </c>
      <c r="AR39" s="42">
        <v>5.0252986607930525E-2</v>
      </c>
      <c r="AS39" s="42">
        <v>6.6448113556553459E-2</v>
      </c>
      <c r="AT39" s="42">
        <v>1.031866637070933E-2</v>
      </c>
      <c r="AU39" s="42">
        <v>3.3810279964257457E-2</v>
      </c>
      <c r="AV39" s="42">
        <v>0.41279930108536661</v>
      </c>
      <c r="AW39" s="42">
        <v>0.41279930108536667</v>
      </c>
      <c r="AX39" s="42">
        <v>2.6898999999999999E-2</v>
      </c>
      <c r="AY39" s="42">
        <v>0.12782399999999999</v>
      </c>
      <c r="AZ39" s="42">
        <v>2.1693E-2</v>
      </c>
      <c r="BA39" s="42">
        <v>1.9205E-2</v>
      </c>
      <c r="BB39" s="42">
        <v>2.6329999999999999E-2</v>
      </c>
      <c r="BC39" s="42">
        <v>6.5050000000000004E-3</v>
      </c>
      <c r="BD39" s="42">
        <v>3.5501230000000002E-2</v>
      </c>
      <c r="BE39" s="42">
        <v>4.07E-2</v>
      </c>
      <c r="BF39" s="42">
        <v>3.221504E-2</v>
      </c>
      <c r="BG39" s="42">
        <v>3.1297230000000002E-2</v>
      </c>
      <c r="BH39" s="42">
        <v>0.13910997</v>
      </c>
      <c r="BI39" s="42">
        <v>6.1951999999999997E-3</v>
      </c>
      <c r="BJ39" s="45">
        <f t="shared" si="4"/>
        <v>0.51347466999999991</v>
      </c>
      <c r="BK39" s="45">
        <v>0.51347500000000001</v>
      </c>
      <c r="BL39" s="42">
        <v>9.44768E-3</v>
      </c>
      <c r="BM39" s="42">
        <v>1.83997E-3</v>
      </c>
      <c r="BN39" s="42">
        <v>7.9918080000000002E-2</v>
      </c>
      <c r="BO39" s="42">
        <v>3.4745779999999997E-2</v>
      </c>
      <c r="BP39" s="42">
        <v>9.3547520000000009E-2</v>
      </c>
      <c r="BQ39" s="42">
        <v>0.12483018</v>
      </c>
      <c r="BR39" s="42">
        <v>5.509352E-2</v>
      </c>
      <c r="BS39" s="42">
        <v>2.7661959999999999E-2</v>
      </c>
      <c r="BT39" s="42">
        <v>2.292224E-2</v>
      </c>
      <c r="BU39" s="42">
        <v>2.565336E-2</v>
      </c>
      <c r="BV39" s="42">
        <v>8.6051329999999995E-2</v>
      </c>
      <c r="BW39" s="42">
        <v>2.5000729999999999E-2</v>
      </c>
      <c r="BX39" s="45">
        <f t="shared" si="5"/>
        <v>0.58671234999999999</v>
      </c>
      <c r="BY39" s="45">
        <v>0.58671234999999999</v>
      </c>
      <c r="BZ39" s="45">
        <v>6.8456960000000011E-2</v>
      </c>
      <c r="CA39" s="45">
        <v>3.3162910000000004E-2</v>
      </c>
      <c r="CB39" s="45">
        <v>5.8879180000000003E-2</v>
      </c>
      <c r="CC39" s="45">
        <v>1.7049670000000003E-2</v>
      </c>
      <c r="CD39" s="45">
        <v>2.5327820000000001E-2</v>
      </c>
      <c r="CE39" s="45">
        <v>9.2919829999999995E-2</v>
      </c>
      <c r="CF39" s="45">
        <v>0.13427033000000002</v>
      </c>
      <c r="CG39" s="45">
        <v>3.9681419999999995E-2</v>
      </c>
      <c r="CH39" s="45">
        <v>0.12802682000000001</v>
      </c>
      <c r="CI39" s="45">
        <v>3.7508420000000001E-2</v>
      </c>
      <c r="CJ39" s="45">
        <v>2.9321990000000003E-2</v>
      </c>
      <c r="CK39" s="45">
        <v>7.158007000000001E-2</v>
      </c>
      <c r="CL39" s="45">
        <f t="shared" si="6"/>
        <v>0.73618541999999998</v>
      </c>
      <c r="CM39" s="45">
        <v>0.73618700000000004</v>
      </c>
      <c r="CN39" s="45">
        <v>5.2201699999999997E-3</v>
      </c>
      <c r="CO39" s="45">
        <v>2.0477849999999999E-2</v>
      </c>
      <c r="CP39" s="45">
        <v>4.1316039999999998E-2</v>
      </c>
      <c r="CQ39" s="45">
        <v>6.9989460000000003E-2</v>
      </c>
      <c r="CR39" s="45">
        <v>6.0013519999999994E-2</v>
      </c>
      <c r="CS39" s="45">
        <v>4.457121E-2</v>
      </c>
      <c r="CT39" s="45">
        <v>7.1840320000000013E-2</v>
      </c>
      <c r="CU39" s="45">
        <v>0</v>
      </c>
      <c r="CV39" s="45">
        <v>0.13061844</v>
      </c>
      <c r="CW39" s="45">
        <v>0.16785922</v>
      </c>
      <c r="CX39" s="45">
        <v>0.14769925</v>
      </c>
      <c r="CY39" s="45">
        <v>0.44033153999999997</v>
      </c>
      <c r="CZ39" s="45">
        <f t="shared" si="7"/>
        <v>1.1999370200000001</v>
      </c>
      <c r="DA39" s="45">
        <v>1.199937</v>
      </c>
      <c r="DB39" s="45">
        <v>2.6070659999999999E-2</v>
      </c>
      <c r="DC39" s="45">
        <v>0.1205837</v>
      </c>
      <c r="DD39" s="45">
        <v>4.6040919999999999E-2</v>
      </c>
      <c r="DE39" s="45">
        <v>0</v>
      </c>
      <c r="DF39" s="45">
        <v>0.20211821999999999</v>
      </c>
      <c r="DG39" s="45">
        <v>0.15183589</v>
      </c>
      <c r="DH39" s="45">
        <v>8.9650000000000007E-3</v>
      </c>
      <c r="DI39" s="45">
        <v>0.10417355</v>
      </c>
      <c r="DJ39" s="45">
        <v>0.17543210000000001</v>
      </c>
      <c r="DK39" s="45">
        <v>4.6002630000000003E-2</v>
      </c>
      <c r="DL39" s="45">
        <v>0.11589641000000001</v>
      </c>
      <c r="DM39" s="69">
        <v>0.38323656000000006</v>
      </c>
      <c r="DN39" s="42">
        <f t="shared" si="8"/>
        <v>1.3803556400000001</v>
      </c>
      <c r="DO39" s="45">
        <v>1.3516109999999999</v>
      </c>
      <c r="DP39" s="42">
        <v>0</v>
      </c>
      <c r="DQ39" s="42">
        <v>0</v>
      </c>
      <c r="DR39" s="69">
        <v>7.3626320000000009E-2</v>
      </c>
      <c r="DS39" s="42">
        <v>0</v>
      </c>
      <c r="DT39" s="42">
        <v>3.1326180000000002E-2</v>
      </c>
      <c r="DU39" s="69">
        <v>1.1773180000000001E-2</v>
      </c>
      <c r="DV39" s="42">
        <v>2.9657099999999999E-2</v>
      </c>
      <c r="DW39" s="69">
        <v>6.2978260000000008E-2</v>
      </c>
      <c r="DX39" s="42">
        <v>2.464643E-2</v>
      </c>
      <c r="DY39" s="42">
        <v>0.12990421000000002</v>
      </c>
      <c r="DZ39" s="69">
        <v>0.11514541</v>
      </c>
      <c r="EA39" s="42">
        <v>0.30125189000000002</v>
      </c>
      <c r="EB39" s="42">
        <f t="shared" si="9"/>
        <v>0.78030898000000004</v>
      </c>
      <c r="EC39" s="45">
        <v>0.78030900000000003</v>
      </c>
      <c r="ED39" s="42">
        <v>1.6714360000000001E-2</v>
      </c>
      <c r="EE39" s="42">
        <v>4.54288E-3</v>
      </c>
      <c r="EF39" s="69">
        <v>4.2150109999999998E-2</v>
      </c>
      <c r="EG39" s="42">
        <v>2.5482999999999999E-2</v>
      </c>
      <c r="EH39" s="69">
        <v>0</v>
      </c>
      <c r="EI39" s="42">
        <v>0.26203192000000003</v>
      </c>
      <c r="EJ39" s="42">
        <v>3.0895840000000001E-2</v>
      </c>
      <c r="EK39" s="42">
        <v>3.6808199999999999E-2</v>
      </c>
      <c r="EL39" s="42">
        <v>2.8906900000000003E-2</v>
      </c>
      <c r="EM39" s="42">
        <v>0.15069472999999997</v>
      </c>
      <c r="EN39" s="42">
        <v>0</v>
      </c>
      <c r="EO39" s="69">
        <v>0.14943926000000002</v>
      </c>
      <c r="EP39" s="42">
        <f t="shared" si="10"/>
        <v>0.74766719999999998</v>
      </c>
      <c r="EQ39" s="42">
        <v>0.74766699999999997</v>
      </c>
      <c r="ER39" s="42">
        <v>0.12675175</v>
      </c>
      <c r="ES39" s="42">
        <v>8.9712910000000007E-2</v>
      </c>
      <c r="ET39" s="69">
        <v>8.6452080000000001E-2</v>
      </c>
      <c r="EU39" s="42">
        <v>3.5534070000000001E-2</v>
      </c>
      <c r="EV39" s="43">
        <v>3.7746999999999998E-3</v>
      </c>
      <c r="EW39" s="42">
        <v>5.5310999999999999E-2</v>
      </c>
      <c r="EX39" s="69">
        <v>0.10621000999999999</v>
      </c>
      <c r="EY39" s="42">
        <v>0.18183723000000002</v>
      </c>
      <c r="EZ39" s="42">
        <v>1.818231E-2</v>
      </c>
      <c r="FA39" s="42">
        <v>0.10656446999999999</v>
      </c>
      <c r="FB39" s="42">
        <v>4.0913119999999997E-2</v>
      </c>
      <c r="FC39" s="42">
        <v>0.70539340000000006</v>
      </c>
      <c r="FD39" s="42">
        <f t="shared" si="11"/>
        <v>1.55663705</v>
      </c>
      <c r="FE39" s="42">
        <v>1.556637</v>
      </c>
      <c r="FF39" s="42">
        <v>0</v>
      </c>
      <c r="FG39" s="42">
        <v>0</v>
      </c>
      <c r="FH39" s="42">
        <v>6.9163600000000006E-2</v>
      </c>
      <c r="FI39" s="42">
        <v>0.28848661999999997</v>
      </c>
      <c r="FJ39" s="42">
        <v>-4.1285200000000001E-3</v>
      </c>
      <c r="FK39" s="42">
        <v>0.23598568</v>
      </c>
      <c r="FL39" s="42">
        <v>3.11454E-2</v>
      </c>
      <c r="FM39" s="42">
        <v>0.23407633999999999</v>
      </c>
      <c r="FN39" s="42">
        <v>0.14235335000000002</v>
      </c>
      <c r="FO39" s="42">
        <v>0.14621809</v>
      </c>
      <c r="FP39" s="42">
        <v>7.8934589999999999E-2</v>
      </c>
      <c r="FQ39" s="42">
        <v>0.46169336999999999</v>
      </c>
      <c r="FR39" s="42">
        <f t="shared" si="12"/>
        <v>1.6839285199999998</v>
      </c>
      <c r="FS39" s="42">
        <v>1.6839280000000001</v>
      </c>
      <c r="FT39" s="42">
        <v>0</v>
      </c>
      <c r="FU39" s="42"/>
      <c r="FV39" s="42">
        <v>0.19143417000000001</v>
      </c>
      <c r="FW39" s="42">
        <v>3.7280099999999997E-2</v>
      </c>
      <c r="FX39" s="42">
        <v>1.46289E-2</v>
      </c>
      <c r="FY39" s="42">
        <v>0.29167666999999997</v>
      </c>
      <c r="FZ39" s="42"/>
      <c r="GA39" s="42"/>
      <c r="GB39" s="42">
        <v>8.0985299999999996E-3</v>
      </c>
      <c r="GC39" s="42">
        <v>0.13046592999999998</v>
      </c>
      <c r="GD39" s="42">
        <v>3.9204000000000003E-2</v>
      </c>
      <c r="GE39" s="42">
        <v>0.87746357999999991</v>
      </c>
      <c r="GF39" s="42">
        <f t="shared" si="13"/>
        <v>1.5902518799999998</v>
      </c>
      <c r="GG39" s="42">
        <v>1.590252</v>
      </c>
      <c r="GH39" s="42">
        <v>3.58838E-2</v>
      </c>
      <c r="GI39" s="42">
        <v>3.4397899999999999E-3</v>
      </c>
      <c r="GJ39" s="42">
        <v>0.16106261999999999</v>
      </c>
      <c r="GK39" s="42"/>
      <c r="GL39" s="42">
        <v>1.858487E-2</v>
      </c>
      <c r="GM39" s="42">
        <v>0.13286598000000002</v>
      </c>
      <c r="GN39" s="42">
        <v>4.6827000000000001E-2</v>
      </c>
      <c r="GO39" s="42">
        <v>8.7920499999999992E-3</v>
      </c>
      <c r="GP39" s="42">
        <v>5.4450000000000002E-3</v>
      </c>
      <c r="GQ39" s="42">
        <v>0.22926407999999998</v>
      </c>
      <c r="GR39" s="42">
        <v>1.5245999999999999E-2</v>
      </c>
      <c r="GS39" s="42">
        <v>0.40514787000000002</v>
      </c>
      <c r="GT39" s="42">
        <f t="shared" si="14"/>
        <v>1.0625590600000001</v>
      </c>
      <c r="GU39" s="42">
        <v>1.062559</v>
      </c>
      <c r="GV39" s="42">
        <v>2.8349220000000001E-2</v>
      </c>
      <c r="GW39" s="42">
        <v>2.03419E-3</v>
      </c>
      <c r="GX39" s="42">
        <v>1.8141290000000001E-2</v>
      </c>
      <c r="GY39" s="42">
        <v>1.1148700000000001E-2</v>
      </c>
      <c r="GZ39" s="42">
        <v>2.1662869999999997E-2</v>
      </c>
      <c r="HA39" s="42">
        <v>1.1443700000000001E-2</v>
      </c>
      <c r="HB39" s="42">
        <v>0.17441860000000001</v>
      </c>
      <c r="HC39" s="42"/>
      <c r="HD39" s="42">
        <v>3.4847999999999997E-2</v>
      </c>
      <c r="HE39" s="42">
        <v>3.8535449999999999E-2</v>
      </c>
      <c r="HF39" s="42">
        <v>0.14405607000000001</v>
      </c>
      <c r="HG39" s="42">
        <v>0.55783483999999994</v>
      </c>
      <c r="HH39" s="42">
        <f t="shared" si="15"/>
        <v>1.04247293</v>
      </c>
      <c r="HI39" s="42">
        <v>0.12627340000000001</v>
      </c>
      <c r="HJ39" s="42"/>
      <c r="HK39" s="42">
        <v>1.6334999999999999E-2</v>
      </c>
      <c r="HL39" s="42">
        <v>0.10732449999999999</v>
      </c>
      <c r="HM39" s="42"/>
      <c r="HN39" s="42"/>
      <c r="HO39" s="42"/>
      <c r="HP39" s="42"/>
      <c r="HQ39" s="42"/>
      <c r="HR39" s="42"/>
      <c r="HS39" s="42"/>
      <c r="HT39" s="42"/>
      <c r="HU39" s="300">
        <f t="shared" si="16"/>
        <v>5.9672999999999997E-2</v>
      </c>
      <c r="HV39" s="300">
        <f t="shared" si="17"/>
        <v>0.24993299999999999</v>
      </c>
      <c r="HW39" s="280">
        <f t="shared" si="18"/>
        <v>0.19025999999999998</v>
      </c>
      <c r="HX39" s="280">
        <f t="shared" si="19"/>
        <v>318.8376652757529</v>
      </c>
    </row>
    <row r="40" spans="1:232" s="12" customFormat="1" ht="20.5">
      <c r="A40" s="77" t="s">
        <v>167</v>
      </c>
      <c r="B40" s="13">
        <v>5200</v>
      </c>
      <c r="C40" s="77" t="s">
        <v>168</v>
      </c>
      <c r="D40" s="45">
        <v>0.46911799022202494</v>
      </c>
      <c r="E40" s="42">
        <v>0.79458711105799062</v>
      </c>
      <c r="F40" s="42">
        <v>8.0079225502416029E-2</v>
      </c>
      <c r="G40" s="42">
        <v>1.5441004888987543E-2</v>
      </c>
      <c r="H40" s="42"/>
      <c r="I40" s="42"/>
      <c r="J40" s="42"/>
      <c r="K40" s="42"/>
      <c r="L40" s="42"/>
      <c r="M40" s="42">
        <v>9.248666769113437E-4</v>
      </c>
      <c r="N40" s="42">
        <v>1.7942413532080067E-3</v>
      </c>
      <c r="O40" s="42"/>
      <c r="P40" s="42">
        <v>-4.945902383438356E-4</v>
      </c>
      <c r="Q40" s="42">
        <v>9.6188980402701213E-4</v>
      </c>
      <c r="R40" s="42">
        <v>8.4347840966728701E-3</v>
      </c>
      <c r="S40" s="42">
        <v>5.1277454286059905E-4</v>
      </c>
      <c r="T40" s="44">
        <v>0</v>
      </c>
      <c r="U40" s="42">
        <v>1.2134250801076831E-2</v>
      </c>
      <c r="V40" s="42">
        <v>0</v>
      </c>
      <c r="W40" s="42">
        <v>0</v>
      </c>
      <c r="X40" s="42">
        <v>0</v>
      </c>
      <c r="Y40" s="42">
        <v>0</v>
      </c>
      <c r="Z40" s="42">
        <v>9.8889590838982131E-4</v>
      </c>
      <c r="AA40" s="42">
        <v>0.25870655260926234</v>
      </c>
      <c r="AB40" s="42">
        <v>1.7568198245883633E-2</v>
      </c>
      <c r="AC40" s="42">
        <v>0</v>
      </c>
      <c r="AD40" s="42">
        <v>4.6229105127460861E-3</v>
      </c>
      <c r="AE40" s="42">
        <v>1.7147028189936311E-2</v>
      </c>
      <c r="AF40" s="42">
        <v>5.5918862157870479E-3</v>
      </c>
      <c r="AG40" s="42">
        <v>5.1664475444078298E-3</v>
      </c>
      <c r="AH40" s="42">
        <v>0.30979191922641303</v>
      </c>
      <c r="AI40" s="42">
        <v>0.30979191922641308</v>
      </c>
      <c r="AJ40" s="42">
        <v>4.254386713792181E-4</v>
      </c>
      <c r="AK40" s="42">
        <v>0</v>
      </c>
      <c r="AL40" s="42">
        <v>2.1499593058662159E-2</v>
      </c>
      <c r="AM40" s="42">
        <v>3.3268165804406349E-2</v>
      </c>
      <c r="AN40" s="42">
        <v>9.5716586701270912E-3</v>
      </c>
      <c r="AO40" s="42">
        <v>4.3966738948554644E-4</v>
      </c>
      <c r="AP40" s="42">
        <v>2.7119936710661863E-3</v>
      </c>
      <c r="AQ40" s="42">
        <v>0</v>
      </c>
      <c r="AR40" s="42">
        <v>0</v>
      </c>
      <c r="AS40" s="42">
        <v>0</v>
      </c>
      <c r="AT40" s="42">
        <v>0.1658143664520976</v>
      </c>
      <c r="AU40" s="42">
        <v>0.16751754400942512</v>
      </c>
      <c r="AV40" s="42">
        <v>0.40124842772664926</v>
      </c>
      <c r="AW40" s="42">
        <v>0.40124985059845986</v>
      </c>
      <c r="AX40" s="42"/>
      <c r="AY40" s="42"/>
      <c r="AZ40" s="42"/>
      <c r="BA40" s="42"/>
      <c r="BB40" s="42">
        <v>3.7753000000000002E-2</v>
      </c>
      <c r="BC40" s="42">
        <v>9.9999999999999995E-7</v>
      </c>
      <c r="BD40" s="42">
        <v>5.0000200000000009E-3</v>
      </c>
      <c r="BE40" s="42"/>
      <c r="BF40" s="42"/>
      <c r="BG40" s="42">
        <v>2.99E-4</v>
      </c>
      <c r="BH40" s="42">
        <v>4.2682949999999997E-2</v>
      </c>
      <c r="BI40" s="42">
        <v>6.7651249999999996E-2</v>
      </c>
      <c r="BJ40" s="45">
        <f t="shared" si="4"/>
        <v>0.15338721999999999</v>
      </c>
      <c r="BK40" s="45">
        <v>0.153387</v>
      </c>
      <c r="BL40" s="42"/>
      <c r="BM40" s="42">
        <v>0</v>
      </c>
      <c r="BN40" s="42">
        <v>1.507754E-2</v>
      </c>
      <c r="BO40" s="42">
        <v>4.7544760000000005E-2</v>
      </c>
      <c r="BP40" s="42">
        <v>1.5246700000000001E-3</v>
      </c>
      <c r="BQ40" s="42">
        <v>6.1219000000000009E-4</v>
      </c>
      <c r="BR40" s="42">
        <v>2.0627110000000001E-2</v>
      </c>
      <c r="BS40" s="42">
        <v>0</v>
      </c>
      <c r="BT40" s="42">
        <v>4.1139999999999996E-3</v>
      </c>
      <c r="BU40" s="42">
        <v>0.18556182000000002</v>
      </c>
      <c r="BV40" s="42">
        <v>4.3558800000000003E-3</v>
      </c>
      <c r="BW40" s="42">
        <v>0</v>
      </c>
      <c r="BX40" s="45">
        <f t="shared" si="5"/>
        <v>0.27941797000000002</v>
      </c>
      <c r="BY40" s="45">
        <v>0.27941797000000002</v>
      </c>
      <c r="BZ40" s="45">
        <v>0</v>
      </c>
      <c r="CA40" s="45">
        <v>0</v>
      </c>
      <c r="CB40" s="45">
        <v>0</v>
      </c>
      <c r="CC40" s="45">
        <v>0.33861946000000004</v>
      </c>
      <c r="CD40" s="45">
        <v>0</v>
      </c>
      <c r="CE40" s="45">
        <v>9.9122089999999996E-2</v>
      </c>
      <c r="CF40" s="45">
        <v>0</v>
      </c>
      <c r="CG40" s="45">
        <v>0</v>
      </c>
      <c r="CH40" s="45">
        <v>8.564E-4</v>
      </c>
      <c r="CI40" s="45">
        <v>1.1848319999999999E-2</v>
      </c>
      <c r="CJ40" s="45">
        <v>2.3941380000000002E-2</v>
      </c>
      <c r="CK40" s="45">
        <v>2.5161799999999998E-2</v>
      </c>
      <c r="CL40" s="45">
        <f t="shared" si="6"/>
        <v>0.49954945000000006</v>
      </c>
      <c r="CM40" s="45">
        <v>0.49954799999999999</v>
      </c>
      <c r="CN40" s="45">
        <v>3.8506599999999997E-3</v>
      </c>
      <c r="CO40" s="45">
        <v>0</v>
      </c>
      <c r="CP40" s="45">
        <v>1.287428E-2</v>
      </c>
      <c r="CQ40" s="45">
        <v>5.0050040000000004E-2</v>
      </c>
      <c r="CR40" s="45">
        <v>5.9048E-3</v>
      </c>
      <c r="CS40" s="45">
        <v>1.825309E-2</v>
      </c>
      <c r="CT40" s="45">
        <v>9.1489400000000012E-3</v>
      </c>
      <c r="CU40" s="45">
        <v>8.851545999999999E-2</v>
      </c>
      <c r="CV40" s="45">
        <v>0</v>
      </c>
      <c r="CW40" s="45">
        <v>4.2744000000000001E-4</v>
      </c>
      <c r="CX40" s="45">
        <v>2.1741999999999999E-4</v>
      </c>
      <c r="CY40" s="45">
        <v>6.9779569999999999E-2</v>
      </c>
      <c r="CZ40" s="45">
        <f t="shared" si="7"/>
        <v>0.25902170000000002</v>
      </c>
      <c r="DA40" s="45">
        <v>0.25902199999999997</v>
      </c>
      <c r="DB40" s="45">
        <v>2.2824999999999998E-3</v>
      </c>
      <c r="DC40" s="45">
        <v>0</v>
      </c>
      <c r="DD40" s="45">
        <v>6.87E-4</v>
      </c>
      <c r="DE40" s="45">
        <v>2.8297299999999999E-3</v>
      </c>
      <c r="DF40" s="45">
        <v>1.1459229999999999E-2</v>
      </c>
      <c r="DG40" s="45">
        <v>2.196915E-2</v>
      </c>
      <c r="DH40" s="45">
        <v>2.351199999999999E-4</v>
      </c>
      <c r="DI40" s="45">
        <v>2.368526E-2</v>
      </c>
      <c r="DJ40" s="45">
        <v>3.6191099999999997E-2</v>
      </c>
      <c r="DK40" s="45">
        <v>4.47994E-3</v>
      </c>
      <c r="DL40" s="45">
        <v>1.34235E-2</v>
      </c>
      <c r="DM40" s="69">
        <v>0.29709234000000001</v>
      </c>
      <c r="DN40" s="42">
        <f t="shared" si="8"/>
        <v>0.41433487000000002</v>
      </c>
      <c r="DO40" s="45">
        <v>0.44307999999999997</v>
      </c>
      <c r="DP40" s="42">
        <v>5.4268500000000004E-3</v>
      </c>
      <c r="DQ40" s="42">
        <v>0</v>
      </c>
      <c r="DR40" s="69">
        <v>0</v>
      </c>
      <c r="DS40" s="42">
        <v>0</v>
      </c>
      <c r="DT40" s="42">
        <v>0</v>
      </c>
      <c r="DU40" s="69">
        <v>1.0023200000000001E-3</v>
      </c>
      <c r="DV40" s="42">
        <v>1.7847560000000002E-2</v>
      </c>
      <c r="DW40" s="69">
        <v>7.9662990000000003E-2</v>
      </c>
      <c r="DX40" s="42">
        <v>0</v>
      </c>
      <c r="DY40" s="42">
        <v>2.0722020000000001E-2</v>
      </c>
      <c r="DZ40" s="69">
        <v>0</v>
      </c>
      <c r="EA40" s="42">
        <v>0.20109527999999999</v>
      </c>
      <c r="EB40" s="42">
        <f t="shared" si="9"/>
        <v>0.32575702000000001</v>
      </c>
      <c r="EC40" s="45">
        <v>0.32575700000000002</v>
      </c>
      <c r="ED40" s="42">
        <v>1.2298440000000001E-2</v>
      </c>
      <c r="EE40" s="42">
        <v>0.29309049999999998</v>
      </c>
      <c r="EF40" s="69">
        <v>0</v>
      </c>
      <c r="EG40" s="42">
        <v>1.257843E-2</v>
      </c>
      <c r="EH40" s="42">
        <v>3.2291E-2</v>
      </c>
      <c r="EI40" s="42">
        <v>0</v>
      </c>
      <c r="EJ40" s="42">
        <v>0</v>
      </c>
      <c r="EK40" s="42">
        <v>2.9778199999999998E-2</v>
      </c>
      <c r="EL40" s="42">
        <v>1.8029000000000001E-3</v>
      </c>
      <c r="EM40" s="42">
        <v>0</v>
      </c>
      <c r="EN40" s="42">
        <v>4.9588940000000005E-2</v>
      </c>
      <c r="EO40" s="69">
        <v>9.2693500000000009E-3</v>
      </c>
      <c r="EP40" s="42">
        <f t="shared" si="10"/>
        <v>0.44069775999999999</v>
      </c>
      <c r="EQ40" s="42">
        <v>0.44069700000000001</v>
      </c>
      <c r="ER40" s="42">
        <v>0</v>
      </c>
      <c r="ES40" s="42">
        <v>0</v>
      </c>
      <c r="ET40" s="69"/>
      <c r="EU40" s="42">
        <v>2.0623119999999998E-2</v>
      </c>
      <c r="EV40" s="43">
        <v>0</v>
      </c>
      <c r="EW40" s="42">
        <v>0</v>
      </c>
      <c r="EX40" s="69">
        <v>1.513607E-2</v>
      </c>
      <c r="EY40" s="42">
        <v>0</v>
      </c>
      <c r="EZ40" s="42">
        <v>3.2427029999999996E-2</v>
      </c>
      <c r="FA40" s="42">
        <v>0.20814142000000002</v>
      </c>
      <c r="FB40" s="42">
        <v>-0.16115905999999999</v>
      </c>
      <c r="FC40" s="42">
        <v>3.4121999999999998E-3</v>
      </c>
      <c r="FD40" s="42">
        <f t="shared" si="11"/>
        <v>0.11858078</v>
      </c>
      <c r="FE40" s="42">
        <v>0.11858100000000001</v>
      </c>
      <c r="FF40" s="42">
        <v>2.2808500000000001E-3</v>
      </c>
      <c r="FG40" s="42">
        <v>0</v>
      </c>
      <c r="FH40" s="42"/>
      <c r="FI40" s="42">
        <v>3.1943999999999999E-4</v>
      </c>
      <c r="FJ40" s="42">
        <v>8.7767399999999999E-3</v>
      </c>
      <c r="FK40" s="42"/>
      <c r="FL40" s="42">
        <v>4.0837499999999997E-3</v>
      </c>
      <c r="FM40" s="42">
        <v>0.24751100000000001</v>
      </c>
      <c r="FN40" s="42">
        <v>1.2799969999999999E-2</v>
      </c>
      <c r="FO40" s="42">
        <v>4.6243300000000003E-3</v>
      </c>
      <c r="FP40" s="42">
        <v>4.5999999999999999E-2</v>
      </c>
      <c r="FQ40" s="42">
        <v>1.7786830000000003E-2</v>
      </c>
      <c r="FR40" s="42">
        <f t="shared" si="12"/>
        <v>0.34418291000000001</v>
      </c>
      <c r="FS40" s="42">
        <v>0.34418300000000002</v>
      </c>
      <c r="FT40" s="42">
        <v>0</v>
      </c>
      <c r="FU40" s="42"/>
      <c r="FV40" s="42">
        <v>1.7540159999999999E-2</v>
      </c>
      <c r="FW40" s="42"/>
      <c r="FX40" s="42">
        <v>0.14263286999999999</v>
      </c>
      <c r="FY40" s="42"/>
      <c r="FZ40" s="42"/>
      <c r="GA40" s="42"/>
      <c r="GB40" s="42"/>
      <c r="GC40" s="42"/>
      <c r="GD40" s="42"/>
      <c r="GE40" s="42">
        <v>7.1546999999999999E-2</v>
      </c>
      <c r="GF40" s="42">
        <f t="shared" si="13"/>
        <v>0.23172002999999999</v>
      </c>
      <c r="GG40" s="42">
        <v>0.23172000000000001</v>
      </c>
      <c r="GH40" s="42"/>
      <c r="GI40" s="42"/>
      <c r="GJ40" s="42"/>
      <c r="GK40" s="42"/>
      <c r="GL40" s="42"/>
      <c r="GM40" s="42">
        <v>1.9949939999999999E-2</v>
      </c>
      <c r="GN40" s="42">
        <v>0.371228</v>
      </c>
      <c r="GO40" s="42"/>
      <c r="GP40" s="42"/>
      <c r="GQ40" s="42"/>
      <c r="GR40" s="42"/>
      <c r="GS40" s="42"/>
      <c r="GT40" s="42">
        <f t="shared" si="14"/>
        <v>0.39117794</v>
      </c>
      <c r="GU40" s="42">
        <v>0.39117800000000003</v>
      </c>
      <c r="GV40" s="42"/>
      <c r="GW40" s="42">
        <v>6.8776000000000004E-4</v>
      </c>
      <c r="GX40" s="42">
        <v>2.3711279999999998E-2</v>
      </c>
      <c r="GY40" s="42">
        <v>4.6265440000000005E-2</v>
      </c>
      <c r="GZ40" s="42">
        <v>2.3105810000000001E-2</v>
      </c>
      <c r="HA40" s="42"/>
      <c r="HB40" s="42">
        <v>1.4399E-2</v>
      </c>
      <c r="HC40" s="42">
        <v>1.5004E-2</v>
      </c>
      <c r="HD40" s="42"/>
      <c r="HE40" s="42">
        <v>5.5081919999999999E-2</v>
      </c>
      <c r="HF40" s="42">
        <v>6.4125580000000001E-2</v>
      </c>
      <c r="HG40" s="42">
        <v>8.3854280000000003E-2</v>
      </c>
      <c r="HH40" s="42">
        <f t="shared" si="15"/>
        <v>0.32623507000000002</v>
      </c>
      <c r="HI40" s="42"/>
      <c r="HJ40" s="42"/>
      <c r="HK40" s="42">
        <v>2.9977800000000002E-3</v>
      </c>
      <c r="HL40" s="42">
        <v>1.7182E-3</v>
      </c>
      <c r="HM40" s="42"/>
      <c r="HN40" s="42"/>
      <c r="HO40" s="42"/>
      <c r="HP40" s="42"/>
      <c r="HQ40" s="42"/>
      <c r="HR40" s="42"/>
      <c r="HS40" s="42"/>
      <c r="HT40" s="42"/>
      <c r="HU40" s="300">
        <f t="shared" si="16"/>
        <v>7.0664000000000005E-2</v>
      </c>
      <c r="HV40" s="300">
        <f t="shared" si="17"/>
        <v>4.7159999999999997E-3</v>
      </c>
      <c r="HW40" s="280">
        <f t="shared" si="18"/>
        <v>-6.5948000000000007E-2</v>
      </c>
      <c r="HX40" s="280">
        <f t="shared" si="19"/>
        <v>-93.326163251443447</v>
      </c>
    </row>
    <row r="41" spans="1:232" s="12" customFormat="1" ht="21" customHeight="1">
      <c r="A41" s="51"/>
      <c r="B41" s="13"/>
      <c r="C41" s="51"/>
      <c r="D41" s="45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5"/>
      <c r="BK41" s="45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5">
        <f t="shared" si="5"/>
        <v>0</v>
      </c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>
        <f t="shared" si="6"/>
        <v>0</v>
      </c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>
        <f t="shared" si="7"/>
        <v>0</v>
      </c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69"/>
      <c r="DN41" s="42">
        <f t="shared" si="8"/>
        <v>0</v>
      </c>
      <c r="DO41" s="45"/>
      <c r="DP41" s="42"/>
      <c r="DQ41" s="42"/>
      <c r="DR41" s="69"/>
      <c r="DS41" s="42"/>
      <c r="DT41" s="42"/>
      <c r="DU41" s="69"/>
      <c r="DV41" s="42"/>
      <c r="DW41" s="69"/>
      <c r="DX41" s="42"/>
      <c r="DY41" s="42"/>
      <c r="DZ41" s="69"/>
      <c r="EA41" s="42"/>
      <c r="EB41" s="42">
        <f t="shared" si="9"/>
        <v>0</v>
      </c>
      <c r="EC41" s="45"/>
      <c r="ED41" s="42"/>
      <c r="EE41" s="42"/>
      <c r="EF41" s="69"/>
      <c r="EG41" s="42"/>
      <c r="EH41" s="42"/>
      <c r="EI41" s="42"/>
      <c r="EJ41" s="42"/>
      <c r="EK41" s="42"/>
      <c r="EL41" s="42"/>
      <c r="EM41" s="42"/>
      <c r="EN41" s="42"/>
      <c r="EO41" s="69"/>
      <c r="EP41" s="42"/>
      <c r="EQ41" s="42"/>
      <c r="ER41" s="42"/>
      <c r="ES41" s="179"/>
      <c r="EU41" s="42"/>
      <c r="EW41" s="183"/>
      <c r="EY41" s="183"/>
      <c r="EZ41" s="183"/>
      <c r="FA41" s="183"/>
      <c r="FB41" s="183"/>
      <c r="FC41" s="183"/>
      <c r="FD41" s="42"/>
      <c r="FE41" s="227"/>
      <c r="FF41" s="183"/>
      <c r="FG41" s="191"/>
      <c r="FH41" s="183"/>
      <c r="FI41" s="183"/>
      <c r="FJ41" s="183"/>
      <c r="FK41" s="183"/>
      <c r="FL41" s="183"/>
      <c r="FM41" s="183"/>
      <c r="FN41" s="183"/>
      <c r="FO41" s="183"/>
      <c r="FP41" s="183"/>
      <c r="FQ41" s="183"/>
      <c r="FR41" s="42"/>
      <c r="FS41" s="227"/>
      <c r="FT41" s="183"/>
      <c r="FU41" s="183"/>
      <c r="FV41" s="183"/>
      <c r="FW41" s="183"/>
      <c r="FX41" s="183"/>
      <c r="FY41" s="183"/>
      <c r="FZ41" s="183"/>
      <c r="GA41" s="183"/>
      <c r="GB41" s="183"/>
      <c r="GC41" s="183"/>
      <c r="GD41" s="183"/>
      <c r="GE41" s="183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>
        <f t="shared" si="15"/>
        <v>0</v>
      </c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300"/>
      <c r="HV41" s="300"/>
      <c r="HW41" s="280"/>
      <c r="HX41" s="280"/>
    </row>
    <row r="42" spans="1:232" s="12" customFormat="1" ht="20">
      <c r="A42" s="58" t="s">
        <v>180</v>
      </c>
      <c r="C42" s="58" t="s">
        <v>181</v>
      </c>
      <c r="D42" s="58">
        <v>540.1804002253831</v>
      </c>
      <c r="E42" s="58">
        <v>323.40641202952753</v>
      </c>
      <c r="F42" s="58">
        <v>-303.08841440856895</v>
      </c>
      <c r="G42" s="58">
        <v>-477.74515512148497</v>
      </c>
      <c r="H42" s="58">
        <v>-33.796976112828048</v>
      </c>
      <c r="I42" s="58">
        <v>-28.447395902698332</v>
      </c>
      <c r="J42" s="58">
        <v>-29.994832129583784</v>
      </c>
      <c r="K42" s="58">
        <v>-21.617359889812814</v>
      </c>
      <c r="L42" s="58">
        <v>-17.731583770154995</v>
      </c>
      <c r="M42" s="58">
        <v>-13.859296475261912</v>
      </c>
      <c r="N42" s="58">
        <v>7.3839833011764293</v>
      </c>
      <c r="O42" s="58">
        <v>-21.818085839010593</v>
      </c>
      <c r="P42" s="58">
        <v>-11.010335740832453</v>
      </c>
      <c r="Q42" s="58">
        <v>-9.8168579006380146</v>
      </c>
      <c r="R42" s="58">
        <v>-19.249107859374739</v>
      </c>
      <c r="S42" s="58">
        <v>22.295043852909217</v>
      </c>
      <c r="T42" s="58">
        <v>-177.66280446611</v>
      </c>
      <c r="U42" s="58">
        <v>-177.66573610850253</v>
      </c>
      <c r="V42" s="58">
        <v>-29.163227585500362</v>
      </c>
      <c r="W42" s="58">
        <v>-16.611097589086015</v>
      </c>
      <c r="X42" s="58">
        <v>-37.227524316879197</v>
      </c>
      <c r="Y42" s="58">
        <v>-18.561587939169364</v>
      </c>
      <c r="Z42" s="58">
        <v>11.051831307163885</v>
      </c>
      <c r="AA42" s="58">
        <v>8.2935597976107029</v>
      </c>
      <c r="AB42" s="58">
        <v>6.7085090580019591</v>
      </c>
      <c r="AC42" s="58">
        <v>0.23565033778974762</v>
      </c>
      <c r="AD42" s="58">
        <v>-6.6380811719910424</v>
      </c>
      <c r="AE42" s="58">
        <v>-1.8428011223612919</v>
      </c>
      <c r="AF42" s="58">
        <v>0.53045514823476092</v>
      </c>
      <c r="AG42" s="58">
        <v>12.820352473804924</v>
      </c>
      <c r="AH42" s="58">
        <v>-70.403961602381287</v>
      </c>
      <c r="AI42" s="58">
        <v>-70.406141683883419</v>
      </c>
      <c r="AJ42" s="58">
        <v>-0.81891395040435944</v>
      </c>
      <c r="AK42" s="58">
        <v>-9.5561550588784581</v>
      </c>
      <c r="AL42" s="58">
        <v>-14.929892260146506</v>
      </c>
      <c r="AM42" s="58">
        <v>-18.610349400401788</v>
      </c>
      <c r="AN42" s="58">
        <v>14.861615272536877</v>
      </c>
      <c r="AO42" s="58">
        <v>-6.7587449701481708</v>
      </c>
      <c r="AP42" s="58">
        <v>8.0448019647013993</v>
      </c>
      <c r="AQ42" s="58">
        <v>6.8789107631715201</v>
      </c>
      <c r="AR42" s="58">
        <v>-14.553428836489298</v>
      </c>
      <c r="AS42" s="58">
        <v>-3.7026212144495219</v>
      </c>
      <c r="AT42" s="58">
        <v>-18.325988469046859</v>
      </c>
      <c r="AU42" s="58">
        <v>-0.44031621903117096</v>
      </c>
      <c r="AV42" s="58">
        <v>-57.911082378586336</v>
      </c>
      <c r="AW42" s="58">
        <v>-57.911140232554168</v>
      </c>
      <c r="AX42" s="58">
        <f t="shared" ref="AX42:BG42" si="29">AX7-AX15</f>
        <v>28.085940999999991</v>
      </c>
      <c r="AY42" s="58">
        <f t="shared" si="29"/>
        <v>-2.2096659999999986</v>
      </c>
      <c r="AZ42" s="58">
        <f t="shared" si="29"/>
        <v>-2.0763970000000143</v>
      </c>
      <c r="BA42" s="58">
        <f t="shared" si="29"/>
        <v>-25.772334000000001</v>
      </c>
      <c r="BB42" s="58">
        <f t="shared" si="29"/>
        <v>46.831741999999963</v>
      </c>
      <c r="BC42" s="58">
        <f t="shared" si="29"/>
        <v>3.1662689999999714</v>
      </c>
      <c r="BD42" s="58">
        <f t="shared" si="29"/>
        <v>29.31453357999996</v>
      </c>
      <c r="BE42" s="58">
        <f t="shared" si="29"/>
        <v>18.834974999999986</v>
      </c>
      <c r="BF42" s="58">
        <f t="shared" si="29"/>
        <v>-7.9989459899999815</v>
      </c>
      <c r="BG42" s="58">
        <f t="shared" si="29"/>
        <v>15.404581549999961</v>
      </c>
      <c r="BH42" s="58">
        <f>BH7-BH15</f>
        <v>3.8802219900000239</v>
      </c>
      <c r="BI42" s="64">
        <f>BI7-BI15</f>
        <v>-7.1090895699999237</v>
      </c>
      <c r="BJ42" s="64">
        <f t="shared" si="4"/>
        <v>100.35183155999994</v>
      </c>
      <c r="BK42" s="64">
        <f>BK7-BK15</f>
        <v>100.35182799999984</v>
      </c>
      <c r="BL42" s="64">
        <f>BL7-BL15</f>
        <v>30.293167959999977</v>
      </c>
      <c r="BM42" s="64">
        <v>-3.7412102699999821</v>
      </c>
      <c r="BN42" s="64">
        <v>-35.745109509999907</v>
      </c>
      <c r="BO42" s="64">
        <v>10.894002750000027</v>
      </c>
      <c r="BP42" s="64">
        <v>39.04293106999998</v>
      </c>
      <c r="BQ42" s="64">
        <v>-19.439325179999969</v>
      </c>
      <c r="BR42" s="64">
        <v>33.475480979999929</v>
      </c>
      <c r="BS42" s="64">
        <v>26.066225219999978</v>
      </c>
      <c r="BT42" s="64">
        <v>-19.741605299999975</v>
      </c>
      <c r="BU42" s="64">
        <v>24.224396609999957</v>
      </c>
      <c r="BV42" s="64">
        <v>-0.79864929000001439</v>
      </c>
      <c r="BW42" s="64">
        <v>6.6016457899999637</v>
      </c>
      <c r="BX42" s="64">
        <f t="shared" si="5"/>
        <v>91.131950829999965</v>
      </c>
      <c r="BY42" s="64">
        <f>BY7-BY15</f>
        <v>91.13195228999939</v>
      </c>
      <c r="BZ42" s="64">
        <v>9.6056476999999916</v>
      </c>
      <c r="CA42" s="64">
        <v>-10.143730570000059</v>
      </c>
      <c r="CB42" s="64">
        <v>-25.834440159999929</v>
      </c>
      <c r="CC42" s="64">
        <v>12.010921940000031</v>
      </c>
      <c r="CD42" s="64">
        <v>-1.8957503999999972</v>
      </c>
      <c r="CE42" s="64">
        <v>4.1597381500000381</v>
      </c>
      <c r="CF42" s="64">
        <v>43.378117399999951</v>
      </c>
      <c r="CG42" s="64">
        <v>-13.059678359999992</v>
      </c>
      <c r="CH42" s="64">
        <v>-5.9368914500000187</v>
      </c>
      <c r="CI42" s="64">
        <v>15.398094009999937</v>
      </c>
      <c r="CJ42" s="64">
        <v>-19.339799779999936</v>
      </c>
      <c r="CK42" s="64">
        <v>39.004743390000073</v>
      </c>
      <c r="CL42" s="64">
        <f t="shared" si="6"/>
        <v>47.34697187000009</v>
      </c>
      <c r="CM42" s="64">
        <f>CM7-CM15</f>
        <v>47.822461999999177</v>
      </c>
      <c r="CN42" s="64">
        <v>-21.799127470000002</v>
      </c>
      <c r="CO42" s="64">
        <v>-14.780299239999977</v>
      </c>
      <c r="CP42" s="64">
        <v>-17.743228270000003</v>
      </c>
      <c r="CQ42" s="64">
        <v>-0.43779270999996811</v>
      </c>
      <c r="CR42" s="64">
        <v>30.21549939999997</v>
      </c>
      <c r="CS42" s="64">
        <v>11.815858690000056</v>
      </c>
      <c r="CT42" s="64">
        <v>52.847975030000015</v>
      </c>
      <c r="CU42" s="64">
        <v>9.2141214800000171</v>
      </c>
      <c r="CV42" s="64">
        <v>14.423426499999977</v>
      </c>
      <c r="CW42" s="64">
        <v>0.60768423999996912</v>
      </c>
      <c r="CX42" s="64">
        <v>5.4069049500000119</v>
      </c>
      <c r="CY42" s="64">
        <v>44.050043369999969</v>
      </c>
      <c r="CZ42" s="64">
        <f t="shared" si="7"/>
        <v>113.82106597000003</v>
      </c>
      <c r="DA42" s="64">
        <f>DA7-DA15</f>
        <v>113.83976400000029</v>
      </c>
      <c r="DB42" s="64">
        <v>-15.709891360000015</v>
      </c>
      <c r="DC42" s="64">
        <v>-3.1457377500000594</v>
      </c>
      <c r="DD42" s="64">
        <v>-15.109231579999983</v>
      </c>
      <c r="DE42" s="64">
        <v>15.870519900000065</v>
      </c>
      <c r="DF42" s="64">
        <v>34.904921099999996</v>
      </c>
      <c r="DG42" s="64">
        <v>37.864746060000151</v>
      </c>
      <c r="DH42" s="64">
        <v>42.520225739999979</v>
      </c>
      <c r="DI42" s="64">
        <v>26.899524269999951</v>
      </c>
      <c r="DJ42" s="64">
        <v>24.726736800000133</v>
      </c>
      <c r="DK42" s="64">
        <v>13.781348129999966</v>
      </c>
      <c r="DL42" s="64">
        <v>15.674671660000026</v>
      </c>
      <c r="DM42" s="64">
        <v>23.953897099999995</v>
      </c>
      <c r="DN42" s="58">
        <f t="shared" si="8"/>
        <v>202.23173007000022</v>
      </c>
      <c r="DO42" s="64">
        <f>DO7-DO15</f>
        <v>202.23172999999997</v>
      </c>
      <c r="DP42" s="58">
        <v>30.062850770000161</v>
      </c>
      <c r="DQ42" s="58">
        <v>6.3726893600000141</v>
      </c>
      <c r="DR42" s="79">
        <v>12.140424770000131</v>
      </c>
      <c r="DS42" s="58">
        <v>1.9462300600001217</v>
      </c>
      <c r="DT42" s="58">
        <v>48.256782840000064</v>
      </c>
      <c r="DU42" s="79">
        <v>39.256849449999962</v>
      </c>
      <c r="DV42" s="58">
        <v>44.380051369999975</v>
      </c>
      <c r="DW42" s="64">
        <v>52.042229110000015</v>
      </c>
      <c r="DX42" s="58">
        <v>12.935009280000001</v>
      </c>
      <c r="DY42" s="58">
        <v>13.054496019999981</v>
      </c>
      <c r="DZ42" s="79">
        <v>29.199134780000062</v>
      </c>
      <c r="EA42" s="58">
        <v>9.9039295500001305</v>
      </c>
      <c r="EB42" s="58">
        <f t="shared" si="9"/>
        <v>299.55067736000069</v>
      </c>
      <c r="EC42" s="64">
        <f>EC7-EC15</f>
        <v>299.55068100000017</v>
      </c>
      <c r="ED42" s="58">
        <v>22.494116250000058</v>
      </c>
      <c r="EE42" s="58">
        <v>19.172584470000089</v>
      </c>
      <c r="EF42" s="64">
        <v>-35.370507350000054</v>
      </c>
      <c r="EG42" s="58">
        <v>-17.362308530000032</v>
      </c>
      <c r="EH42" s="58">
        <v>4.1942787600000795</v>
      </c>
      <c r="EI42" s="58">
        <v>-37.729647319999934</v>
      </c>
      <c r="EJ42" s="58">
        <v>44.377915379999962</v>
      </c>
      <c r="EK42" s="58">
        <v>28.132233380000024</v>
      </c>
      <c r="EL42" s="58">
        <v>-9.630079100000053</v>
      </c>
      <c r="EM42" s="58">
        <v>28.163168799999802</v>
      </c>
      <c r="EN42" s="58">
        <v>0.85732655999988316</v>
      </c>
      <c r="EO42" s="79">
        <v>67.612173169999892</v>
      </c>
      <c r="EP42" s="58">
        <f t="shared" si="10"/>
        <v>114.91125446999972</v>
      </c>
      <c r="EQ42" s="64">
        <f>EQ7-EQ15</f>
        <v>114.91125499999953</v>
      </c>
      <c r="ER42" s="58">
        <v>-62.808075040000084</v>
      </c>
      <c r="ES42" s="58">
        <v>-24.545598869999974</v>
      </c>
      <c r="ET42" s="58">
        <v>-66.760505460000005</v>
      </c>
      <c r="EU42" s="58">
        <v>6.6108788599999846</v>
      </c>
      <c r="EV42" s="64">
        <v>34.323186599999993</v>
      </c>
      <c r="EW42" s="58">
        <v>27.288266080000103</v>
      </c>
      <c r="EX42" s="79">
        <v>61.101770880000004</v>
      </c>
      <c r="EY42" s="58">
        <v>26.197430420000003</v>
      </c>
      <c r="EZ42" s="58">
        <v>29.202435620000003</v>
      </c>
      <c r="FA42" s="58">
        <v>32.397036170000106</v>
      </c>
      <c r="FB42" s="58">
        <v>-24.738862609999984</v>
      </c>
      <c r="FC42" s="58">
        <v>162.25652275000019</v>
      </c>
      <c r="FD42" s="58">
        <f>SUM(ER42:FC42)</f>
        <v>200.52448540000034</v>
      </c>
      <c r="FE42" s="64">
        <f>FE7-FE15</f>
        <v>200.52448499999991</v>
      </c>
      <c r="FF42" s="58">
        <v>108.55417858</v>
      </c>
      <c r="FG42" s="58">
        <v>-9.8185386699997181</v>
      </c>
      <c r="FH42" s="58">
        <v>-20.590076870000189</v>
      </c>
      <c r="FI42" s="58">
        <v>9.551100480000116</v>
      </c>
      <c r="FJ42" s="58">
        <v>57.082779360000131</v>
      </c>
      <c r="FK42" s="58">
        <v>60.222780920000218</v>
      </c>
      <c r="FL42" s="58">
        <v>121.86112763999995</v>
      </c>
      <c r="FM42" s="58">
        <v>23.515068540000186</v>
      </c>
      <c r="FN42" s="58">
        <v>-30.249526730000127</v>
      </c>
      <c r="FO42" s="58">
        <v>51.869404330000123</v>
      </c>
      <c r="FP42" s="58">
        <v>-22.523368869999956</v>
      </c>
      <c r="FQ42" s="58">
        <v>-5.9486898499997096</v>
      </c>
      <c r="FR42" s="58">
        <f>SUM(FF42:FQ42)</f>
        <v>343.52623886000106</v>
      </c>
      <c r="FS42" s="64">
        <f>FS7-FS15</f>
        <v>343.52623899999935</v>
      </c>
      <c r="FT42" s="58">
        <v>21.850373609999963</v>
      </c>
      <c r="FU42" s="58">
        <v>-12.989478829999939</v>
      </c>
      <c r="FV42" s="58">
        <v>-76.739856030000055</v>
      </c>
      <c r="FW42" s="58">
        <v>8.7300381300000254</v>
      </c>
      <c r="FX42" s="58">
        <v>40.875462920000075</v>
      </c>
      <c r="FY42" s="58">
        <v>37.142428189999976</v>
      </c>
      <c r="FZ42" s="58">
        <v>81.614597840000158</v>
      </c>
      <c r="GA42" s="58">
        <v>12.345427069999971</v>
      </c>
      <c r="GB42" s="58">
        <v>71.171511650000127</v>
      </c>
      <c r="GC42" s="58">
        <v>21.120694270000001</v>
      </c>
      <c r="GD42" s="58">
        <v>11.303868619999889</v>
      </c>
      <c r="GE42" s="58">
        <v>34.987715000000001</v>
      </c>
      <c r="GF42" s="58">
        <f t="shared" si="13"/>
        <v>251.4127824400002</v>
      </c>
      <c r="GG42" s="58">
        <v>251.412633</v>
      </c>
      <c r="GH42" s="58">
        <v>34.837439389999929</v>
      </c>
      <c r="GI42" s="58">
        <v>20.635978799999975</v>
      </c>
      <c r="GJ42" s="58">
        <v>27.777341119999846</v>
      </c>
      <c r="GK42" s="58">
        <v>56.29354716000006</v>
      </c>
      <c r="GL42" s="58">
        <v>31.496224880000057</v>
      </c>
      <c r="GM42" s="58">
        <v>36.894666750000056</v>
      </c>
      <c r="GN42" s="58">
        <v>42.130350709999902</v>
      </c>
      <c r="GO42" s="58">
        <v>50.780384779999963</v>
      </c>
      <c r="GP42" s="58">
        <v>12.885566390000008</v>
      </c>
      <c r="GQ42" s="58">
        <v>17.933076710000137</v>
      </c>
      <c r="GR42" s="58">
        <v>9.234178649999933</v>
      </c>
      <c r="GS42" s="58">
        <v>-3.7637962200000743</v>
      </c>
      <c r="GT42" s="58">
        <f t="shared" si="14"/>
        <v>337.13495911999979</v>
      </c>
      <c r="GU42" s="58">
        <f>GU7-GU15</f>
        <v>337.13495899999998</v>
      </c>
      <c r="GV42" s="58">
        <v>82.756072209999999</v>
      </c>
      <c r="GW42" s="58">
        <v>-1.5115017999999971</v>
      </c>
      <c r="GX42" s="58">
        <v>17.319758220000153</v>
      </c>
      <c r="GY42" s="58">
        <v>-33.343898339999839</v>
      </c>
      <c r="GZ42" s="58">
        <v>105.14267747999997</v>
      </c>
      <c r="HA42" s="58">
        <v>53.238271439999949</v>
      </c>
      <c r="HB42" s="58">
        <v>75.604766550000136</v>
      </c>
      <c r="HC42" s="58">
        <v>79.041977650000035</v>
      </c>
      <c r="HD42" s="58">
        <v>16.494140589999915</v>
      </c>
      <c r="HE42" s="58">
        <v>50.644218359999911</v>
      </c>
      <c r="HF42" s="58">
        <v>28.24365663000026</v>
      </c>
      <c r="HG42" s="58">
        <v>1.5927455799999848</v>
      </c>
      <c r="HH42" s="58">
        <f t="shared" si="15"/>
        <v>475.22288457000047</v>
      </c>
      <c r="HI42" s="58">
        <v>146.22347600000023</v>
      </c>
      <c r="HJ42" s="58">
        <v>2.4517748400000983</v>
      </c>
      <c r="HK42" s="58">
        <v>-2.4065055500000767</v>
      </c>
      <c r="HL42" s="58">
        <v>-8.9514253999999482</v>
      </c>
      <c r="HM42" s="58"/>
      <c r="HN42" s="58"/>
      <c r="HO42" s="58"/>
      <c r="HP42" s="58"/>
      <c r="HQ42" s="58"/>
      <c r="HR42" s="58"/>
      <c r="HS42" s="58"/>
      <c r="HT42" s="58"/>
      <c r="HU42" s="302">
        <f t="shared" si="16"/>
        <v>65.220429999999993</v>
      </c>
      <c r="HV42" s="302">
        <f t="shared" si="17"/>
        <v>137.31732</v>
      </c>
      <c r="HW42" s="303">
        <f t="shared" si="18"/>
        <v>72.096890000000002</v>
      </c>
      <c r="HX42" s="327"/>
    </row>
    <row r="43" spans="1:232" ht="23.25" customHeight="1">
      <c r="A43" s="245" t="s">
        <v>182</v>
      </c>
      <c r="C43" s="244" t="s">
        <v>183</v>
      </c>
      <c r="EC43" s="18"/>
      <c r="FS43" s="234"/>
      <c r="GU43" s="18"/>
    </row>
    <row r="44" spans="1:232"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</row>
  </sheetData>
  <mergeCells count="18">
    <mergeCell ref="GV5:HG5"/>
    <mergeCell ref="HI5:HT5"/>
    <mergeCell ref="DP5:EA5"/>
    <mergeCell ref="ED5:EO5"/>
    <mergeCell ref="ER5:FC5"/>
    <mergeCell ref="FF5:FQ5"/>
    <mergeCell ref="GH5:GS5"/>
    <mergeCell ref="BL5:BW5"/>
    <mergeCell ref="AX5:BI5"/>
    <mergeCell ref="CN5:CX5"/>
    <mergeCell ref="BZ5:CK5"/>
    <mergeCell ref="DB5:DM5"/>
    <mergeCell ref="A5:A6"/>
    <mergeCell ref="B5:B6"/>
    <mergeCell ref="V5:AG5"/>
    <mergeCell ref="AJ5:AU5"/>
    <mergeCell ref="H5:S5"/>
    <mergeCell ref="C5:C6"/>
  </mergeCells>
  <conditionalFormatting sqref="BL7:EC42">
    <cfRule type="cellIs" dxfId="226" priority="284" operator="between">
      <formula>-0.00000045</formula>
      <formula>0.00000045</formula>
    </cfRule>
  </conditionalFormatting>
  <conditionalFormatting sqref="ED7:EG36">
    <cfRule type="cellIs" dxfId="225" priority="287" operator="between">
      <formula>-0.00000045</formula>
      <formula>0.00000045</formula>
    </cfRule>
  </conditionalFormatting>
  <conditionalFormatting sqref="ED37:EO42">
    <cfRule type="cellIs" dxfId="224" priority="343" operator="between">
      <formula>-0.00000045</formula>
      <formula>0.00000045</formula>
    </cfRule>
  </conditionalFormatting>
  <conditionalFormatting sqref="EH7:EH15">
    <cfRule type="cellIs" dxfId="223" priority="355" operator="between">
      <formula>-0.00000045</formula>
      <formula>0.00000045</formula>
    </cfRule>
  </conditionalFormatting>
  <conditionalFormatting sqref="EH16:EK36">
    <cfRule type="cellIs" dxfId="222" priority="299" operator="between">
      <formula>-0.00000045</formula>
      <formula>0.00000045</formula>
    </cfRule>
  </conditionalFormatting>
  <conditionalFormatting sqref="EI7:EI12">
    <cfRule type="cellIs" dxfId="221" priority="359" operator="between">
      <formula>-0.00000045</formula>
      <formula>0.00000045</formula>
    </cfRule>
  </conditionalFormatting>
  <conditionalFormatting sqref="EI14:EI15">
    <cfRule type="cellIs" dxfId="220" priority="354" operator="between">
      <formula>-0.00000045</formula>
      <formula>0.00000045</formula>
    </cfRule>
  </conditionalFormatting>
  <conditionalFormatting sqref="EJ7:EJ11">
    <cfRule type="cellIs" dxfId="219" priority="350" operator="between">
      <formula>-0.00000045</formula>
      <formula>0.00000045</formula>
    </cfRule>
  </conditionalFormatting>
  <conditionalFormatting sqref="EJ13:EJ15">
    <cfRule type="cellIs" dxfId="218" priority="349" operator="between">
      <formula>-0.00000045</formula>
      <formula>0.00000045</formula>
    </cfRule>
  </conditionalFormatting>
  <conditionalFormatting sqref="EK7:EK15">
    <cfRule type="cellIs" dxfId="217" priority="345" operator="between">
      <formula>-0.00000045</formula>
      <formula>0.00000045</formula>
    </cfRule>
  </conditionalFormatting>
  <conditionalFormatting sqref="EL7:EO36">
    <cfRule type="cellIs" dxfId="216" priority="286" operator="between">
      <formula>-0.00000045</formula>
      <formula>0.00000045</formula>
    </cfRule>
  </conditionalFormatting>
  <conditionalFormatting sqref="EP7:ER42">
    <cfRule type="cellIs" dxfId="215" priority="67" operator="between">
      <formula>-0.00000045</formula>
      <formula>0.00000045</formula>
    </cfRule>
  </conditionalFormatting>
  <conditionalFormatting sqref="ES7:ES24">
    <cfRule type="cellIs" dxfId="214" priority="247" operator="between">
      <formula>-0.00000045</formula>
      <formula>0.00000045</formula>
    </cfRule>
  </conditionalFormatting>
  <conditionalFormatting sqref="ES26 ES28">
    <cfRule type="cellIs" dxfId="213" priority="696" operator="between">
      <formula>-0.00000045</formula>
      <formula>0.00000045</formula>
    </cfRule>
  </conditionalFormatting>
  <conditionalFormatting sqref="ES30:ES40">
    <cfRule type="cellIs" dxfId="212" priority="209" operator="between">
      <formula>-0.00000045</formula>
      <formula>0.00000045</formula>
    </cfRule>
  </conditionalFormatting>
  <conditionalFormatting sqref="ES42:ET42">
    <cfRule type="cellIs" dxfId="211" priority="198" operator="between">
      <formula>-0.00000045</formula>
      <formula>0.00000045</formula>
    </cfRule>
  </conditionalFormatting>
  <conditionalFormatting sqref="ET7:ET40">
    <cfRule type="cellIs" dxfId="210" priority="196" operator="between">
      <formula>-0.00000045</formula>
      <formula>0.00000045</formula>
    </cfRule>
  </conditionalFormatting>
  <conditionalFormatting sqref="EU7:EU28">
    <cfRule type="cellIs" dxfId="209" priority="194" operator="between">
      <formula>-0.00000045</formula>
      <formula>0.00000045</formula>
    </cfRule>
  </conditionalFormatting>
  <conditionalFormatting sqref="EU30:EU42">
    <cfRule type="cellIs" dxfId="208" priority="204" operator="between">
      <formula>-0.00000045</formula>
      <formula>0.00000045</formula>
    </cfRule>
  </conditionalFormatting>
  <conditionalFormatting sqref="EV7:EV40">
    <cfRule type="cellIs" dxfId="207" priority="128" operator="between">
      <formula>-0.00000045</formula>
      <formula>0.00000045</formula>
    </cfRule>
  </conditionalFormatting>
  <conditionalFormatting sqref="EV42:GE42">
    <cfRule type="cellIs" dxfId="206" priority="39" operator="between">
      <formula>-0.00000045</formula>
      <formula>0.00000045</formula>
    </cfRule>
  </conditionalFormatting>
  <conditionalFormatting sqref="EW7:FB28">
    <cfRule type="cellIs" dxfId="205" priority="66" operator="between">
      <formula>-0.00000045</formula>
      <formula>0.00000045</formula>
    </cfRule>
  </conditionalFormatting>
  <conditionalFormatting sqref="EW30:FB40">
    <cfRule type="cellIs" dxfId="204" priority="102" operator="between">
      <formula>-0.00000045</formula>
      <formula>0.00000045</formula>
    </cfRule>
  </conditionalFormatting>
  <conditionalFormatting sqref="FC7:FC40 FF7:FQ40 FT7:GE40">
    <cfRule type="cellIs" dxfId="203" priority="65" operator="between">
      <formula>-0.00000045</formula>
      <formula>0.00000045</formula>
    </cfRule>
  </conditionalFormatting>
  <conditionalFormatting sqref="FD7:FE41">
    <cfRule type="cellIs" dxfId="202" priority="54" operator="between">
      <formula>-0.00000045</formula>
      <formula>0.00000045</formula>
    </cfRule>
  </conditionalFormatting>
  <conditionalFormatting sqref="FR7:FS41">
    <cfRule type="cellIs" dxfId="201" priority="40" operator="between">
      <formula>-0.00000045</formula>
      <formula>0.00000045</formula>
    </cfRule>
  </conditionalFormatting>
  <conditionalFormatting sqref="GF7:HV42">
    <cfRule type="cellIs" dxfId="200" priority="2" operator="between">
      <formula>-0.00000045</formula>
      <formula>0.00000045</formula>
    </cfRule>
  </conditionalFormatting>
  <conditionalFormatting sqref="HW7:HX42">
    <cfRule type="cellIs" dxfId="199" priority="10" operator="equal">
      <formula>0</formula>
    </cfRule>
    <cfRule type="containsErrors" dxfId="198" priority="11">
      <formula>ISERROR(HW7)</formula>
    </cfRule>
  </conditionalFormatting>
  <pageMargins left="0.70866141732283472" right="0.70866141732283472" top="0.74803149606299213" bottom="0.74803149606299213" header="0.31496062992125984" footer="0.31496062992125984"/>
  <pageSetup paperSize="8" scale="15" fitToWidth="0" orientation="landscape" r:id="rId1"/>
  <ignoredErrors>
    <ignoredError sqref="BJ7 BJ37:BJ38" formula="1"/>
    <ignoredError sqref="BJ41 HU4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9DDFBE"/>
    <pageSetUpPr fitToPage="1"/>
  </sheetPr>
  <dimension ref="A1:VF60"/>
  <sheetViews>
    <sheetView zoomScale="55" zoomScaleNormal="55" zoomScaleSheetLayoutView="85" workbookViewId="0">
      <pane xSplit="3" ySplit="7" topLeftCell="IU8" activePane="bottomRight" state="frozen"/>
      <selection pane="topRight" activeCell="GZ7" sqref="GZ7"/>
      <selection pane="bottomLeft" activeCell="GZ7" sqref="GZ7"/>
      <selection pane="bottomRight" activeCell="VH31" sqref="VH31"/>
    </sheetView>
  </sheetViews>
  <sheetFormatPr defaultColWidth="9" defaultRowHeight="15.5" outlineLevelCol="2"/>
  <cols>
    <col min="1" max="1" width="49.33203125" style="3" hidden="1" customWidth="1"/>
    <col min="2" max="2" width="16.08203125" style="3" hidden="1" customWidth="1"/>
    <col min="3" max="3" width="49.33203125" style="3" customWidth="1"/>
    <col min="4" max="6" width="11.5" style="3" hidden="1" customWidth="1" outlineLevel="1"/>
    <col min="7" max="7" width="11.58203125" style="3" hidden="1" customWidth="1" outlineLevel="1"/>
    <col min="8" max="19" width="11.08203125" style="3" hidden="1" customWidth="1" outlineLevel="2"/>
    <col min="20" max="20" width="12.58203125" style="3" hidden="1" customWidth="1" outlineLevel="2"/>
    <col min="21" max="21" width="14.08203125" style="3" hidden="1" customWidth="1" outlineLevel="2"/>
    <col min="22" max="22" width="11.08203125" style="3" hidden="1" customWidth="1" outlineLevel="2"/>
    <col min="23" max="23" width="11.08203125" style="3" hidden="1" customWidth="1" outlineLevel="1" collapsed="1"/>
    <col min="24" max="35" width="11.08203125" style="3" hidden="1" customWidth="1" outlineLevel="2"/>
    <col min="36" max="36" width="11.58203125" style="3" hidden="1" customWidth="1" outlineLevel="2"/>
    <col min="37" max="37" width="13.08203125" style="3" hidden="1" customWidth="1" outlineLevel="2"/>
    <col min="38" max="38" width="13.58203125" style="3" hidden="1" customWidth="1" outlineLevel="2"/>
    <col min="39" max="39" width="12" style="3" hidden="1" customWidth="1" outlineLevel="1" collapsed="1"/>
    <col min="40" max="51" width="11.08203125" style="3" hidden="1" customWidth="1" outlineLevel="2"/>
    <col min="52" max="53" width="12.08203125" style="3" hidden="1" customWidth="1" outlineLevel="2"/>
    <col min="54" max="54" width="9.58203125" style="3" hidden="1" customWidth="1" outlineLevel="2"/>
    <col min="55" max="55" width="12" style="3" hidden="1" customWidth="1" outlineLevel="1" collapsed="1"/>
    <col min="56" max="56" width="10.58203125" style="3" hidden="1" customWidth="1" outlineLevel="1" collapsed="1"/>
    <col min="57" max="94" width="10.58203125" style="3" hidden="1" customWidth="1" outlineLevel="1"/>
    <col min="95" max="95" width="12" style="3" hidden="1" customWidth="1" collapsed="1"/>
    <col min="96" max="104" width="10.58203125" style="3" hidden="1" customWidth="1" outlineLevel="1"/>
    <col min="105" max="106" width="12.08203125" style="3" hidden="1" customWidth="1" outlineLevel="1"/>
    <col min="107" max="107" width="10.58203125" style="3" hidden="1" customWidth="1" outlineLevel="1"/>
    <col min="108" max="108" width="11.58203125" style="3" hidden="1" customWidth="1" outlineLevel="1"/>
    <col min="109" max="109" width="12.08203125" style="3" hidden="1" customWidth="1" outlineLevel="1"/>
    <col min="110" max="110" width="10.58203125" style="3" hidden="1" customWidth="1" outlineLevel="1"/>
    <col min="111" max="111" width="12.08203125" style="3" hidden="1" customWidth="1" outlineLevel="1"/>
    <col min="112" max="112" width="11.58203125" style="3" hidden="1" customWidth="1" outlineLevel="1"/>
    <col min="113" max="113" width="10.58203125" style="3" hidden="1" customWidth="1" outlineLevel="1"/>
    <col min="114" max="114" width="12.08203125" style="3" hidden="1" customWidth="1" outlineLevel="1"/>
    <col min="115" max="115" width="12.58203125" style="3" hidden="1" customWidth="1" outlineLevel="1"/>
    <col min="116" max="116" width="10.58203125" style="3" hidden="1" customWidth="1" outlineLevel="1"/>
    <col min="117" max="117" width="12.5" style="3" hidden="1" customWidth="1" outlineLevel="1"/>
    <col min="118" max="118" width="12.58203125" style="3" hidden="1" customWidth="1" outlineLevel="1"/>
    <col min="119" max="119" width="10.58203125" style="3" hidden="1" customWidth="1" outlineLevel="1"/>
    <col min="120" max="134" width="11.58203125" style="3" hidden="1" customWidth="1" outlineLevel="1"/>
    <col min="135" max="135" width="12" style="3" hidden="1" customWidth="1" collapsed="1"/>
    <col min="136" max="168" width="11.58203125" style="3" hidden="1" customWidth="1" outlineLevel="1"/>
    <col min="169" max="169" width="13.58203125" style="3" hidden="1" customWidth="1" outlineLevel="1"/>
    <col min="170" max="170" width="12.08203125" style="3" hidden="1" customWidth="1" outlineLevel="1"/>
    <col min="171" max="171" width="16.08203125" style="3" hidden="1" customWidth="1" outlineLevel="1"/>
    <col min="172" max="172" width="13.5" style="3" hidden="1" customWidth="1" outlineLevel="1"/>
    <col min="173" max="173" width="13" style="3" hidden="1" customWidth="1" outlineLevel="1"/>
    <col min="174" max="174" width="10.5" style="3" hidden="1" customWidth="1" outlineLevel="1"/>
    <col min="175" max="175" width="12" style="3" hidden="1" customWidth="1" collapsed="1"/>
    <col min="176" max="186" width="11.58203125" style="3" hidden="1" customWidth="1" outlineLevel="1"/>
    <col min="187" max="187" width="12.58203125" style="3" hidden="1" customWidth="1" outlineLevel="1"/>
    <col min="188" max="189" width="11.58203125" style="3" hidden="1" customWidth="1" outlineLevel="1"/>
    <col min="190" max="190" width="12.08203125" style="3" hidden="1" customWidth="1" outlineLevel="1"/>
    <col min="191" max="192" width="11.58203125" style="3" hidden="1" customWidth="1" outlineLevel="1"/>
    <col min="193" max="193" width="11.08203125" style="3" hidden="1" customWidth="1" outlineLevel="1"/>
    <col min="194" max="195" width="11.58203125" style="3" hidden="1" customWidth="1" outlineLevel="1"/>
    <col min="196" max="196" width="16" style="3" hidden="1" customWidth="1" outlineLevel="1"/>
    <col min="197" max="201" width="11.58203125" style="3" hidden="1" customWidth="1" outlineLevel="1"/>
    <col min="202" max="202" width="17.08203125" style="3" hidden="1" customWidth="1" outlineLevel="1"/>
    <col min="203" max="207" width="11.58203125" style="3" hidden="1" customWidth="1" outlineLevel="1"/>
    <col min="208" max="208" width="15.08203125" style="3" hidden="1" customWidth="1" outlineLevel="1"/>
    <col min="209" max="210" width="11.58203125" style="3" hidden="1" customWidth="1" outlineLevel="1"/>
    <col min="211" max="213" width="14.08203125" style="3" hidden="1" customWidth="1" outlineLevel="1"/>
    <col min="214" max="214" width="17.5" style="3" hidden="1" customWidth="1" outlineLevel="1"/>
    <col min="215" max="215" width="12" style="3" hidden="1" customWidth="1" collapsed="1"/>
    <col min="216" max="216" width="13.5" style="3" hidden="1" customWidth="1" outlineLevel="1"/>
    <col min="217" max="217" width="15" style="3" hidden="1" customWidth="1" outlineLevel="1"/>
    <col min="218" max="254" width="13.5" style="3" hidden="1" customWidth="1" outlineLevel="1"/>
    <col min="255" max="255" width="12" style="3" customWidth="1" collapsed="1"/>
    <col min="256" max="291" width="13.5" style="3" hidden="1" customWidth="1" outlineLevel="1"/>
    <col min="292" max="292" width="12.08203125" style="3" hidden="1" customWidth="1" outlineLevel="1"/>
    <col min="293" max="293" width="13.5" style="3" hidden="1" customWidth="1" outlineLevel="1"/>
    <col min="294" max="294" width="10.58203125" style="3" hidden="1" customWidth="1" outlineLevel="1"/>
    <col min="295" max="295" width="10.58203125" style="3" bestFit="1" customWidth="1" collapsed="1"/>
    <col min="296" max="296" width="12.08203125" style="3" hidden="1" customWidth="1" outlineLevel="1"/>
    <col min="297" max="297" width="13.5" style="3" hidden="1" customWidth="1" outlineLevel="1"/>
    <col min="298" max="298" width="10.08203125" style="3" hidden="1" customWidth="1" outlineLevel="1"/>
    <col min="299" max="303" width="13.5" style="3" hidden="1" customWidth="1" outlineLevel="1"/>
    <col min="304" max="304" width="12.58203125" style="3" hidden="1" customWidth="1" outlineLevel="1"/>
    <col min="305" max="330" width="13.5" style="3" hidden="1" customWidth="1" outlineLevel="1"/>
    <col min="331" max="331" width="12.08203125" style="3" hidden="1" customWidth="1" outlineLevel="1"/>
    <col min="332" max="332" width="16" style="3" hidden="1" customWidth="1" outlineLevel="1"/>
    <col min="333" max="333" width="14.58203125" style="3" hidden="1" customWidth="1" outlineLevel="1"/>
    <col min="334" max="334" width="12.08203125" style="3" hidden="1" customWidth="1" outlineLevel="1"/>
    <col min="335" max="335" width="12.58203125" style="3" bestFit="1" customWidth="1" collapsed="1"/>
    <col min="336" max="336" width="13.58203125" style="3" hidden="1" customWidth="1" outlineLevel="1"/>
    <col min="337" max="337" width="14.5" style="3" hidden="1" customWidth="1" outlineLevel="1"/>
    <col min="338" max="374" width="12.08203125" style="3" hidden="1" customWidth="1" outlineLevel="1"/>
    <col min="375" max="375" width="11.08203125" style="3" customWidth="1" collapsed="1"/>
    <col min="376" max="378" width="12.08203125" style="3" hidden="1" customWidth="1" outlineLevel="1"/>
    <col min="379" max="379" width="13.08203125" style="3" hidden="1" customWidth="1" outlineLevel="1"/>
    <col min="380" max="381" width="12.08203125" style="3" hidden="1" customWidth="1" outlineLevel="1"/>
    <col min="382" max="382" width="13.58203125" style="3" hidden="1" customWidth="1" outlineLevel="1"/>
    <col min="383" max="384" width="12.08203125" style="3" hidden="1" customWidth="1" outlineLevel="1"/>
    <col min="385" max="385" width="13.08203125" style="3" hidden="1" customWidth="1" outlineLevel="1"/>
    <col min="386" max="387" width="12.08203125" style="3" hidden="1" customWidth="1" outlineLevel="1"/>
    <col min="388" max="388" width="13.58203125" style="3" hidden="1" customWidth="1" outlineLevel="1"/>
    <col min="389" max="390" width="12.08203125" style="3" hidden="1" customWidth="1" outlineLevel="1"/>
    <col min="391" max="391" width="13.08203125" style="3" hidden="1" customWidth="1" outlineLevel="1"/>
    <col min="392" max="393" width="12.08203125" style="3" hidden="1" customWidth="1" outlineLevel="1"/>
    <col min="394" max="394" width="14" style="3" hidden="1" customWidth="1" outlineLevel="1"/>
    <col min="395" max="396" width="12.08203125" style="3" hidden="1" customWidth="1" outlineLevel="1"/>
    <col min="397" max="397" width="14" style="3" hidden="1" customWidth="1" outlineLevel="1"/>
    <col min="398" max="399" width="12.08203125" style="3" hidden="1" customWidth="1" outlineLevel="1"/>
    <col min="400" max="400" width="13.58203125" style="3" hidden="1" customWidth="1" outlineLevel="1"/>
    <col min="401" max="405" width="12.08203125" style="3" hidden="1" customWidth="1" outlineLevel="1"/>
    <col min="406" max="406" width="11.58203125" style="3" hidden="1" customWidth="1" outlineLevel="1"/>
    <col min="407" max="408" width="12.08203125" style="3" hidden="1" customWidth="1" outlineLevel="1"/>
    <col min="409" max="410" width="11.58203125" style="3" hidden="1" customWidth="1" outlineLevel="1"/>
    <col min="411" max="411" width="12.08203125" style="3" hidden="1" customWidth="1" outlineLevel="1"/>
    <col min="412" max="412" width="13.58203125" style="3" hidden="1" customWidth="1" outlineLevel="1" collapsed="1"/>
    <col min="413" max="413" width="13.08203125" style="3" hidden="1" customWidth="1" outlineLevel="1"/>
    <col min="414" max="414" width="14" style="3" hidden="1" customWidth="1" outlineLevel="1"/>
    <col min="415" max="415" width="11.08203125" style="3" bestFit="1" customWidth="1" collapsed="1"/>
    <col min="416" max="416" width="14.08203125" style="3" hidden="1" customWidth="1" outlineLevel="1"/>
    <col min="417" max="417" width="13.58203125" style="3" hidden="1" customWidth="1" outlineLevel="1"/>
    <col min="418" max="418" width="12.08203125" style="3" hidden="1" customWidth="1" outlineLevel="1"/>
    <col min="419" max="419" width="14.08203125" style="3" hidden="1" customWidth="1" outlineLevel="1"/>
    <col min="420" max="420" width="14.58203125" style="3" hidden="1" customWidth="1" outlineLevel="1"/>
    <col min="421" max="451" width="12.08203125" style="3" hidden="1" customWidth="1" outlineLevel="1"/>
    <col min="452" max="452" width="13.08203125" style="3" hidden="1" customWidth="1" outlineLevel="1"/>
    <col min="453" max="454" width="12.08203125" style="3" hidden="1" customWidth="1" outlineLevel="1"/>
    <col min="455" max="455" width="12.08203125" style="3" customWidth="1" collapsed="1"/>
    <col min="456" max="491" width="12.08203125" style="3" hidden="1" customWidth="1" outlineLevel="1"/>
    <col min="492" max="492" width="13.08203125" style="3" hidden="1" customWidth="1" outlineLevel="1"/>
    <col min="493" max="494" width="12.08203125" style="3" hidden="1" customWidth="1" outlineLevel="1"/>
    <col min="495" max="495" width="12.08203125" style="3" customWidth="1" collapsed="1"/>
    <col min="496" max="531" width="12.08203125" style="3" hidden="1" customWidth="1" outlineLevel="1"/>
    <col min="532" max="532" width="12.33203125" style="3" customWidth="1" collapsed="1"/>
    <col min="533" max="537" width="12.08203125" style="3" customWidth="1"/>
    <col min="538" max="538" width="13.33203125" style="3" customWidth="1"/>
    <col min="539" max="540" width="12.08203125" style="3" customWidth="1"/>
    <col min="541" max="541" width="12.75" style="3" customWidth="1"/>
    <col min="542" max="546" width="12.08203125" style="3" customWidth="1"/>
    <col min="547" max="570" width="12.08203125" style="3" hidden="1" customWidth="1" outlineLevel="1"/>
    <col min="571" max="571" width="13.58203125" style="3" customWidth="1" collapsed="1"/>
    <col min="572" max="573" width="13.58203125" style="3" customWidth="1"/>
    <col min="574" max="574" width="13.58203125" style="3" customWidth="1" collapsed="1"/>
    <col min="575" max="575" width="13.58203125" style="3" customWidth="1"/>
    <col min="576" max="576" width="13.5" style="3" customWidth="1"/>
    <col min="577" max="577" width="13.58203125" style="112" customWidth="1"/>
    <col min="578" max="578" width="14.58203125" style="112" customWidth="1"/>
    <col min="579" max="16384" width="9" style="3"/>
  </cols>
  <sheetData>
    <row r="1" spans="1:578" ht="15.75" hidden="1" customHeight="1">
      <c r="D1" s="2">
        <v>2007</v>
      </c>
      <c r="E1" s="2">
        <v>2008</v>
      </c>
      <c r="F1" s="2">
        <v>2009</v>
      </c>
      <c r="G1" s="2">
        <v>2010</v>
      </c>
      <c r="H1" s="2">
        <v>2011</v>
      </c>
      <c r="I1" s="2">
        <v>2011</v>
      </c>
      <c r="J1" s="2">
        <v>2011</v>
      </c>
      <c r="K1" s="2">
        <v>2011</v>
      </c>
      <c r="L1" s="2">
        <v>2011</v>
      </c>
      <c r="M1" s="2">
        <v>2011</v>
      </c>
      <c r="N1" s="2">
        <v>2011</v>
      </c>
      <c r="O1" s="2">
        <v>2011</v>
      </c>
      <c r="P1" s="2">
        <v>2011</v>
      </c>
      <c r="Q1" s="2">
        <v>2011</v>
      </c>
      <c r="R1" s="2">
        <v>2011</v>
      </c>
      <c r="S1" s="2">
        <v>2011</v>
      </c>
      <c r="T1" s="2">
        <v>2011</v>
      </c>
      <c r="U1" s="2">
        <v>2011</v>
      </c>
      <c r="V1" s="2">
        <v>2011</v>
      </c>
      <c r="W1" s="2">
        <v>2011</v>
      </c>
      <c r="X1" s="2">
        <v>2012</v>
      </c>
      <c r="Y1" s="2">
        <v>2012</v>
      </c>
      <c r="Z1" s="2">
        <v>2012</v>
      </c>
      <c r="AA1" s="2">
        <v>2012</v>
      </c>
      <c r="AB1" s="2">
        <v>2012</v>
      </c>
      <c r="AC1" s="2">
        <v>2012</v>
      </c>
      <c r="AD1" s="2">
        <v>2012</v>
      </c>
      <c r="AE1" s="2">
        <v>2012</v>
      </c>
      <c r="AF1" s="2">
        <v>2012</v>
      </c>
      <c r="AG1" s="2">
        <v>2012</v>
      </c>
      <c r="AH1" s="2">
        <v>2012</v>
      </c>
      <c r="AI1" s="2">
        <v>2012</v>
      </c>
      <c r="AJ1" s="2">
        <v>2012</v>
      </c>
      <c r="AK1" s="2">
        <v>2012</v>
      </c>
      <c r="AL1" s="2">
        <v>2012</v>
      </c>
      <c r="AM1" s="2">
        <v>2012</v>
      </c>
      <c r="AN1" s="2">
        <v>2013</v>
      </c>
      <c r="AO1" s="2">
        <v>2013</v>
      </c>
      <c r="AP1" s="2">
        <v>2013</v>
      </c>
      <c r="AQ1" s="2">
        <v>2013</v>
      </c>
      <c r="AR1" s="2">
        <v>2013</v>
      </c>
      <c r="AS1" s="2">
        <v>2013</v>
      </c>
      <c r="AT1" s="2">
        <v>2013</v>
      </c>
      <c r="AU1" s="2">
        <v>2013</v>
      </c>
      <c r="AV1" s="2">
        <v>2013</v>
      </c>
      <c r="AW1" s="2">
        <v>2013</v>
      </c>
      <c r="AX1" s="2">
        <v>2013</v>
      </c>
      <c r="AY1" s="2">
        <v>2013</v>
      </c>
      <c r="AZ1" s="2">
        <v>2013</v>
      </c>
      <c r="BA1" s="2">
        <v>2013</v>
      </c>
      <c r="BB1" s="2">
        <v>2013</v>
      </c>
      <c r="BC1" s="2">
        <v>2013</v>
      </c>
      <c r="BD1" s="2">
        <v>2014</v>
      </c>
      <c r="BE1" s="2">
        <v>2014</v>
      </c>
      <c r="BF1" s="2">
        <v>2014</v>
      </c>
      <c r="BG1" s="2">
        <v>2014</v>
      </c>
      <c r="BH1" s="2">
        <v>2014</v>
      </c>
      <c r="BI1" s="2">
        <v>2014</v>
      </c>
      <c r="BJ1" s="2">
        <v>2014</v>
      </c>
      <c r="BK1" s="2">
        <v>2014</v>
      </c>
      <c r="BL1" s="2">
        <v>2014</v>
      </c>
      <c r="BM1" s="2">
        <v>2014</v>
      </c>
      <c r="BN1" s="2">
        <v>2014</v>
      </c>
      <c r="BO1" s="2">
        <v>2014</v>
      </c>
      <c r="BP1" s="2">
        <v>2014</v>
      </c>
      <c r="BQ1" s="2">
        <v>2014</v>
      </c>
      <c r="BR1" s="2">
        <v>2014</v>
      </c>
      <c r="BS1" s="2">
        <v>2014</v>
      </c>
      <c r="BT1" s="2">
        <v>2014</v>
      </c>
      <c r="BU1" s="2">
        <v>2014</v>
      </c>
      <c r="BV1" s="2">
        <v>2014</v>
      </c>
      <c r="BW1" s="2">
        <v>2014</v>
      </c>
      <c r="BX1" s="2">
        <v>2014</v>
      </c>
      <c r="BY1" s="2">
        <v>2014</v>
      </c>
      <c r="BZ1" s="2">
        <v>2014</v>
      </c>
      <c r="CA1" s="2">
        <v>2014</v>
      </c>
      <c r="CB1" s="2">
        <v>2014</v>
      </c>
      <c r="CC1" s="2">
        <v>2014</v>
      </c>
      <c r="CD1" s="2">
        <v>2014</v>
      </c>
      <c r="CE1" s="2">
        <v>2014</v>
      </c>
      <c r="CF1" s="2">
        <v>2014</v>
      </c>
      <c r="CG1" s="2">
        <v>2014</v>
      </c>
      <c r="CH1" s="2">
        <v>2014</v>
      </c>
      <c r="CI1" s="2">
        <v>2014</v>
      </c>
      <c r="CJ1" s="2">
        <v>2014</v>
      </c>
      <c r="CK1" s="2">
        <v>2014</v>
      </c>
      <c r="CL1" s="2">
        <v>2014</v>
      </c>
      <c r="CM1" s="2">
        <v>2014</v>
      </c>
      <c r="CN1" s="2">
        <v>2014</v>
      </c>
      <c r="CO1" s="2">
        <v>2014</v>
      </c>
      <c r="CP1" s="2">
        <v>2014</v>
      </c>
      <c r="CQ1" s="2">
        <v>2014</v>
      </c>
      <c r="CR1" s="2">
        <v>2015</v>
      </c>
      <c r="CS1" s="2">
        <v>2015</v>
      </c>
      <c r="CT1" s="2">
        <v>2015</v>
      </c>
      <c r="CU1" s="2">
        <v>2015</v>
      </c>
      <c r="CV1" s="2">
        <v>2015</v>
      </c>
      <c r="CW1" s="2">
        <v>2015</v>
      </c>
      <c r="CX1" s="2">
        <v>2015</v>
      </c>
      <c r="CY1" s="2">
        <v>2015</v>
      </c>
      <c r="CZ1" s="2">
        <v>2015</v>
      </c>
      <c r="DA1" s="2">
        <v>2015</v>
      </c>
      <c r="DB1" s="2">
        <v>2015</v>
      </c>
      <c r="DC1" s="2">
        <v>2015</v>
      </c>
      <c r="DD1" s="2">
        <v>2015</v>
      </c>
      <c r="DE1" s="2">
        <v>2015</v>
      </c>
      <c r="DF1" s="2">
        <v>2015</v>
      </c>
      <c r="DG1" s="2">
        <v>2015</v>
      </c>
      <c r="DH1" s="2">
        <v>2015</v>
      </c>
      <c r="DI1" s="2">
        <v>2015</v>
      </c>
      <c r="DJ1" s="2">
        <v>2015</v>
      </c>
      <c r="DK1" s="2">
        <v>2015</v>
      </c>
      <c r="DL1" s="2">
        <v>2015</v>
      </c>
      <c r="DM1" s="2">
        <v>2015</v>
      </c>
      <c r="DN1" s="2">
        <v>2015</v>
      </c>
      <c r="DO1" s="2">
        <v>2015</v>
      </c>
      <c r="DP1" s="2">
        <v>2015</v>
      </c>
      <c r="DQ1" s="2">
        <v>2015</v>
      </c>
      <c r="DR1" s="2">
        <v>2015</v>
      </c>
      <c r="DS1" s="2">
        <v>2015</v>
      </c>
      <c r="DT1" s="2">
        <v>2015</v>
      </c>
      <c r="DU1" s="2">
        <v>2015</v>
      </c>
      <c r="DV1" s="2">
        <v>2015</v>
      </c>
      <c r="DW1" s="2">
        <v>2015</v>
      </c>
      <c r="DX1" s="2">
        <v>2015</v>
      </c>
      <c r="DY1" s="2">
        <v>2015</v>
      </c>
      <c r="DZ1" s="2">
        <v>2015</v>
      </c>
      <c r="EA1" s="2">
        <v>2015</v>
      </c>
      <c r="EB1" s="2">
        <v>2015</v>
      </c>
      <c r="EC1" s="2">
        <v>2015</v>
      </c>
      <c r="ED1" s="2">
        <v>2015</v>
      </c>
      <c r="EE1" s="2">
        <v>2015</v>
      </c>
      <c r="EF1" s="2">
        <v>2016</v>
      </c>
      <c r="EG1" s="2">
        <v>2016</v>
      </c>
      <c r="EH1" s="2">
        <v>2016</v>
      </c>
      <c r="EI1" s="2">
        <v>2016</v>
      </c>
      <c r="EJ1" s="2">
        <v>2016</v>
      </c>
      <c r="EK1" s="2">
        <v>2016</v>
      </c>
      <c r="EL1" s="2">
        <v>2016</v>
      </c>
      <c r="EM1" s="2">
        <v>2016</v>
      </c>
      <c r="EN1" s="2">
        <v>2016</v>
      </c>
      <c r="EO1" s="2">
        <v>2016</v>
      </c>
      <c r="EP1" s="2">
        <v>2016</v>
      </c>
      <c r="EQ1" s="2">
        <v>2016</v>
      </c>
      <c r="ER1" s="2">
        <v>2016</v>
      </c>
      <c r="ES1" s="2">
        <v>2016</v>
      </c>
      <c r="ET1" s="2">
        <v>2016</v>
      </c>
      <c r="EU1" s="2">
        <v>2016</v>
      </c>
      <c r="EV1" s="2">
        <v>2016</v>
      </c>
      <c r="EW1" s="2">
        <v>2016</v>
      </c>
      <c r="EX1" s="2">
        <v>2016</v>
      </c>
      <c r="EY1" s="2">
        <v>2016</v>
      </c>
      <c r="EZ1" s="2">
        <v>2016</v>
      </c>
      <c r="FA1" s="2">
        <v>2016</v>
      </c>
      <c r="FB1" s="2">
        <v>2016</v>
      </c>
      <c r="FC1" s="2">
        <v>2016</v>
      </c>
      <c r="FD1" s="2">
        <v>2016</v>
      </c>
      <c r="FE1" s="2">
        <v>2016</v>
      </c>
      <c r="FF1" s="2">
        <v>2016</v>
      </c>
      <c r="FG1" s="2">
        <v>2016</v>
      </c>
      <c r="FH1" s="2">
        <v>2016</v>
      </c>
      <c r="FI1" s="2">
        <v>2016</v>
      </c>
      <c r="FJ1" s="2">
        <v>2016</v>
      </c>
      <c r="FK1" s="2">
        <v>2016</v>
      </c>
      <c r="FL1" s="2">
        <v>2016</v>
      </c>
      <c r="FM1" s="2">
        <v>2016</v>
      </c>
      <c r="FN1" s="2">
        <v>2016</v>
      </c>
      <c r="FO1" s="2">
        <v>2016</v>
      </c>
      <c r="FP1" s="2">
        <v>2016</v>
      </c>
      <c r="FQ1" s="2">
        <v>2016</v>
      </c>
      <c r="FR1" s="2">
        <v>2016</v>
      </c>
      <c r="FS1" s="2">
        <v>2016</v>
      </c>
      <c r="FT1" s="2">
        <v>2017</v>
      </c>
      <c r="FU1" s="2">
        <v>2017</v>
      </c>
      <c r="FV1" s="2">
        <v>2017</v>
      </c>
      <c r="FW1" s="2">
        <v>2017</v>
      </c>
      <c r="FX1" s="2">
        <v>2017</v>
      </c>
      <c r="FY1" s="2">
        <v>2017</v>
      </c>
      <c r="FZ1" s="2">
        <v>2017</v>
      </c>
      <c r="GA1" s="2">
        <v>2017</v>
      </c>
      <c r="GB1" s="2">
        <v>2017</v>
      </c>
      <c r="GC1" s="2">
        <v>2017</v>
      </c>
      <c r="GD1" s="2">
        <v>2017</v>
      </c>
      <c r="GE1" s="2">
        <v>2017</v>
      </c>
      <c r="GF1" s="2">
        <v>2017</v>
      </c>
      <c r="GG1" s="2">
        <v>2017</v>
      </c>
      <c r="GH1" s="2">
        <v>2017</v>
      </c>
      <c r="GI1" s="2">
        <v>2017</v>
      </c>
      <c r="GJ1" s="2">
        <v>2017</v>
      </c>
      <c r="GK1" s="2">
        <v>2017</v>
      </c>
      <c r="GL1" s="2">
        <v>2017</v>
      </c>
      <c r="GM1" s="2">
        <v>2017</v>
      </c>
      <c r="GN1" s="2">
        <v>2017</v>
      </c>
      <c r="GO1" s="2">
        <v>2017</v>
      </c>
      <c r="GP1" s="2">
        <v>2017</v>
      </c>
      <c r="GQ1" s="2">
        <v>2017</v>
      </c>
      <c r="GR1" s="2">
        <v>2017</v>
      </c>
      <c r="GS1" s="2">
        <v>2017</v>
      </c>
      <c r="GT1" s="2">
        <v>2017</v>
      </c>
      <c r="GU1" s="2">
        <v>2017</v>
      </c>
      <c r="GV1" s="2">
        <v>2017</v>
      </c>
      <c r="GW1" s="2">
        <v>2017</v>
      </c>
      <c r="GX1" s="2">
        <v>2017</v>
      </c>
      <c r="GY1" s="2">
        <v>2017</v>
      </c>
      <c r="GZ1" s="2">
        <v>2017</v>
      </c>
      <c r="HA1" s="2">
        <v>2017</v>
      </c>
      <c r="HB1" s="2">
        <v>2017</v>
      </c>
      <c r="HC1" s="2">
        <v>2017</v>
      </c>
      <c r="HD1" s="2">
        <v>2017</v>
      </c>
      <c r="HE1" s="2">
        <v>2017</v>
      </c>
      <c r="HF1" s="2">
        <v>2017</v>
      </c>
      <c r="HG1" s="2">
        <v>2017</v>
      </c>
      <c r="HH1" s="2">
        <v>2018</v>
      </c>
      <c r="HI1" s="2">
        <v>2018</v>
      </c>
      <c r="HJ1" s="2">
        <v>2018</v>
      </c>
      <c r="HK1" s="2">
        <v>2018</v>
      </c>
      <c r="HL1" s="2">
        <v>2018</v>
      </c>
      <c r="HM1" s="2">
        <v>2018</v>
      </c>
      <c r="HN1" s="2">
        <v>2018</v>
      </c>
      <c r="HO1" s="2">
        <v>2018</v>
      </c>
      <c r="HP1" s="2">
        <v>2018</v>
      </c>
      <c r="HQ1" s="2">
        <v>2018</v>
      </c>
      <c r="HR1" s="2">
        <v>2018</v>
      </c>
      <c r="HS1" s="2">
        <v>2018</v>
      </c>
      <c r="HT1" s="2">
        <v>2018</v>
      </c>
      <c r="HU1" s="2">
        <v>2018</v>
      </c>
      <c r="HV1" s="2">
        <v>2018</v>
      </c>
      <c r="HW1" s="2">
        <v>2018</v>
      </c>
      <c r="HX1" s="2">
        <v>2018</v>
      </c>
      <c r="HY1" s="2">
        <v>2018</v>
      </c>
      <c r="HZ1" s="2">
        <v>2018</v>
      </c>
      <c r="IA1" s="2">
        <v>2018</v>
      </c>
      <c r="IB1" s="2">
        <v>2018</v>
      </c>
      <c r="IC1" s="2">
        <v>2018</v>
      </c>
      <c r="ID1" s="2">
        <v>2018</v>
      </c>
      <c r="IE1" s="2">
        <v>2018</v>
      </c>
      <c r="IF1" s="2">
        <v>2018</v>
      </c>
      <c r="IG1" s="2">
        <v>2018</v>
      </c>
      <c r="IH1" s="2">
        <v>2018</v>
      </c>
      <c r="II1" s="2">
        <v>2018</v>
      </c>
      <c r="IJ1" s="2">
        <v>2018</v>
      </c>
      <c r="IK1" s="2">
        <v>2018</v>
      </c>
      <c r="IL1" s="2">
        <v>2018</v>
      </c>
      <c r="IM1" s="2">
        <v>2018</v>
      </c>
      <c r="IN1" s="2">
        <v>2018</v>
      </c>
      <c r="IO1" s="2">
        <v>2018</v>
      </c>
      <c r="IP1" s="2">
        <v>2018</v>
      </c>
      <c r="IQ1" s="2">
        <v>2018</v>
      </c>
      <c r="IR1" s="2">
        <v>2018</v>
      </c>
      <c r="IS1" s="2">
        <v>2018</v>
      </c>
      <c r="IT1" s="2">
        <v>2018</v>
      </c>
      <c r="IU1" s="2">
        <v>2018</v>
      </c>
      <c r="IV1" s="2">
        <v>2019</v>
      </c>
      <c r="IW1" s="2">
        <v>2019</v>
      </c>
      <c r="IX1" s="2">
        <v>2019</v>
      </c>
      <c r="IY1" s="2">
        <v>2019</v>
      </c>
      <c r="IZ1" s="2">
        <v>2019</v>
      </c>
      <c r="JA1" s="2">
        <v>2019</v>
      </c>
      <c r="JB1" s="2">
        <v>2019</v>
      </c>
      <c r="JC1" s="2">
        <v>2019</v>
      </c>
      <c r="JD1" s="2">
        <v>2019</v>
      </c>
      <c r="JE1" s="2">
        <v>2019</v>
      </c>
      <c r="JF1" s="2">
        <v>2019</v>
      </c>
      <c r="JG1" s="2">
        <v>2019</v>
      </c>
      <c r="JH1" s="2">
        <v>2019</v>
      </c>
      <c r="JI1" s="2">
        <v>2019</v>
      </c>
      <c r="JJ1" s="2">
        <v>2019</v>
      </c>
      <c r="JK1" s="2">
        <v>2019</v>
      </c>
      <c r="JL1" s="2">
        <v>2019</v>
      </c>
      <c r="JM1" s="2">
        <v>2019</v>
      </c>
      <c r="JN1" s="2">
        <v>2019</v>
      </c>
      <c r="JO1" s="2">
        <v>2019</v>
      </c>
      <c r="JP1" s="2">
        <v>2019</v>
      </c>
      <c r="JQ1" s="2">
        <v>2019</v>
      </c>
      <c r="JR1" s="2">
        <v>2019</v>
      </c>
      <c r="JS1" s="2">
        <v>2019</v>
      </c>
      <c r="JT1" s="2">
        <v>2019</v>
      </c>
      <c r="JU1" s="2">
        <v>2019</v>
      </c>
      <c r="JV1" s="2">
        <v>2019</v>
      </c>
      <c r="JW1" s="2">
        <v>2019</v>
      </c>
      <c r="JX1" s="2">
        <v>2019</v>
      </c>
      <c r="JY1" s="2">
        <v>2019</v>
      </c>
      <c r="JZ1" s="2">
        <v>2019</v>
      </c>
      <c r="KA1" s="2">
        <v>2019</v>
      </c>
      <c r="KB1" s="2">
        <v>2019</v>
      </c>
      <c r="KC1" s="2">
        <v>2019</v>
      </c>
      <c r="KD1" s="2">
        <v>2019</v>
      </c>
      <c r="KE1" s="2">
        <v>2019</v>
      </c>
      <c r="KF1" s="2">
        <v>2019</v>
      </c>
      <c r="KG1" s="2">
        <v>2019</v>
      </c>
      <c r="KH1" s="2">
        <v>2019</v>
      </c>
      <c r="KI1" s="2">
        <v>2019</v>
      </c>
      <c r="KJ1" s="2">
        <v>2020</v>
      </c>
      <c r="KK1" s="2">
        <v>2020</v>
      </c>
      <c r="KL1" s="2">
        <v>2020</v>
      </c>
      <c r="KM1" s="2">
        <v>2020</v>
      </c>
      <c r="KN1" s="2">
        <v>2020</v>
      </c>
      <c r="KO1" s="2">
        <v>2020</v>
      </c>
      <c r="KP1" s="2">
        <v>2020</v>
      </c>
      <c r="KQ1" s="2">
        <v>2020</v>
      </c>
      <c r="KR1" s="2">
        <v>2020</v>
      </c>
      <c r="KS1" s="2">
        <v>2020</v>
      </c>
      <c r="KT1" s="2">
        <v>2020</v>
      </c>
      <c r="KU1" s="2">
        <v>2020</v>
      </c>
      <c r="KV1" s="2">
        <v>2020</v>
      </c>
      <c r="KW1" s="2">
        <v>2020</v>
      </c>
      <c r="KX1" s="2">
        <v>2020</v>
      </c>
      <c r="KY1" s="2">
        <v>2020</v>
      </c>
      <c r="KZ1" s="2">
        <v>2020</v>
      </c>
      <c r="LA1" s="2">
        <v>2020</v>
      </c>
      <c r="LB1" s="2">
        <v>2020</v>
      </c>
      <c r="LC1" s="2">
        <v>2020</v>
      </c>
      <c r="LD1" s="2">
        <v>2020</v>
      </c>
      <c r="LE1" s="2">
        <v>2020</v>
      </c>
      <c r="LF1" s="2">
        <v>2020</v>
      </c>
      <c r="LG1" s="2">
        <v>2020</v>
      </c>
      <c r="LH1" s="2">
        <v>2020</v>
      </c>
      <c r="LI1" s="2">
        <v>2020</v>
      </c>
      <c r="LJ1" s="2">
        <v>2020</v>
      </c>
      <c r="LK1" s="2">
        <v>2020</v>
      </c>
      <c r="LL1" s="2">
        <v>2020</v>
      </c>
      <c r="LM1" s="2">
        <v>2020</v>
      </c>
      <c r="LN1" s="2">
        <v>2020</v>
      </c>
      <c r="LO1" s="2">
        <v>2020</v>
      </c>
      <c r="LP1" s="2">
        <v>2020</v>
      </c>
      <c r="LQ1" s="2">
        <v>2020</v>
      </c>
      <c r="LR1" s="2">
        <v>2020</v>
      </c>
      <c r="LS1" s="2">
        <v>2020</v>
      </c>
      <c r="LT1" s="2">
        <v>2020</v>
      </c>
      <c r="LU1" s="2">
        <v>2020</v>
      </c>
      <c r="LV1" s="2">
        <v>2020</v>
      </c>
      <c r="LW1" s="2">
        <v>2020</v>
      </c>
      <c r="LX1" s="2">
        <v>2021</v>
      </c>
      <c r="LY1" s="2">
        <v>2021</v>
      </c>
      <c r="LZ1" s="2">
        <v>2021</v>
      </c>
      <c r="MA1" s="2">
        <v>2021</v>
      </c>
      <c r="MB1" s="2">
        <v>2021</v>
      </c>
      <c r="MC1" s="2">
        <v>2021</v>
      </c>
      <c r="MD1" s="2">
        <v>2021</v>
      </c>
      <c r="ME1" s="2">
        <v>2021</v>
      </c>
      <c r="MF1" s="2">
        <v>2021</v>
      </c>
      <c r="MG1" s="2">
        <v>2021</v>
      </c>
      <c r="MH1" s="2">
        <v>2021</v>
      </c>
      <c r="MI1" s="2">
        <v>2021</v>
      </c>
      <c r="MJ1" s="2">
        <v>2021</v>
      </c>
      <c r="MK1" s="2">
        <v>2021</v>
      </c>
      <c r="ML1" s="2">
        <v>2021</v>
      </c>
      <c r="MM1" s="2">
        <v>2021</v>
      </c>
      <c r="MN1" s="2">
        <v>2021</v>
      </c>
      <c r="MO1" s="2">
        <v>2021</v>
      </c>
      <c r="MP1" s="2">
        <v>2021</v>
      </c>
      <c r="MQ1" s="2">
        <v>2021</v>
      </c>
      <c r="MR1" s="2">
        <v>2021</v>
      </c>
      <c r="MS1" s="2">
        <v>2021</v>
      </c>
      <c r="MT1" s="2">
        <v>2021</v>
      </c>
      <c r="MU1" s="2">
        <v>2021</v>
      </c>
      <c r="MV1" s="2">
        <v>2021</v>
      </c>
      <c r="MW1" s="2">
        <v>2021</v>
      </c>
      <c r="MX1" s="2">
        <v>2021</v>
      </c>
      <c r="MY1" s="2">
        <v>2021</v>
      </c>
      <c r="MZ1" s="2">
        <v>2021</v>
      </c>
      <c r="NA1" s="2">
        <v>2021</v>
      </c>
      <c r="NB1" s="2">
        <v>2021</v>
      </c>
      <c r="NC1" s="2">
        <v>2021</v>
      </c>
      <c r="ND1" s="2">
        <v>2021</v>
      </c>
      <c r="NE1" s="2">
        <v>2021</v>
      </c>
      <c r="NF1" s="2">
        <v>2021</v>
      </c>
      <c r="NG1" s="2">
        <v>2021</v>
      </c>
      <c r="NH1" s="2">
        <v>2021</v>
      </c>
      <c r="NI1" s="2">
        <v>2021</v>
      </c>
      <c r="NJ1" s="2">
        <v>2021</v>
      </c>
      <c r="NK1" s="2">
        <v>2021</v>
      </c>
      <c r="NL1" s="2">
        <v>2022</v>
      </c>
      <c r="NM1" s="2">
        <v>2022</v>
      </c>
      <c r="NN1" s="2">
        <v>2022</v>
      </c>
      <c r="NO1" s="2">
        <v>2022</v>
      </c>
      <c r="NP1" s="2">
        <v>2022</v>
      </c>
      <c r="NQ1" s="2">
        <v>2022</v>
      </c>
      <c r="NR1" s="2">
        <v>2022</v>
      </c>
      <c r="NS1" s="2">
        <v>2022</v>
      </c>
      <c r="NT1" s="2">
        <v>2022</v>
      </c>
      <c r="NU1" s="2">
        <v>2022</v>
      </c>
      <c r="NV1" s="2">
        <v>2022</v>
      </c>
      <c r="NW1" s="2">
        <v>2022</v>
      </c>
      <c r="NX1" s="2">
        <v>2022</v>
      </c>
      <c r="NY1" s="2">
        <v>2022</v>
      </c>
      <c r="NZ1" s="2">
        <v>2022</v>
      </c>
      <c r="OA1" s="2">
        <v>2022</v>
      </c>
      <c r="OB1" s="2">
        <v>2022</v>
      </c>
      <c r="OC1" s="2">
        <v>2022</v>
      </c>
      <c r="OD1" s="2">
        <v>2022</v>
      </c>
      <c r="OE1" s="2">
        <v>2022</v>
      </c>
      <c r="OF1" s="2">
        <v>2022</v>
      </c>
      <c r="OG1" s="2">
        <v>2022</v>
      </c>
      <c r="OH1" s="2">
        <v>2022</v>
      </c>
      <c r="OI1" s="2">
        <v>2022</v>
      </c>
      <c r="OJ1" s="2">
        <v>2022</v>
      </c>
      <c r="OK1" s="2">
        <v>2022</v>
      </c>
      <c r="OL1" s="2">
        <v>2022</v>
      </c>
      <c r="OM1" s="2">
        <v>2022</v>
      </c>
      <c r="ON1" s="2">
        <v>2022</v>
      </c>
      <c r="OO1" s="2">
        <v>2022</v>
      </c>
      <c r="OP1" s="2">
        <v>2022</v>
      </c>
      <c r="OQ1" s="2">
        <v>2022</v>
      </c>
      <c r="OR1" s="2">
        <v>2022</v>
      </c>
      <c r="OS1" s="2">
        <v>2022</v>
      </c>
      <c r="OT1" s="2">
        <v>2022</v>
      </c>
      <c r="OU1" s="2">
        <v>2022</v>
      </c>
      <c r="OV1" s="2">
        <v>2022</v>
      </c>
      <c r="OW1" s="2">
        <v>2022</v>
      </c>
      <c r="OX1" s="2">
        <v>2022</v>
      </c>
      <c r="OY1" s="2">
        <v>2022</v>
      </c>
      <c r="OZ1" s="2">
        <v>2023</v>
      </c>
      <c r="PA1" s="2">
        <v>2023</v>
      </c>
      <c r="PB1" s="2">
        <v>2023</v>
      </c>
      <c r="PC1" s="2">
        <v>2023</v>
      </c>
      <c r="PD1" s="2">
        <v>2023</v>
      </c>
      <c r="PE1" s="2">
        <v>2023</v>
      </c>
      <c r="PF1" s="2">
        <v>2023</v>
      </c>
      <c r="PG1" s="2">
        <v>2023</v>
      </c>
      <c r="PH1" s="2">
        <v>2023</v>
      </c>
      <c r="PI1" s="2">
        <v>2023</v>
      </c>
      <c r="PJ1" s="2">
        <v>2023</v>
      </c>
      <c r="PK1" s="2">
        <v>2023</v>
      </c>
      <c r="PL1" s="2">
        <v>2023</v>
      </c>
      <c r="PM1" s="2">
        <v>2023</v>
      </c>
      <c r="PN1" s="2">
        <v>2023</v>
      </c>
      <c r="PO1" s="2">
        <v>2023</v>
      </c>
      <c r="PP1" s="2">
        <v>2023</v>
      </c>
      <c r="PQ1" s="2">
        <v>2023</v>
      </c>
      <c r="PR1" s="2">
        <v>2023</v>
      </c>
      <c r="PS1" s="2">
        <v>2023</v>
      </c>
      <c r="PT1" s="2">
        <v>2023</v>
      </c>
      <c r="PU1" s="2">
        <v>2023</v>
      </c>
      <c r="PV1" s="2">
        <v>2023</v>
      </c>
      <c r="PW1" s="2">
        <v>2023</v>
      </c>
      <c r="PX1" s="2">
        <v>2023</v>
      </c>
      <c r="PY1" s="2">
        <v>2023</v>
      </c>
      <c r="PZ1" s="2">
        <v>2023</v>
      </c>
      <c r="QA1" s="2">
        <v>2023</v>
      </c>
      <c r="QB1" s="2">
        <v>2023</v>
      </c>
      <c r="QC1" s="2">
        <v>2023</v>
      </c>
      <c r="QD1" s="2">
        <v>2023</v>
      </c>
      <c r="QE1" s="2">
        <v>2023</v>
      </c>
      <c r="QF1" s="2">
        <v>2023</v>
      </c>
      <c r="QG1" s="2">
        <v>2023</v>
      </c>
      <c r="QH1" s="2">
        <v>2023</v>
      </c>
      <c r="QI1" s="2">
        <v>2023</v>
      </c>
      <c r="QJ1" s="2">
        <v>2023</v>
      </c>
      <c r="QK1" s="2">
        <v>2023</v>
      </c>
      <c r="QL1" s="2">
        <v>2023</v>
      </c>
      <c r="QM1" s="2"/>
      <c r="RX1" s="2"/>
      <c r="RY1" s="2"/>
      <c r="RZ1" s="2"/>
      <c r="SA1" s="2"/>
    </row>
    <row r="2" spans="1:578" ht="33" hidden="1" customHeight="1"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47" t="s">
        <v>187</v>
      </c>
      <c r="U2" s="247" t="s">
        <v>188</v>
      </c>
      <c r="V2" s="2" t="s">
        <v>189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  <c r="AC2" s="2" t="s">
        <v>0</v>
      </c>
      <c r="AD2" s="2" t="s">
        <v>0</v>
      </c>
      <c r="AE2" s="2" t="s">
        <v>0</v>
      </c>
      <c r="AF2" s="2" t="s">
        <v>0</v>
      </c>
      <c r="AG2" s="2" t="s">
        <v>0</v>
      </c>
      <c r="AH2" s="2" t="s">
        <v>0</v>
      </c>
      <c r="AI2" s="2" t="s">
        <v>0</v>
      </c>
      <c r="AJ2" s="247" t="s">
        <v>187</v>
      </c>
      <c r="AK2" s="247" t="s">
        <v>188</v>
      </c>
      <c r="AL2" s="2" t="s">
        <v>189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0</v>
      </c>
      <c r="AW2" s="2" t="s">
        <v>0</v>
      </c>
      <c r="AX2" s="2" t="s">
        <v>0</v>
      </c>
      <c r="AY2" s="2" t="s">
        <v>0</v>
      </c>
      <c r="AZ2" s="247" t="s">
        <v>187</v>
      </c>
      <c r="BA2" s="247" t="s">
        <v>188</v>
      </c>
      <c r="BB2" s="2" t="s">
        <v>189</v>
      </c>
      <c r="BC2" s="2" t="s">
        <v>0</v>
      </c>
      <c r="BD2" s="247" t="s">
        <v>190</v>
      </c>
      <c r="BE2" s="247" t="s">
        <v>191</v>
      </c>
      <c r="BF2" s="247" t="s">
        <v>192</v>
      </c>
      <c r="BG2" s="247" t="s">
        <v>190</v>
      </c>
      <c r="BH2" s="247" t="s">
        <v>191</v>
      </c>
      <c r="BI2" s="247" t="s">
        <v>192</v>
      </c>
      <c r="BJ2" s="247" t="s">
        <v>190</v>
      </c>
      <c r="BK2" s="247" t="s">
        <v>191</v>
      </c>
      <c r="BL2" s="247" t="s">
        <v>192</v>
      </c>
      <c r="BM2" s="247" t="s">
        <v>190</v>
      </c>
      <c r="BN2" s="247" t="s">
        <v>191</v>
      </c>
      <c r="BO2" s="247" t="s">
        <v>192</v>
      </c>
      <c r="BP2" s="247" t="s">
        <v>190</v>
      </c>
      <c r="BQ2" s="247" t="s">
        <v>191</v>
      </c>
      <c r="BR2" s="247" t="s">
        <v>192</v>
      </c>
      <c r="BS2" s="247" t="s">
        <v>190</v>
      </c>
      <c r="BT2" s="247" t="s">
        <v>191</v>
      </c>
      <c r="BU2" s="247" t="s">
        <v>192</v>
      </c>
      <c r="BV2" s="247" t="s">
        <v>190</v>
      </c>
      <c r="BW2" s="247" t="s">
        <v>191</v>
      </c>
      <c r="BX2" s="247" t="s">
        <v>192</v>
      </c>
      <c r="BY2" s="247" t="s">
        <v>190</v>
      </c>
      <c r="BZ2" s="247" t="s">
        <v>191</v>
      </c>
      <c r="CA2" s="247" t="s">
        <v>192</v>
      </c>
      <c r="CB2" s="247" t="s">
        <v>190</v>
      </c>
      <c r="CC2" s="247" t="s">
        <v>191</v>
      </c>
      <c r="CD2" s="247" t="s">
        <v>192</v>
      </c>
      <c r="CE2" s="247" t="s">
        <v>190</v>
      </c>
      <c r="CF2" s="247" t="s">
        <v>191</v>
      </c>
      <c r="CG2" s="247" t="s">
        <v>192</v>
      </c>
      <c r="CH2" s="247" t="s">
        <v>190</v>
      </c>
      <c r="CI2" s="247" t="s">
        <v>191</v>
      </c>
      <c r="CJ2" s="247" t="s">
        <v>192</v>
      </c>
      <c r="CK2" s="247" t="s">
        <v>190</v>
      </c>
      <c r="CL2" s="247" t="s">
        <v>191</v>
      </c>
      <c r="CM2" s="247" t="s">
        <v>192</v>
      </c>
      <c r="CN2" s="247" t="s">
        <v>193</v>
      </c>
      <c r="CO2" s="247" t="s">
        <v>194</v>
      </c>
      <c r="CP2" s="247" t="s">
        <v>195</v>
      </c>
      <c r="CQ2" s="247" t="s">
        <v>0</v>
      </c>
      <c r="CR2" s="247" t="s">
        <v>190</v>
      </c>
      <c r="CS2" s="247" t="s">
        <v>191</v>
      </c>
      <c r="CT2" s="247" t="s">
        <v>192</v>
      </c>
      <c r="CU2" s="247" t="s">
        <v>190</v>
      </c>
      <c r="CV2" s="247" t="s">
        <v>191</v>
      </c>
      <c r="CW2" s="247" t="s">
        <v>192</v>
      </c>
      <c r="CX2" s="247" t="s">
        <v>190</v>
      </c>
      <c r="CY2" s="247" t="s">
        <v>191</v>
      </c>
      <c r="CZ2" s="247" t="s">
        <v>192</v>
      </c>
      <c r="DA2" s="247" t="s">
        <v>190</v>
      </c>
      <c r="DB2" s="247" t="s">
        <v>191</v>
      </c>
      <c r="DC2" s="247" t="s">
        <v>192</v>
      </c>
      <c r="DD2" s="247" t="s">
        <v>190</v>
      </c>
      <c r="DE2" s="247" t="s">
        <v>191</v>
      </c>
      <c r="DF2" s="247" t="s">
        <v>192</v>
      </c>
      <c r="DG2" s="247" t="s">
        <v>190</v>
      </c>
      <c r="DH2" s="247" t="s">
        <v>191</v>
      </c>
      <c r="DI2" s="247" t="s">
        <v>192</v>
      </c>
      <c r="DJ2" s="247" t="s">
        <v>190</v>
      </c>
      <c r="DK2" s="247" t="s">
        <v>191</v>
      </c>
      <c r="DL2" s="247" t="s">
        <v>192</v>
      </c>
      <c r="DM2" s="247" t="s">
        <v>190</v>
      </c>
      <c r="DN2" s="247" t="s">
        <v>191</v>
      </c>
      <c r="DO2" s="247" t="s">
        <v>192</v>
      </c>
      <c r="DP2" s="247" t="s">
        <v>190</v>
      </c>
      <c r="DQ2" s="247" t="s">
        <v>191</v>
      </c>
      <c r="DR2" s="247" t="s">
        <v>192</v>
      </c>
      <c r="DS2" s="247" t="s">
        <v>190</v>
      </c>
      <c r="DT2" s="247" t="s">
        <v>191</v>
      </c>
      <c r="DU2" s="247" t="s">
        <v>192</v>
      </c>
      <c r="DV2" s="247" t="s">
        <v>190</v>
      </c>
      <c r="DW2" s="247" t="s">
        <v>191</v>
      </c>
      <c r="DX2" s="247" t="s">
        <v>192</v>
      </c>
      <c r="DY2" s="247" t="s">
        <v>190</v>
      </c>
      <c r="DZ2" s="247" t="s">
        <v>191</v>
      </c>
      <c r="EA2" s="247" t="s">
        <v>192</v>
      </c>
      <c r="EB2" s="247" t="s">
        <v>193</v>
      </c>
      <c r="EC2" s="247" t="s">
        <v>194</v>
      </c>
      <c r="ED2" s="247" t="s">
        <v>195</v>
      </c>
      <c r="EE2" s="3" t="s">
        <v>0</v>
      </c>
      <c r="EF2" s="247" t="s">
        <v>190</v>
      </c>
      <c r="EG2" s="247" t="s">
        <v>191</v>
      </c>
      <c r="EH2" s="247" t="s">
        <v>192</v>
      </c>
      <c r="EI2" s="247" t="s">
        <v>190</v>
      </c>
      <c r="EJ2" s="247" t="s">
        <v>191</v>
      </c>
      <c r="EK2" s="247" t="s">
        <v>192</v>
      </c>
      <c r="EL2" s="247" t="s">
        <v>190</v>
      </c>
      <c r="EM2" s="247" t="s">
        <v>191</v>
      </c>
      <c r="EN2" s="247" t="s">
        <v>192</v>
      </c>
      <c r="EO2" s="247" t="s">
        <v>190</v>
      </c>
      <c r="EP2" s="247" t="s">
        <v>191</v>
      </c>
      <c r="EQ2" s="247" t="s">
        <v>192</v>
      </c>
      <c r="ER2" s="247" t="s">
        <v>190</v>
      </c>
      <c r="ES2" s="247" t="s">
        <v>191</v>
      </c>
      <c r="ET2" s="247" t="s">
        <v>192</v>
      </c>
      <c r="EU2" s="247" t="s">
        <v>190</v>
      </c>
      <c r="EV2" s="247" t="s">
        <v>191</v>
      </c>
      <c r="EW2" s="247" t="s">
        <v>192</v>
      </c>
      <c r="EX2" s="247" t="s">
        <v>190</v>
      </c>
      <c r="EY2" s="247" t="s">
        <v>191</v>
      </c>
      <c r="EZ2" s="247" t="s">
        <v>192</v>
      </c>
      <c r="FA2" s="247" t="s">
        <v>190</v>
      </c>
      <c r="FB2" s="247" t="s">
        <v>191</v>
      </c>
      <c r="FC2" s="247" t="s">
        <v>192</v>
      </c>
      <c r="FD2" s="247" t="s">
        <v>190</v>
      </c>
      <c r="FE2" s="247" t="s">
        <v>191</v>
      </c>
      <c r="FF2" s="247" t="s">
        <v>192</v>
      </c>
      <c r="FG2" s="247" t="s">
        <v>190</v>
      </c>
      <c r="FH2" s="247" t="s">
        <v>191</v>
      </c>
      <c r="FI2" s="247" t="s">
        <v>192</v>
      </c>
      <c r="FJ2" s="247" t="s">
        <v>190</v>
      </c>
      <c r="FK2" s="247" t="s">
        <v>191</v>
      </c>
      <c r="FL2" s="247" t="s">
        <v>192</v>
      </c>
      <c r="FM2" s="247" t="s">
        <v>190</v>
      </c>
      <c r="FN2" s="247" t="s">
        <v>191</v>
      </c>
      <c r="FO2" s="247" t="s">
        <v>192</v>
      </c>
      <c r="FP2" s="247" t="s">
        <v>193</v>
      </c>
      <c r="FQ2" s="247" t="s">
        <v>194</v>
      </c>
      <c r="FR2" s="247" t="s">
        <v>195</v>
      </c>
      <c r="FS2" s="3" t="s">
        <v>0</v>
      </c>
      <c r="FT2" s="247" t="s">
        <v>190</v>
      </c>
      <c r="FU2" s="247" t="s">
        <v>191</v>
      </c>
      <c r="FV2" s="247" t="s">
        <v>192</v>
      </c>
      <c r="FW2" s="247" t="s">
        <v>190</v>
      </c>
      <c r="FX2" s="247" t="s">
        <v>191</v>
      </c>
      <c r="FY2" s="247" t="s">
        <v>192</v>
      </c>
      <c r="FZ2" s="247" t="s">
        <v>190</v>
      </c>
      <c r="GA2" s="247" t="s">
        <v>191</v>
      </c>
      <c r="GB2" s="247" t="s">
        <v>192</v>
      </c>
      <c r="GC2" s="247" t="s">
        <v>190</v>
      </c>
      <c r="GD2" s="247" t="s">
        <v>191</v>
      </c>
      <c r="GE2" s="247" t="s">
        <v>192</v>
      </c>
      <c r="GF2" s="247" t="s">
        <v>190</v>
      </c>
      <c r="GG2" s="247" t="s">
        <v>191</v>
      </c>
      <c r="GH2" s="247" t="s">
        <v>192</v>
      </c>
      <c r="GI2" s="247" t="s">
        <v>190</v>
      </c>
      <c r="GJ2" s="247" t="s">
        <v>191</v>
      </c>
      <c r="GK2" s="247" t="s">
        <v>192</v>
      </c>
      <c r="GL2" s="247" t="s">
        <v>190</v>
      </c>
      <c r="GM2" s="247" t="s">
        <v>191</v>
      </c>
      <c r="GN2" s="247" t="s">
        <v>192</v>
      </c>
      <c r="GO2" s="247" t="s">
        <v>190</v>
      </c>
      <c r="GP2" s="247" t="s">
        <v>191</v>
      </c>
      <c r="GQ2" s="247" t="s">
        <v>192</v>
      </c>
      <c r="GR2" s="247" t="s">
        <v>190</v>
      </c>
      <c r="GS2" s="247" t="s">
        <v>191</v>
      </c>
      <c r="GT2" s="247" t="s">
        <v>192</v>
      </c>
      <c r="GU2" s="247" t="s">
        <v>190</v>
      </c>
      <c r="GV2" s="247" t="s">
        <v>191</v>
      </c>
      <c r="GW2" s="247" t="s">
        <v>192</v>
      </c>
      <c r="GX2" s="247" t="s">
        <v>190</v>
      </c>
      <c r="GY2" s="247" t="s">
        <v>191</v>
      </c>
      <c r="GZ2" s="247" t="s">
        <v>192</v>
      </c>
      <c r="HA2" s="247" t="s">
        <v>190</v>
      </c>
      <c r="HB2" s="247" t="s">
        <v>191</v>
      </c>
      <c r="HC2" s="247" t="s">
        <v>192</v>
      </c>
      <c r="HD2" s="247" t="s">
        <v>193</v>
      </c>
      <c r="HE2" s="247" t="s">
        <v>194</v>
      </c>
      <c r="HF2" s="247" t="s">
        <v>195</v>
      </c>
      <c r="HG2" s="3" t="s">
        <v>0</v>
      </c>
      <c r="HH2" s="247" t="s">
        <v>190</v>
      </c>
      <c r="HI2" s="247" t="s">
        <v>191</v>
      </c>
      <c r="HJ2" s="247" t="s">
        <v>192</v>
      </c>
      <c r="HK2" s="247" t="s">
        <v>190</v>
      </c>
      <c r="HL2" s="247" t="s">
        <v>191</v>
      </c>
      <c r="HM2" s="247" t="s">
        <v>192</v>
      </c>
      <c r="HN2" s="247" t="s">
        <v>190</v>
      </c>
      <c r="HO2" s="247" t="s">
        <v>191</v>
      </c>
      <c r="HP2" s="247" t="s">
        <v>192</v>
      </c>
      <c r="HQ2" s="247" t="s">
        <v>190</v>
      </c>
      <c r="HR2" s="247" t="s">
        <v>191</v>
      </c>
      <c r="HS2" s="247" t="s">
        <v>192</v>
      </c>
      <c r="HT2" s="247" t="s">
        <v>190</v>
      </c>
      <c r="HU2" s="247" t="s">
        <v>191</v>
      </c>
      <c r="HV2" s="247" t="s">
        <v>192</v>
      </c>
      <c r="HW2" s="247" t="s">
        <v>190</v>
      </c>
      <c r="HX2" s="247" t="s">
        <v>191</v>
      </c>
      <c r="HY2" s="247" t="s">
        <v>192</v>
      </c>
      <c r="HZ2" s="247" t="s">
        <v>190</v>
      </c>
      <c r="IA2" s="247" t="s">
        <v>191</v>
      </c>
      <c r="IB2" s="247" t="s">
        <v>192</v>
      </c>
      <c r="IC2" s="247" t="s">
        <v>190</v>
      </c>
      <c r="ID2" s="247" t="s">
        <v>191</v>
      </c>
      <c r="IE2" s="247" t="s">
        <v>192</v>
      </c>
      <c r="IF2" s="247" t="s">
        <v>190</v>
      </c>
      <c r="IG2" s="247" t="s">
        <v>191</v>
      </c>
      <c r="IH2" s="247" t="s">
        <v>192</v>
      </c>
      <c r="II2" s="247" t="s">
        <v>190</v>
      </c>
      <c r="IJ2" s="247" t="s">
        <v>191</v>
      </c>
      <c r="IK2" s="247" t="s">
        <v>192</v>
      </c>
      <c r="IL2" s="247" t="s">
        <v>190</v>
      </c>
      <c r="IM2" s="247" t="s">
        <v>191</v>
      </c>
      <c r="IN2" s="247" t="s">
        <v>192</v>
      </c>
      <c r="IO2" s="247" t="s">
        <v>190</v>
      </c>
      <c r="IP2" s="247" t="s">
        <v>191</v>
      </c>
      <c r="IQ2" s="247" t="s">
        <v>192</v>
      </c>
      <c r="IR2" s="247" t="s">
        <v>193</v>
      </c>
      <c r="IS2" s="247" t="s">
        <v>194</v>
      </c>
      <c r="IT2" s="247" t="s">
        <v>195</v>
      </c>
      <c r="IU2" s="3" t="s">
        <v>0</v>
      </c>
      <c r="IV2" s="247" t="s">
        <v>190</v>
      </c>
      <c r="IW2" s="247" t="s">
        <v>191</v>
      </c>
      <c r="IX2" s="247" t="s">
        <v>192</v>
      </c>
      <c r="IY2" s="247" t="s">
        <v>190</v>
      </c>
      <c r="IZ2" s="247" t="s">
        <v>191</v>
      </c>
      <c r="JA2" s="247" t="s">
        <v>192</v>
      </c>
      <c r="JB2" s="247" t="s">
        <v>190</v>
      </c>
      <c r="JC2" s="247" t="s">
        <v>191</v>
      </c>
      <c r="JD2" s="247" t="s">
        <v>192</v>
      </c>
      <c r="JE2" s="247" t="s">
        <v>190</v>
      </c>
      <c r="JF2" s="247" t="s">
        <v>191</v>
      </c>
      <c r="JG2" s="247" t="s">
        <v>192</v>
      </c>
      <c r="JH2" s="247" t="s">
        <v>190</v>
      </c>
      <c r="JI2" s="247" t="s">
        <v>191</v>
      </c>
      <c r="JJ2" s="247" t="s">
        <v>192</v>
      </c>
      <c r="JK2" s="247" t="s">
        <v>190</v>
      </c>
      <c r="JL2" s="247" t="s">
        <v>191</v>
      </c>
      <c r="JM2" s="247" t="s">
        <v>192</v>
      </c>
      <c r="JN2" s="247" t="s">
        <v>190</v>
      </c>
      <c r="JO2" s="247" t="s">
        <v>191</v>
      </c>
      <c r="JP2" s="247" t="s">
        <v>192</v>
      </c>
      <c r="JQ2" s="247" t="s">
        <v>190</v>
      </c>
      <c r="JR2" s="247" t="s">
        <v>191</v>
      </c>
      <c r="JS2" s="247" t="s">
        <v>192</v>
      </c>
      <c r="JT2" s="247" t="s">
        <v>190</v>
      </c>
      <c r="JU2" s="247" t="s">
        <v>191</v>
      </c>
      <c r="JV2" s="247" t="s">
        <v>192</v>
      </c>
      <c r="JW2" s="247" t="s">
        <v>190</v>
      </c>
      <c r="JX2" s="247" t="s">
        <v>191</v>
      </c>
      <c r="JY2" s="247" t="s">
        <v>192</v>
      </c>
      <c r="JZ2" s="247" t="s">
        <v>190</v>
      </c>
      <c r="KA2" s="247" t="s">
        <v>191</v>
      </c>
      <c r="KB2" s="247" t="s">
        <v>192</v>
      </c>
      <c r="KC2" s="247" t="s">
        <v>190</v>
      </c>
      <c r="KD2" s="247" t="s">
        <v>191</v>
      </c>
      <c r="KE2" s="247" t="s">
        <v>192</v>
      </c>
      <c r="KF2" s="247" t="s">
        <v>193</v>
      </c>
      <c r="KG2" s="247" t="s">
        <v>194</v>
      </c>
      <c r="KH2" s="247" t="s">
        <v>195</v>
      </c>
      <c r="KI2" s="3" t="s">
        <v>0</v>
      </c>
      <c r="KJ2" s="247" t="s">
        <v>190</v>
      </c>
      <c r="KK2" s="247" t="s">
        <v>191</v>
      </c>
      <c r="KL2" s="247" t="s">
        <v>192</v>
      </c>
      <c r="KM2" s="247" t="s">
        <v>190</v>
      </c>
      <c r="KN2" s="247" t="s">
        <v>191</v>
      </c>
      <c r="KO2" s="247" t="s">
        <v>192</v>
      </c>
      <c r="KP2" s="247" t="s">
        <v>190</v>
      </c>
      <c r="KQ2" s="247" t="s">
        <v>191</v>
      </c>
      <c r="KR2" s="247" t="s">
        <v>192</v>
      </c>
      <c r="KS2" s="247" t="s">
        <v>190</v>
      </c>
      <c r="KT2" s="247" t="s">
        <v>191</v>
      </c>
      <c r="KU2" s="247" t="s">
        <v>192</v>
      </c>
      <c r="KV2" s="247" t="s">
        <v>190</v>
      </c>
      <c r="KW2" s="247" t="s">
        <v>191</v>
      </c>
      <c r="KX2" s="247" t="s">
        <v>192</v>
      </c>
      <c r="KY2" s="247" t="s">
        <v>190</v>
      </c>
      <c r="KZ2" s="247" t="s">
        <v>191</v>
      </c>
      <c r="LA2" s="247" t="s">
        <v>192</v>
      </c>
      <c r="LB2" s="247" t="s">
        <v>190</v>
      </c>
      <c r="LC2" s="247" t="s">
        <v>191</v>
      </c>
      <c r="LD2" s="247" t="s">
        <v>192</v>
      </c>
      <c r="LE2" s="247" t="s">
        <v>190</v>
      </c>
      <c r="LF2" s="247" t="s">
        <v>191</v>
      </c>
      <c r="LG2" s="247" t="s">
        <v>192</v>
      </c>
      <c r="LH2" s="247" t="s">
        <v>190</v>
      </c>
      <c r="LI2" s="247" t="s">
        <v>191</v>
      </c>
      <c r="LJ2" s="247" t="s">
        <v>192</v>
      </c>
      <c r="LK2" s="247" t="s">
        <v>190</v>
      </c>
      <c r="LL2" s="247" t="s">
        <v>191</v>
      </c>
      <c r="LM2" s="247" t="s">
        <v>192</v>
      </c>
      <c r="LN2" s="247" t="s">
        <v>190</v>
      </c>
      <c r="LO2" s="247" t="s">
        <v>191</v>
      </c>
      <c r="LP2" s="247" t="s">
        <v>192</v>
      </c>
      <c r="LQ2" s="247" t="s">
        <v>190</v>
      </c>
      <c r="LR2" s="247" t="s">
        <v>191</v>
      </c>
      <c r="LS2" s="247" t="s">
        <v>192</v>
      </c>
      <c r="LT2" s="247" t="s">
        <v>193</v>
      </c>
      <c r="LU2" s="247" t="s">
        <v>194</v>
      </c>
      <c r="LV2" s="247" t="s">
        <v>195</v>
      </c>
      <c r="LW2" s="247" t="s">
        <v>0</v>
      </c>
      <c r="LX2" s="247" t="s">
        <v>190</v>
      </c>
      <c r="LY2" s="247" t="s">
        <v>191</v>
      </c>
      <c r="LZ2" s="247" t="s">
        <v>192</v>
      </c>
      <c r="MA2" s="247" t="s">
        <v>190</v>
      </c>
      <c r="MB2" s="247" t="s">
        <v>191</v>
      </c>
      <c r="MC2" s="247" t="s">
        <v>192</v>
      </c>
      <c r="MD2" s="247" t="s">
        <v>190</v>
      </c>
      <c r="ME2" s="247" t="s">
        <v>191</v>
      </c>
      <c r="MF2" s="247" t="s">
        <v>192</v>
      </c>
      <c r="MG2" s="247" t="s">
        <v>190</v>
      </c>
      <c r="MH2" s="247" t="s">
        <v>191</v>
      </c>
      <c r="MI2" s="247" t="s">
        <v>192</v>
      </c>
      <c r="MJ2" s="247" t="s">
        <v>190</v>
      </c>
      <c r="MK2" s="247" t="s">
        <v>191</v>
      </c>
      <c r="ML2" s="247" t="s">
        <v>192</v>
      </c>
      <c r="MM2" s="247" t="s">
        <v>190</v>
      </c>
      <c r="MN2" s="247" t="s">
        <v>191</v>
      </c>
      <c r="MO2" s="247" t="s">
        <v>192</v>
      </c>
      <c r="MP2" s="247" t="s">
        <v>190</v>
      </c>
      <c r="MQ2" s="247" t="s">
        <v>191</v>
      </c>
      <c r="MR2" s="247" t="s">
        <v>192</v>
      </c>
      <c r="MS2" s="247" t="s">
        <v>190</v>
      </c>
      <c r="MT2" s="247" t="s">
        <v>191</v>
      </c>
      <c r="MU2" s="247" t="s">
        <v>192</v>
      </c>
      <c r="MV2" s="247" t="s">
        <v>190</v>
      </c>
      <c r="MW2" s="247" t="s">
        <v>191</v>
      </c>
      <c r="MX2" s="247" t="s">
        <v>192</v>
      </c>
      <c r="MY2" s="247" t="s">
        <v>190</v>
      </c>
      <c r="MZ2" s="247" t="s">
        <v>191</v>
      </c>
      <c r="NA2" s="247" t="s">
        <v>192</v>
      </c>
      <c r="NB2" s="247" t="s">
        <v>190</v>
      </c>
      <c r="NC2" s="247" t="s">
        <v>191</v>
      </c>
      <c r="ND2" s="247" t="s">
        <v>192</v>
      </c>
      <c r="NE2" s="247" t="s">
        <v>190</v>
      </c>
      <c r="NF2" s="247" t="s">
        <v>191</v>
      </c>
      <c r="NG2" s="247" t="s">
        <v>192</v>
      </c>
      <c r="NH2" s="247" t="s">
        <v>193</v>
      </c>
      <c r="NI2" s="247" t="s">
        <v>194</v>
      </c>
      <c r="NJ2" s="247" t="s">
        <v>195</v>
      </c>
      <c r="NK2" s="247" t="s">
        <v>0</v>
      </c>
      <c r="NL2" s="247" t="s">
        <v>190</v>
      </c>
      <c r="NM2" s="247" t="s">
        <v>191</v>
      </c>
      <c r="NN2" s="247" t="s">
        <v>192</v>
      </c>
      <c r="NO2" s="247" t="s">
        <v>190</v>
      </c>
      <c r="NP2" s="247" t="s">
        <v>191</v>
      </c>
      <c r="NQ2" s="247" t="s">
        <v>192</v>
      </c>
      <c r="NR2" s="247" t="s">
        <v>190</v>
      </c>
      <c r="NS2" s="247" t="s">
        <v>191</v>
      </c>
      <c r="NT2" s="247" t="s">
        <v>192</v>
      </c>
      <c r="NU2" s="247" t="s">
        <v>190</v>
      </c>
      <c r="NV2" s="247" t="s">
        <v>191</v>
      </c>
      <c r="NW2" s="247" t="s">
        <v>192</v>
      </c>
      <c r="NX2" s="247" t="s">
        <v>190</v>
      </c>
      <c r="NY2" s="247" t="s">
        <v>191</v>
      </c>
      <c r="NZ2" s="247" t="s">
        <v>192</v>
      </c>
      <c r="OA2" s="247" t="s">
        <v>190</v>
      </c>
      <c r="OB2" s="247" t="s">
        <v>191</v>
      </c>
      <c r="OC2" s="247" t="s">
        <v>192</v>
      </c>
      <c r="OD2" s="247" t="s">
        <v>190</v>
      </c>
      <c r="OE2" s="247" t="s">
        <v>191</v>
      </c>
      <c r="OF2" s="247" t="s">
        <v>192</v>
      </c>
      <c r="OG2" s="247" t="s">
        <v>190</v>
      </c>
      <c r="OH2" s="247" t="s">
        <v>191</v>
      </c>
      <c r="OI2" s="247" t="s">
        <v>192</v>
      </c>
      <c r="OJ2" s="247" t="s">
        <v>190</v>
      </c>
      <c r="OK2" s="247" t="s">
        <v>191</v>
      </c>
      <c r="OL2" s="247" t="s">
        <v>192</v>
      </c>
      <c r="OM2" s="247" t="s">
        <v>190</v>
      </c>
      <c r="ON2" s="247" t="s">
        <v>191</v>
      </c>
      <c r="OO2" s="247" t="s">
        <v>192</v>
      </c>
      <c r="OP2" s="247" t="s">
        <v>190</v>
      </c>
      <c r="OQ2" s="247" t="s">
        <v>191</v>
      </c>
      <c r="OR2" s="247" t="s">
        <v>192</v>
      </c>
      <c r="OS2" s="247" t="s">
        <v>190</v>
      </c>
      <c r="OT2" s="247" t="s">
        <v>191</v>
      </c>
      <c r="OU2" s="247" t="s">
        <v>192</v>
      </c>
      <c r="OV2" s="247" t="s">
        <v>193</v>
      </c>
      <c r="OW2" s="247" t="s">
        <v>194</v>
      </c>
      <c r="OX2" s="247" t="s">
        <v>195</v>
      </c>
      <c r="OY2" s="247" t="s">
        <v>0</v>
      </c>
      <c r="OZ2" s="247" t="s">
        <v>190</v>
      </c>
      <c r="PA2" s="247" t="s">
        <v>191</v>
      </c>
      <c r="PB2" s="247" t="s">
        <v>192</v>
      </c>
      <c r="PC2" s="247" t="s">
        <v>190</v>
      </c>
      <c r="PD2" s="247" t="s">
        <v>191</v>
      </c>
      <c r="PE2" s="247" t="s">
        <v>192</v>
      </c>
      <c r="PF2" s="247" t="s">
        <v>190</v>
      </c>
      <c r="PG2" s="247" t="s">
        <v>191</v>
      </c>
      <c r="PH2" s="247" t="s">
        <v>192</v>
      </c>
      <c r="PI2" s="247" t="s">
        <v>190</v>
      </c>
      <c r="PJ2" s="247" t="s">
        <v>191</v>
      </c>
      <c r="PK2" s="247" t="s">
        <v>192</v>
      </c>
      <c r="PL2" s="247" t="s">
        <v>190</v>
      </c>
      <c r="PM2" s="247" t="s">
        <v>191</v>
      </c>
      <c r="PN2" s="247" t="s">
        <v>192</v>
      </c>
      <c r="PO2" s="247" t="s">
        <v>190</v>
      </c>
      <c r="PP2" s="247" t="s">
        <v>191</v>
      </c>
      <c r="PQ2" s="247" t="s">
        <v>192</v>
      </c>
      <c r="PR2" s="247" t="s">
        <v>190</v>
      </c>
      <c r="PS2" s="247" t="s">
        <v>191</v>
      </c>
      <c r="PT2" s="247" t="s">
        <v>192</v>
      </c>
      <c r="PU2" s="247" t="s">
        <v>190</v>
      </c>
      <c r="PV2" s="247" t="s">
        <v>191</v>
      </c>
      <c r="PW2" s="247" t="s">
        <v>192</v>
      </c>
      <c r="PX2" s="247" t="s">
        <v>190</v>
      </c>
      <c r="PY2" s="247" t="s">
        <v>191</v>
      </c>
      <c r="PZ2" s="247" t="s">
        <v>192</v>
      </c>
      <c r="QA2" s="247" t="s">
        <v>190</v>
      </c>
      <c r="QB2" s="247" t="s">
        <v>191</v>
      </c>
      <c r="QC2" s="247" t="s">
        <v>192</v>
      </c>
      <c r="QD2" s="247" t="s">
        <v>190</v>
      </c>
      <c r="QE2" s="247" t="s">
        <v>191</v>
      </c>
      <c r="QF2" s="247" t="s">
        <v>192</v>
      </c>
      <c r="QG2" s="247" t="s">
        <v>190</v>
      </c>
      <c r="QH2" s="247" t="s">
        <v>191</v>
      </c>
      <c r="QI2" s="247" t="s">
        <v>192</v>
      </c>
      <c r="QJ2" s="247" t="s">
        <v>193</v>
      </c>
      <c r="QK2" s="247" t="s">
        <v>194</v>
      </c>
      <c r="QL2" s="247" t="s">
        <v>195</v>
      </c>
      <c r="QM2" s="247"/>
      <c r="RX2" s="247"/>
      <c r="RY2" s="247"/>
      <c r="RZ2" s="247"/>
      <c r="SA2" s="247"/>
    </row>
    <row r="3" spans="1:578" ht="25">
      <c r="A3" s="34" t="s">
        <v>232</v>
      </c>
      <c r="C3" s="34" t="s">
        <v>233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201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241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103"/>
      <c r="VF3" s="103"/>
    </row>
    <row r="4" spans="1:578" ht="20.25" customHeight="1">
      <c r="A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16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44"/>
      <c r="HY4" s="144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44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99"/>
      <c r="LX4" s="202"/>
      <c r="LY4" s="203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4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4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252"/>
      <c r="QD4" s="17"/>
      <c r="QE4" s="17"/>
      <c r="QF4" s="252"/>
      <c r="QG4" s="17"/>
      <c r="QH4" s="17"/>
      <c r="QI4" s="252"/>
      <c r="QJ4" s="17"/>
      <c r="QK4" s="17"/>
      <c r="QL4" s="17"/>
      <c r="QM4" s="144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253"/>
      <c r="RF4" s="17"/>
      <c r="RG4" s="17"/>
      <c r="RH4" s="253"/>
      <c r="RI4" s="17"/>
      <c r="RJ4" s="17"/>
      <c r="RK4" s="253"/>
      <c r="RL4" s="17"/>
      <c r="RM4" s="17"/>
      <c r="RN4" s="253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44"/>
      <c r="UZ4" s="144"/>
      <c r="VA4" s="144"/>
      <c r="VB4" s="12"/>
      <c r="VC4" s="144"/>
      <c r="VD4" s="144"/>
      <c r="VE4" s="111"/>
      <c r="VF4" s="111"/>
    </row>
    <row r="5" spans="1:578" ht="29.15" customHeight="1">
      <c r="A5" s="342"/>
      <c r="B5" s="361" t="s">
        <v>4</v>
      </c>
      <c r="C5" s="342"/>
      <c r="D5" s="329">
        <v>2007</v>
      </c>
      <c r="E5" s="329">
        <v>2008</v>
      </c>
      <c r="F5" s="329">
        <v>2009</v>
      </c>
      <c r="G5" s="329">
        <v>2010</v>
      </c>
      <c r="H5" s="354">
        <v>2011</v>
      </c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6"/>
      <c r="T5" s="335">
        <v>2011</v>
      </c>
      <c r="U5" s="336"/>
      <c r="V5" s="337"/>
      <c r="W5" s="329">
        <v>2011</v>
      </c>
      <c r="X5" s="354">
        <v>2012</v>
      </c>
      <c r="Y5" s="355"/>
      <c r="Z5" s="355"/>
      <c r="AA5" s="355"/>
      <c r="AB5" s="355"/>
      <c r="AC5" s="355"/>
      <c r="AD5" s="355"/>
      <c r="AE5" s="355"/>
      <c r="AF5" s="355"/>
      <c r="AG5" s="355"/>
      <c r="AH5" s="355"/>
      <c r="AI5" s="356"/>
      <c r="AJ5" s="335">
        <v>2012</v>
      </c>
      <c r="AK5" s="336"/>
      <c r="AL5" s="337"/>
      <c r="AM5" s="329">
        <v>2012</v>
      </c>
      <c r="AN5" s="354">
        <v>2013</v>
      </c>
      <c r="AO5" s="355"/>
      <c r="AP5" s="355"/>
      <c r="AQ5" s="355"/>
      <c r="AR5" s="355"/>
      <c r="AS5" s="355"/>
      <c r="AT5" s="355"/>
      <c r="AU5" s="355"/>
      <c r="AV5" s="355"/>
      <c r="AW5" s="355"/>
      <c r="AX5" s="355"/>
      <c r="AY5" s="355"/>
      <c r="AZ5" s="335">
        <v>2013</v>
      </c>
      <c r="BA5" s="336"/>
      <c r="BB5" s="337"/>
      <c r="BC5" s="329">
        <v>2013</v>
      </c>
      <c r="BD5" s="335">
        <v>2014</v>
      </c>
      <c r="BE5" s="336"/>
      <c r="BF5" s="336"/>
      <c r="BG5" s="336"/>
      <c r="BH5" s="336"/>
      <c r="BI5" s="336"/>
      <c r="BJ5" s="336"/>
      <c r="BK5" s="336"/>
      <c r="BL5" s="336"/>
      <c r="BM5" s="336"/>
      <c r="BN5" s="336"/>
      <c r="BO5" s="336"/>
      <c r="BP5" s="336"/>
      <c r="BQ5" s="336"/>
      <c r="BR5" s="336"/>
      <c r="BS5" s="336"/>
      <c r="BT5" s="336"/>
      <c r="BU5" s="336"/>
      <c r="BV5" s="336"/>
      <c r="BW5" s="336"/>
      <c r="BX5" s="336"/>
      <c r="BY5" s="336"/>
      <c r="BZ5" s="336"/>
      <c r="CA5" s="336"/>
      <c r="CB5" s="336"/>
      <c r="CC5" s="336"/>
      <c r="CD5" s="336"/>
      <c r="CE5" s="336"/>
      <c r="CF5" s="336"/>
      <c r="CG5" s="336"/>
      <c r="CH5" s="336"/>
      <c r="CI5" s="336"/>
      <c r="CJ5" s="336"/>
      <c r="CK5" s="336"/>
      <c r="CL5" s="336"/>
      <c r="CM5" s="337"/>
      <c r="CN5" s="335">
        <v>2014</v>
      </c>
      <c r="CO5" s="336"/>
      <c r="CP5" s="337"/>
      <c r="CQ5" s="134">
        <v>2014</v>
      </c>
      <c r="CR5" s="335">
        <v>2015</v>
      </c>
      <c r="CS5" s="336"/>
      <c r="CT5" s="336"/>
      <c r="CU5" s="336"/>
      <c r="CV5" s="336"/>
      <c r="CW5" s="336"/>
      <c r="CX5" s="336"/>
      <c r="CY5" s="336"/>
      <c r="CZ5" s="336"/>
      <c r="DA5" s="336"/>
      <c r="DB5" s="336"/>
      <c r="DC5" s="336"/>
      <c r="DD5" s="336"/>
      <c r="DE5" s="336"/>
      <c r="DF5" s="336"/>
      <c r="DG5" s="336"/>
      <c r="DH5" s="336"/>
      <c r="DI5" s="336"/>
      <c r="DJ5" s="336"/>
      <c r="DK5" s="336"/>
      <c r="DL5" s="336"/>
      <c r="DM5" s="336"/>
      <c r="DN5" s="336"/>
      <c r="DO5" s="336"/>
      <c r="DP5" s="336"/>
      <c r="DQ5" s="336"/>
      <c r="DR5" s="336"/>
      <c r="DS5" s="336"/>
      <c r="DT5" s="336"/>
      <c r="DU5" s="336"/>
      <c r="DV5" s="336"/>
      <c r="DW5" s="336"/>
      <c r="DX5" s="336"/>
      <c r="DY5" s="336"/>
      <c r="DZ5" s="336"/>
      <c r="EA5" s="337"/>
      <c r="EB5" s="335">
        <v>2015</v>
      </c>
      <c r="EC5" s="336"/>
      <c r="ED5" s="337"/>
      <c r="EE5" s="20">
        <v>2015</v>
      </c>
      <c r="EF5" s="335">
        <v>2016</v>
      </c>
      <c r="EG5" s="336"/>
      <c r="EH5" s="336"/>
      <c r="EI5" s="336"/>
      <c r="EJ5" s="336"/>
      <c r="EK5" s="336"/>
      <c r="EL5" s="336"/>
      <c r="EM5" s="336"/>
      <c r="EN5" s="336"/>
      <c r="EO5" s="336"/>
      <c r="EP5" s="336"/>
      <c r="EQ5" s="336"/>
      <c r="ER5" s="336"/>
      <c r="ES5" s="336"/>
      <c r="ET5" s="336"/>
      <c r="EU5" s="336"/>
      <c r="EV5" s="336"/>
      <c r="EW5" s="336"/>
      <c r="EX5" s="336"/>
      <c r="EY5" s="336"/>
      <c r="EZ5" s="336"/>
      <c r="FA5" s="336"/>
      <c r="FB5" s="336"/>
      <c r="FC5" s="336"/>
      <c r="FD5" s="336"/>
      <c r="FE5" s="336"/>
      <c r="FF5" s="336"/>
      <c r="FG5" s="336"/>
      <c r="FH5" s="336"/>
      <c r="FI5" s="336"/>
      <c r="FJ5" s="336"/>
      <c r="FK5" s="336"/>
      <c r="FL5" s="336"/>
      <c r="FM5" s="336"/>
      <c r="FN5" s="336"/>
      <c r="FO5" s="337"/>
      <c r="FP5" s="335">
        <v>2016</v>
      </c>
      <c r="FQ5" s="336"/>
      <c r="FR5" s="337"/>
      <c r="FS5" s="134">
        <v>2016</v>
      </c>
      <c r="FT5" s="335">
        <v>2017</v>
      </c>
      <c r="FU5" s="336"/>
      <c r="FV5" s="336"/>
      <c r="FW5" s="336"/>
      <c r="FX5" s="336"/>
      <c r="FY5" s="336"/>
      <c r="FZ5" s="336"/>
      <c r="GA5" s="336"/>
      <c r="GB5" s="336"/>
      <c r="GC5" s="336"/>
      <c r="GD5" s="336"/>
      <c r="GE5" s="336"/>
      <c r="GF5" s="336"/>
      <c r="GG5" s="336"/>
      <c r="GH5" s="336"/>
      <c r="GI5" s="336"/>
      <c r="GJ5" s="336"/>
      <c r="GK5" s="336"/>
      <c r="GL5" s="336"/>
      <c r="GM5" s="336"/>
      <c r="GN5" s="336"/>
      <c r="GO5" s="336"/>
      <c r="GP5" s="336"/>
      <c r="GQ5" s="336"/>
      <c r="GR5" s="336"/>
      <c r="GS5" s="336"/>
      <c r="GT5" s="336"/>
      <c r="GU5" s="336"/>
      <c r="GV5" s="336"/>
      <c r="GW5" s="336"/>
      <c r="GX5" s="336"/>
      <c r="GY5" s="336"/>
      <c r="GZ5" s="336"/>
      <c r="HA5" s="336"/>
      <c r="HB5" s="336"/>
      <c r="HC5" s="337"/>
      <c r="HD5" s="335">
        <v>2017</v>
      </c>
      <c r="HE5" s="336"/>
      <c r="HF5" s="337"/>
      <c r="HG5" s="20">
        <v>2017</v>
      </c>
      <c r="HH5" s="335">
        <v>2018</v>
      </c>
      <c r="HI5" s="336"/>
      <c r="HJ5" s="336"/>
      <c r="HK5" s="336"/>
      <c r="HL5" s="336"/>
      <c r="HM5" s="336"/>
      <c r="HN5" s="336"/>
      <c r="HO5" s="336"/>
      <c r="HP5" s="336"/>
      <c r="HQ5" s="336"/>
      <c r="HR5" s="336"/>
      <c r="HS5" s="336"/>
      <c r="HT5" s="336"/>
      <c r="HU5" s="336"/>
      <c r="HV5" s="336"/>
      <c r="HW5" s="336"/>
      <c r="HX5" s="336"/>
      <c r="HY5" s="336"/>
      <c r="HZ5" s="336"/>
      <c r="IA5" s="336"/>
      <c r="IB5" s="336"/>
      <c r="IC5" s="336"/>
      <c r="ID5" s="336"/>
      <c r="IE5" s="336"/>
      <c r="IF5" s="336"/>
      <c r="IG5" s="336"/>
      <c r="IH5" s="336"/>
      <c r="II5" s="336"/>
      <c r="IJ5" s="336"/>
      <c r="IK5" s="336"/>
      <c r="IL5" s="336"/>
      <c r="IM5" s="336"/>
      <c r="IN5" s="336"/>
      <c r="IO5" s="336"/>
      <c r="IP5" s="336"/>
      <c r="IQ5" s="337"/>
      <c r="IR5" s="335">
        <v>2018</v>
      </c>
      <c r="IS5" s="336"/>
      <c r="IT5" s="337"/>
      <c r="IU5" s="20">
        <v>2018</v>
      </c>
      <c r="IV5" s="335">
        <v>2019</v>
      </c>
      <c r="IW5" s="336"/>
      <c r="IX5" s="336"/>
      <c r="IY5" s="336"/>
      <c r="IZ5" s="336"/>
      <c r="JA5" s="336"/>
      <c r="JB5" s="336"/>
      <c r="JC5" s="336"/>
      <c r="JD5" s="336"/>
      <c r="JE5" s="336"/>
      <c r="JF5" s="336"/>
      <c r="JG5" s="336"/>
      <c r="JH5" s="336"/>
      <c r="JI5" s="336"/>
      <c r="JJ5" s="336"/>
      <c r="JK5" s="336"/>
      <c r="JL5" s="336"/>
      <c r="JM5" s="336"/>
      <c r="JN5" s="336"/>
      <c r="JO5" s="336"/>
      <c r="JP5" s="336"/>
      <c r="JQ5" s="336"/>
      <c r="JR5" s="336"/>
      <c r="JS5" s="336"/>
      <c r="JT5" s="336"/>
      <c r="JU5" s="336"/>
      <c r="JV5" s="336"/>
      <c r="JW5" s="336"/>
      <c r="JX5" s="336"/>
      <c r="JY5" s="336"/>
      <c r="JZ5" s="336"/>
      <c r="KA5" s="336"/>
      <c r="KB5" s="336"/>
      <c r="KC5" s="336"/>
      <c r="KD5" s="336"/>
      <c r="KE5" s="337"/>
      <c r="KF5" s="335">
        <v>2019</v>
      </c>
      <c r="KG5" s="336"/>
      <c r="KH5" s="337"/>
      <c r="KI5" s="20">
        <v>2019</v>
      </c>
      <c r="KJ5" s="335">
        <v>2020</v>
      </c>
      <c r="KK5" s="336"/>
      <c r="KL5" s="336"/>
      <c r="KM5" s="336"/>
      <c r="KN5" s="336"/>
      <c r="KO5" s="336"/>
      <c r="KP5" s="336"/>
      <c r="KQ5" s="336"/>
      <c r="KR5" s="336"/>
      <c r="KS5" s="336"/>
      <c r="KT5" s="336"/>
      <c r="KU5" s="336"/>
      <c r="KV5" s="336"/>
      <c r="KW5" s="336"/>
      <c r="KX5" s="336"/>
      <c r="KY5" s="336"/>
      <c r="KZ5" s="336"/>
      <c r="LA5" s="336"/>
      <c r="LB5" s="336"/>
      <c r="LC5" s="336"/>
      <c r="LD5" s="336"/>
      <c r="LE5" s="336"/>
      <c r="LF5" s="336"/>
      <c r="LG5" s="336"/>
      <c r="LH5" s="336"/>
      <c r="LI5" s="336"/>
      <c r="LJ5" s="336"/>
      <c r="LK5" s="336"/>
      <c r="LL5" s="336"/>
      <c r="LM5" s="336"/>
      <c r="LN5" s="336"/>
      <c r="LO5" s="336"/>
      <c r="LP5" s="336"/>
      <c r="LQ5" s="336"/>
      <c r="LR5" s="336"/>
      <c r="LS5" s="337"/>
      <c r="LT5" s="335">
        <v>2020</v>
      </c>
      <c r="LU5" s="336"/>
      <c r="LV5" s="337"/>
      <c r="LW5" s="20">
        <v>2020</v>
      </c>
      <c r="LX5" s="335">
        <v>2021</v>
      </c>
      <c r="LY5" s="336"/>
      <c r="LZ5" s="336"/>
      <c r="MA5" s="336"/>
      <c r="MB5" s="336"/>
      <c r="MC5" s="336"/>
      <c r="MD5" s="336"/>
      <c r="ME5" s="336"/>
      <c r="MF5" s="336"/>
      <c r="MG5" s="336"/>
      <c r="MH5" s="336"/>
      <c r="MI5" s="336"/>
      <c r="MJ5" s="336"/>
      <c r="MK5" s="336"/>
      <c r="ML5" s="336"/>
      <c r="MM5" s="336"/>
      <c r="MN5" s="336"/>
      <c r="MO5" s="336"/>
      <c r="MP5" s="336"/>
      <c r="MQ5" s="336"/>
      <c r="MR5" s="336"/>
      <c r="MS5" s="336"/>
      <c r="MT5" s="336"/>
      <c r="MU5" s="336"/>
      <c r="MV5" s="336"/>
      <c r="MW5" s="336"/>
      <c r="MX5" s="336"/>
      <c r="MY5" s="336"/>
      <c r="MZ5" s="336"/>
      <c r="NA5" s="336"/>
      <c r="NB5" s="336"/>
      <c r="NC5" s="336"/>
      <c r="ND5" s="336"/>
      <c r="NE5" s="336"/>
      <c r="NF5" s="336"/>
      <c r="NG5" s="337"/>
      <c r="NH5" s="335">
        <v>2021</v>
      </c>
      <c r="NI5" s="336"/>
      <c r="NJ5" s="337"/>
      <c r="NK5" s="20">
        <v>2021</v>
      </c>
      <c r="NL5" s="335">
        <v>2022</v>
      </c>
      <c r="NM5" s="336"/>
      <c r="NN5" s="336"/>
      <c r="NO5" s="336"/>
      <c r="NP5" s="336"/>
      <c r="NQ5" s="336"/>
      <c r="NR5" s="336"/>
      <c r="NS5" s="336"/>
      <c r="NT5" s="336"/>
      <c r="NU5" s="336"/>
      <c r="NV5" s="336"/>
      <c r="NW5" s="336"/>
      <c r="NX5" s="336"/>
      <c r="NY5" s="336"/>
      <c r="NZ5" s="336"/>
      <c r="OA5" s="336"/>
      <c r="OB5" s="336"/>
      <c r="OC5" s="336"/>
      <c r="OD5" s="336"/>
      <c r="OE5" s="336"/>
      <c r="OF5" s="336"/>
      <c r="OG5" s="336"/>
      <c r="OH5" s="336"/>
      <c r="OI5" s="336"/>
      <c r="OJ5" s="336"/>
      <c r="OK5" s="336"/>
      <c r="OL5" s="336"/>
      <c r="OM5" s="336"/>
      <c r="ON5" s="336"/>
      <c r="OO5" s="336"/>
      <c r="OP5" s="336"/>
      <c r="OQ5" s="336"/>
      <c r="OR5" s="336"/>
      <c r="OS5" s="336"/>
      <c r="OT5" s="336"/>
      <c r="OU5" s="337"/>
      <c r="OV5" s="335">
        <v>2022</v>
      </c>
      <c r="OW5" s="336"/>
      <c r="OX5" s="337"/>
      <c r="OY5" s="134">
        <v>2022</v>
      </c>
      <c r="OZ5" s="335">
        <v>2023</v>
      </c>
      <c r="PA5" s="336"/>
      <c r="PB5" s="336"/>
      <c r="PC5" s="336"/>
      <c r="PD5" s="336"/>
      <c r="PE5" s="336"/>
      <c r="PF5" s="336"/>
      <c r="PG5" s="336"/>
      <c r="PH5" s="336"/>
      <c r="PI5" s="336"/>
      <c r="PJ5" s="336"/>
      <c r="PK5" s="336"/>
      <c r="PL5" s="336"/>
      <c r="PM5" s="336"/>
      <c r="PN5" s="336"/>
      <c r="PO5" s="336"/>
      <c r="PP5" s="336"/>
      <c r="PQ5" s="336"/>
      <c r="PR5" s="336"/>
      <c r="PS5" s="336"/>
      <c r="PT5" s="336"/>
      <c r="PU5" s="336"/>
      <c r="PV5" s="336"/>
      <c r="PW5" s="336"/>
      <c r="PX5" s="336"/>
      <c r="PY5" s="336"/>
      <c r="PZ5" s="336"/>
      <c r="QA5" s="336"/>
      <c r="QB5" s="336"/>
      <c r="QC5" s="336"/>
      <c r="QD5" s="336"/>
      <c r="QE5" s="336"/>
      <c r="QF5" s="336"/>
      <c r="QG5" s="336"/>
      <c r="QH5" s="336"/>
      <c r="QI5" s="337"/>
      <c r="QJ5" s="335">
        <v>2023</v>
      </c>
      <c r="QK5" s="336"/>
      <c r="QL5" s="337"/>
      <c r="QM5" s="20">
        <v>2023</v>
      </c>
      <c r="QN5" s="335">
        <v>2024</v>
      </c>
      <c r="QO5" s="336"/>
      <c r="QP5" s="336"/>
      <c r="QQ5" s="336"/>
      <c r="QR5" s="336"/>
      <c r="QS5" s="336"/>
      <c r="QT5" s="336"/>
      <c r="QU5" s="336"/>
      <c r="QV5" s="336"/>
      <c r="QW5" s="336"/>
      <c r="QX5" s="336"/>
      <c r="QY5" s="336"/>
      <c r="QZ5" s="336"/>
      <c r="RA5" s="336"/>
      <c r="RB5" s="336"/>
      <c r="RC5" s="336"/>
      <c r="RD5" s="336"/>
      <c r="RE5" s="336"/>
      <c r="RF5" s="336"/>
      <c r="RG5" s="336"/>
      <c r="RH5" s="336"/>
      <c r="RI5" s="336"/>
      <c r="RJ5" s="336"/>
      <c r="RK5" s="336"/>
      <c r="RL5" s="336"/>
      <c r="RM5" s="336"/>
      <c r="RN5" s="336"/>
      <c r="RO5" s="336"/>
      <c r="RP5" s="336"/>
      <c r="RQ5" s="336"/>
      <c r="RR5" s="336"/>
      <c r="RS5" s="336"/>
      <c r="RT5" s="336"/>
      <c r="RU5" s="336"/>
      <c r="RV5" s="336"/>
      <c r="RW5" s="337"/>
      <c r="RX5" s="335">
        <v>2024</v>
      </c>
      <c r="RY5" s="336"/>
      <c r="RZ5" s="337"/>
      <c r="SA5" s="20">
        <v>2024</v>
      </c>
      <c r="SB5" s="335">
        <v>2025</v>
      </c>
      <c r="SC5" s="336"/>
      <c r="SD5" s="336"/>
      <c r="SE5" s="336"/>
      <c r="SF5" s="336"/>
      <c r="SG5" s="336"/>
      <c r="SH5" s="336"/>
      <c r="SI5" s="336"/>
      <c r="SJ5" s="336"/>
      <c r="SK5" s="336"/>
      <c r="SL5" s="336"/>
      <c r="SM5" s="336"/>
      <c r="SN5" s="336"/>
      <c r="SO5" s="336"/>
      <c r="SP5" s="336"/>
      <c r="SQ5" s="336"/>
      <c r="SR5" s="336"/>
      <c r="SS5" s="336"/>
      <c r="ST5" s="336"/>
      <c r="SU5" s="336"/>
      <c r="SV5" s="336"/>
      <c r="SW5" s="336"/>
      <c r="SX5" s="336"/>
      <c r="SY5" s="336"/>
      <c r="SZ5" s="336"/>
      <c r="TA5" s="336"/>
      <c r="TB5" s="336"/>
      <c r="TC5" s="336"/>
      <c r="TD5" s="336"/>
      <c r="TE5" s="336"/>
      <c r="TF5" s="336"/>
      <c r="TG5" s="336"/>
      <c r="TH5" s="336"/>
      <c r="TI5" s="336"/>
      <c r="TJ5" s="336"/>
      <c r="TK5" s="337"/>
      <c r="TL5" s="335">
        <v>2025</v>
      </c>
      <c r="TM5" s="336"/>
      <c r="TN5" s="337"/>
      <c r="TO5" s="335">
        <v>2026</v>
      </c>
      <c r="TP5" s="336"/>
      <c r="TQ5" s="336"/>
      <c r="TR5" s="336"/>
      <c r="TS5" s="336"/>
      <c r="TT5" s="336"/>
      <c r="TU5" s="336"/>
      <c r="TV5" s="336"/>
      <c r="TW5" s="336"/>
      <c r="TX5" s="336"/>
      <c r="TY5" s="336"/>
      <c r="TZ5" s="336"/>
      <c r="UA5" s="336"/>
      <c r="UB5" s="336"/>
      <c r="UC5" s="336"/>
      <c r="UD5" s="336"/>
      <c r="UE5" s="336"/>
      <c r="UF5" s="336"/>
      <c r="UG5" s="336"/>
      <c r="UH5" s="336"/>
      <c r="UI5" s="336"/>
      <c r="UJ5" s="336"/>
      <c r="UK5" s="336"/>
      <c r="UL5" s="336"/>
      <c r="UM5" s="336"/>
      <c r="UN5" s="336"/>
      <c r="UO5" s="336"/>
      <c r="UP5" s="336"/>
      <c r="UQ5" s="336"/>
      <c r="UR5" s="336"/>
      <c r="US5" s="336"/>
      <c r="UT5" s="336"/>
      <c r="UU5" s="336"/>
      <c r="UV5" s="336"/>
      <c r="UW5" s="336"/>
      <c r="UX5" s="337"/>
      <c r="UY5" s="347">
        <v>2025</v>
      </c>
      <c r="UZ5" s="348"/>
      <c r="VA5" s="349"/>
      <c r="VB5" s="347">
        <v>2026</v>
      </c>
      <c r="VC5" s="348"/>
      <c r="VD5" s="349"/>
      <c r="VE5" s="287" t="s">
        <v>5</v>
      </c>
      <c r="VF5" s="287" t="str">
        <f>VE5</f>
        <v>2026/2025</v>
      </c>
    </row>
    <row r="6" spans="1:578" ht="47.25" customHeight="1">
      <c r="A6" s="343"/>
      <c r="B6" s="361"/>
      <c r="C6" s="364"/>
      <c r="D6" s="344" t="s">
        <v>0</v>
      </c>
      <c r="E6" s="344" t="s">
        <v>0</v>
      </c>
      <c r="F6" s="344" t="s">
        <v>0</v>
      </c>
      <c r="G6" s="344" t="s">
        <v>0</v>
      </c>
      <c r="H6" s="344" t="s">
        <v>6</v>
      </c>
      <c r="I6" s="344" t="s">
        <v>7</v>
      </c>
      <c r="J6" s="344" t="s">
        <v>8</v>
      </c>
      <c r="K6" s="344" t="s">
        <v>9</v>
      </c>
      <c r="L6" s="344" t="s">
        <v>10</v>
      </c>
      <c r="M6" s="344" t="s">
        <v>11</v>
      </c>
      <c r="N6" s="344" t="s">
        <v>12</v>
      </c>
      <c r="O6" s="344" t="s">
        <v>13</v>
      </c>
      <c r="P6" s="344" t="s">
        <v>14</v>
      </c>
      <c r="Q6" s="344" t="s">
        <v>15</v>
      </c>
      <c r="R6" s="344" t="s">
        <v>16</v>
      </c>
      <c r="S6" s="344" t="s">
        <v>17</v>
      </c>
      <c r="T6" s="26" t="s">
        <v>1</v>
      </c>
      <c r="U6" s="26" t="s">
        <v>1</v>
      </c>
      <c r="V6" s="24" t="s">
        <v>1</v>
      </c>
      <c r="W6" s="344" t="s">
        <v>0</v>
      </c>
      <c r="X6" s="25" t="s">
        <v>6</v>
      </c>
      <c r="Y6" s="25" t="s">
        <v>7</v>
      </c>
      <c r="Z6" s="25" t="s">
        <v>8</v>
      </c>
      <c r="AA6" s="25" t="s">
        <v>9</v>
      </c>
      <c r="AB6" s="25" t="s">
        <v>10</v>
      </c>
      <c r="AC6" s="25" t="s">
        <v>11</v>
      </c>
      <c r="AD6" s="25" t="s">
        <v>12</v>
      </c>
      <c r="AE6" s="25" t="s">
        <v>13</v>
      </c>
      <c r="AF6" s="25" t="s">
        <v>14</v>
      </c>
      <c r="AG6" s="25" t="s">
        <v>15</v>
      </c>
      <c r="AH6" s="25" t="s">
        <v>16</v>
      </c>
      <c r="AI6" s="25" t="s">
        <v>17</v>
      </c>
      <c r="AJ6" s="26" t="s">
        <v>1</v>
      </c>
      <c r="AK6" s="26" t="s">
        <v>1</v>
      </c>
      <c r="AL6" s="24" t="s">
        <v>1</v>
      </c>
      <c r="AM6" s="344" t="s">
        <v>0</v>
      </c>
      <c r="AN6" s="344" t="s">
        <v>6</v>
      </c>
      <c r="AO6" s="344" t="s">
        <v>7</v>
      </c>
      <c r="AP6" s="344" t="s">
        <v>8</v>
      </c>
      <c r="AQ6" s="344" t="s">
        <v>9</v>
      </c>
      <c r="AR6" s="344" t="s">
        <v>10</v>
      </c>
      <c r="AS6" s="344" t="s">
        <v>11</v>
      </c>
      <c r="AT6" s="344" t="s">
        <v>12</v>
      </c>
      <c r="AU6" s="344" t="s">
        <v>13</v>
      </c>
      <c r="AV6" s="344" t="s">
        <v>14</v>
      </c>
      <c r="AW6" s="344" t="s">
        <v>15</v>
      </c>
      <c r="AX6" s="344" t="s">
        <v>16</v>
      </c>
      <c r="AY6" s="344" t="s">
        <v>17</v>
      </c>
      <c r="AZ6" s="26" t="s">
        <v>1</v>
      </c>
      <c r="BA6" s="26" t="s">
        <v>1</v>
      </c>
      <c r="BB6" s="24" t="s">
        <v>1</v>
      </c>
      <c r="BC6" s="344" t="s">
        <v>0</v>
      </c>
      <c r="BD6" s="357" t="s">
        <v>6</v>
      </c>
      <c r="BE6" s="357"/>
      <c r="BF6" s="357"/>
      <c r="BG6" s="357" t="s">
        <v>7</v>
      </c>
      <c r="BH6" s="357"/>
      <c r="BI6" s="357"/>
      <c r="BJ6" s="340" t="s">
        <v>8</v>
      </c>
      <c r="BK6" s="357"/>
      <c r="BL6" s="357"/>
      <c r="BM6" s="357" t="s">
        <v>9</v>
      </c>
      <c r="BN6" s="357"/>
      <c r="BO6" s="357"/>
      <c r="BP6" s="357" t="s">
        <v>10</v>
      </c>
      <c r="BQ6" s="357"/>
      <c r="BR6" s="357"/>
      <c r="BS6" s="357" t="s">
        <v>11</v>
      </c>
      <c r="BT6" s="357"/>
      <c r="BU6" s="357"/>
      <c r="BV6" s="357" t="s">
        <v>12</v>
      </c>
      <c r="BW6" s="357"/>
      <c r="BX6" s="357"/>
      <c r="BY6" s="357" t="s">
        <v>13</v>
      </c>
      <c r="BZ6" s="357"/>
      <c r="CA6" s="357"/>
      <c r="CB6" s="338" t="s">
        <v>14</v>
      </c>
      <c r="CC6" s="339"/>
      <c r="CD6" s="340"/>
      <c r="CE6" s="357" t="s">
        <v>15</v>
      </c>
      <c r="CF6" s="357"/>
      <c r="CG6" s="357"/>
      <c r="CH6" s="357" t="s">
        <v>16</v>
      </c>
      <c r="CI6" s="357"/>
      <c r="CJ6" s="357"/>
      <c r="CK6" s="357" t="s">
        <v>17</v>
      </c>
      <c r="CL6" s="357"/>
      <c r="CM6" s="357"/>
      <c r="CN6" s="338" t="s">
        <v>1</v>
      </c>
      <c r="CO6" s="339"/>
      <c r="CP6" s="340"/>
      <c r="CQ6" s="344" t="s">
        <v>0</v>
      </c>
      <c r="CR6" s="357" t="s">
        <v>6</v>
      </c>
      <c r="CS6" s="357"/>
      <c r="CT6" s="357"/>
      <c r="CU6" s="357" t="s">
        <v>7</v>
      </c>
      <c r="CV6" s="357"/>
      <c r="CW6" s="357"/>
      <c r="CX6" s="340" t="s">
        <v>8</v>
      </c>
      <c r="CY6" s="357"/>
      <c r="CZ6" s="357"/>
      <c r="DA6" s="357" t="s">
        <v>9</v>
      </c>
      <c r="DB6" s="357"/>
      <c r="DC6" s="357"/>
      <c r="DD6" s="357" t="s">
        <v>10</v>
      </c>
      <c r="DE6" s="357"/>
      <c r="DF6" s="357"/>
      <c r="DG6" s="357" t="s">
        <v>11</v>
      </c>
      <c r="DH6" s="357"/>
      <c r="DI6" s="357"/>
      <c r="DJ6" s="357" t="s">
        <v>12</v>
      </c>
      <c r="DK6" s="357"/>
      <c r="DL6" s="357"/>
      <c r="DM6" s="357" t="s">
        <v>13</v>
      </c>
      <c r="DN6" s="357"/>
      <c r="DO6" s="357"/>
      <c r="DP6" s="338" t="s">
        <v>14</v>
      </c>
      <c r="DQ6" s="339"/>
      <c r="DR6" s="340"/>
      <c r="DS6" s="357" t="s">
        <v>15</v>
      </c>
      <c r="DT6" s="357"/>
      <c r="DU6" s="357"/>
      <c r="DV6" s="357" t="s">
        <v>16</v>
      </c>
      <c r="DW6" s="357"/>
      <c r="DX6" s="357"/>
      <c r="DY6" s="357" t="s">
        <v>17</v>
      </c>
      <c r="DZ6" s="357"/>
      <c r="EA6" s="357"/>
      <c r="EB6" s="338" t="s">
        <v>1</v>
      </c>
      <c r="EC6" s="339"/>
      <c r="ED6" s="340"/>
      <c r="EE6" s="344" t="s">
        <v>0</v>
      </c>
      <c r="EF6" s="357" t="s">
        <v>6</v>
      </c>
      <c r="EG6" s="357"/>
      <c r="EH6" s="357"/>
      <c r="EI6" s="357" t="s">
        <v>7</v>
      </c>
      <c r="EJ6" s="357"/>
      <c r="EK6" s="357"/>
      <c r="EL6" s="340" t="s">
        <v>8</v>
      </c>
      <c r="EM6" s="357"/>
      <c r="EN6" s="357"/>
      <c r="EO6" s="357" t="s">
        <v>9</v>
      </c>
      <c r="EP6" s="357"/>
      <c r="EQ6" s="357"/>
      <c r="ER6" s="357" t="s">
        <v>10</v>
      </c>
      <c r="ES6" s="357"/>
      <c r="ET6" s="357"/>
      <c r="EU6" s="357" t="s">
        <v>11</v>
      </c>
      <c r="EV6" s="357"/>
      <c r="EW6" s="357"/>
      <c r="EX6" s="357" t="s">
        <v>12</v>
      </c>
      <c r="EY6" s="357"/>
      <c r="EZ6" s="357"/>
      <c r="FA6" s="357" t="s">
        <v>13</v>
      </c>
      <c r="FB6" s="357"/>
      <c r="FC6" s="357"/>
      <c r="FD6" s="338" t="s">
        <v>14</v>
      </c>
      <c r="FE6" s="339"/>
      <c r="FF6" s="340"/>
      <c r="FG6" s="357" t="s">
        <v>15</v>
      </c>
      <c r="FH6" s="357"/>
      <c r="FI6" s="357"/>
      <c r="FJ6" s="357" t="s">
        <v>16</v>
      </c>
      <c r="FK6" s="357"/>
      <c r="FL6" s="357"/>
      <c r="FM6" s="357" t="s">
        <v>17</v>
      </c>
      <c r="FN6" s="357"/>
      <c r="FO6" s="357"/>
      <c r="FP6" s="338" t="s">
        <v>1</v>
      </c>
      <c r="FQ6" s="339"/>
      <c r="FR6" s="340"/>
      <c r="FS6" s="344" t="s">
        <v>0</v>
      </c>
      <c r="FT6" s="357" t="s">
        <v>6</v>
      </c>
      <c r="FU6" s="357"/>
      <c r="FV6" s="357"/>
      <c r="FW6" s="357" t="s">
        <v>7</v>
      </c>
      <c r="FX6" s="357"/>
      <c r="FY6" s="357"/>
      <c r="FZ6" s="340" t="s">
        <v>8</v>
      </c>
      <c r="GA6" s="357"/>
      <c r="GB6" s="357"/>
      <c r="GC6" s="357" t="s">
        <v>9</v>
      </c>
      <c r="GD6" s="357"/>
      <c r="GE6" s="357"/>
      <c r="GF6" s="357" t="s">
        <v>10</v>
      </c>
      <c r="GG6" s="357"/>
      <c r="GH6" s="357"/>
      <c r="GI6" s="357" t="s">
        <v>11</v>
      </c>
      <c r="GJ6" s="357"/>
      <c r="GK6" s="357"/>
      <c r="GL6" s="357" t="s">
        <v>12</v>
      </c>
      <c r="GM6" s="357"/>
      <c r="GN6" s="357"/>
      <c r="GO6" s="357" t="s">
        <v>13</v>
      </c>
      <c r="GP6" s="357"/>
      <c r="GQ6" s="357"/>
      <c r="GR6" s="338" t="s">
        <v>14</v>
      </c>
      <c r="GS6" s="339"/>
      <c r="GT6" s="340"/>
      <c r="GU6" s="357" t="s">
        <v>15</v>
      </c>
      <c r="GV6" s="357"/>
      <c r="GW6" s="357"/>
      <c r="GX6" s="357" t="s">
        <v>16</v>
      </c>
      <c r="GY6" s="357"/>
      <c r="GZ6" s="357"/>
      <c r="HA6" s="357" t="s">
        <v>17</v>
      </c>
      <c r="HB6" s="357"/>
      <c r="HC6" s="357"/>
      <c r="HD6" s="338" t="s">
        <v>1</v>
      </c>
      <c r="HE6" s="339"/>
      <c r="HF6" s="340"/>
      <c r="HG6" s="362" t="s">
        <v>0</v>
      </c>
      <c r="HH6" s="357" t="s">
        <v>6</v>
      </c>
      <c r="HI6" s="357"/>
      <c r="HJ6" s="357"/>
      <c r="HK6" s="357" t="s">
        <v>7</v>
      </c>
      <c r="HL6" s="357"/>
      <c r="HM6" s="357"/>
      <c r="HN6" s="357" t="s">
        <v>8</v>
      </c>
      <c r="HO6" s="357"/>
      <c r="HP6" s="357"/>
      <c r="HQ6" s="357" t="s">
        <v>9</v>
      </c>
      <c r="HR6" s="357"/>
      <c r="HS6" s="357"/>
      <c r="HT6" s="357" t="s">
        <v>10</v>
      </c>
      <c r="HU6" s="357"/>
      <c r="HV6" s="357"/>
      <c r="HW6" s="357" t="s">
        <v>11</v>
      </c>
      <c r="HX6" s="357"/>
      <c r="HY6" s="357"/>
      <c r="HZ6" s="357" t="s">
        <v>12</v>
      </c>
      <c r="IA6" s="357"/>
      <c r="IB6" s="357"/>
      <c r="IC6" s="357" t="s">
        <v>13</v>
      </c>
      <c r="ID6" s="357"/>
      <c r="IE6" s="357"/>
      <c r="IF6" s="357" t="s">
        <v>14</v>
      </c>
      <c r="IG6" s="357"/>
      <c r="IH6" s="357"/>
      <c r="II6" s="357" t="s">
        <v>15</v>
      </c>
      <c r="IJ6" s="357"/>
      <c r="IK6" s="357"/>
      <c r="IL6" s="357" t="s">
        <v>16</v>
      </c>
      <c r="IM6" s="357"/>
      <c r="IN6" s="357"/>
      <c r="IO6" s="357" t="s">
        <v>17</v>
      </c>
      <c r="IP6" s="357"/>
      <c r="IQ6" s="357"/>
      <c r="IR6" s="338" t="str">
        <f>HD6</f>
        <v>I-XII</v>
      </c>
      <c r="IS6" s="339"/>
      <c r="IT6" s="340"/>
      <c r="IU6" s="362" t="s">
        <v>18</v>
      </c>
      <c r="IV6" s="338" t="str">
        <f>HH6</f>
        <v>I</v>
      </c>
      <c r="IW6" s="339"/>
      <c r="IX6" s="340"/>
      <c r="IY6" s="338" t="str">
        <f>HK6</f>
        <v>II</v>
      </c>
      <c r="IZ6" s="339"/>
      <c r="JA6" s="340"/>
      <c r="JB6" s="338" t="str">
        <f>HN6</f>
        <v>III</v>
      </c>
      <c r="JC6" s="339"/>
      <c r="JD6" s="340"/>
      <c r="JE6" s="338" t="str">
        <f>HQ6</f>
        <v>IV</v>
      </c>
      <c r="JF6" s="339"/>
      <c r="JG6" s="340"/>
      <c r="JH6" s="338" t="str">
        <f>HT6</f>
        <v>V</v>
      </c>
      <c r="JI6" s="339"/>
      <c r="JJ6" s="340"/>
      <c r="JK6" s="338" t="str">
        <f>HW6</f>
        <v>VI</v>
      </c>
      <c r="JL6" s="339"/>
      <c r="JM6" s="340"/>
      <c r="JN6" s="338" t="str">
        <f>HZ6</f>
        <v>VII</v>
      </c>
      <c r="JO6" s="339"/>
      <c r="JP6" s="340"/>
      <c r="JQ6" s="338" t="str">
        <f>IC6</f>
        <v>VIII</v>
      </c>
      <c r="JR6" s="339"/>
      <c r="JS6" s="340"/>
      <c r="JT6" s="338" t="str">
        <f>IF6</f>
        <v>IX</v>
      </c>
      <c r="JU6" s="339"/>
      <c r="JV6" s="340"/>
      <c r="JW6" s="338" t="str">
        <f>II6</f>
        <v>X</v>
      </c>
      <c r="JX6" s="339"/>
      <c r="JY6" s="340"/>
      <c r="JZ6" s="338" t="str">
        <f>IL6</f>
        <v>XI</v>
      </c>
      <c r="KA6" s="339"/>
      <c r="KB6" s="340"/>
      <c r="KC6" s="338" t="str">
        <f>IO6</f>
        <v>XII</v>
      </c>
      <c r="KD6" s="339"/>
      <c r="KE6" s="340"/>
      <c r="KF6" s="338" t="str">
        <f>IR6</f>
        <v>I-XII</v>
      </c>
      <c r="KG6" s="339"/>
      <c r="KH6" s="340"/>
      <c r="KI6" s="362" t="s">
        <v>18</v>
      </c>
      <c r="KJ6" s="338" t="str">
        <f>IV6</f>
        <v>I</v>
      </c>
      <c r="KK6" s="339"/>
      <c r="KL6" s="340"/>
      <c r="KM6" s="338" t="str">
        <f>IY6</f>
        <v>II</v>
      </c>
      <c r="KN6" s="339"/>
      <c r="KO6" s="340"/>
      <c r="KP6" s="338" t="str">
        <f>JB6</f>
        <v>III</v>
      </c>
      <c r="KQ6" s="339"/>
      <c r="KR6" s="340"/>
      <c r="KS6" s="338" t="str">
        <f>JE6</f>
        <v>IV</v>
      </c>
      <c r="KT6" s="339"/>
      <c r="KU6" s="340"/>
      <c r="KV6" s="338" t="str">
        <f>JH6</f>
        <v>V</v>
      </c>
      <c r="KW6" s="339"/>
      <c r="KX6" s="340"/>
      <c r="KY6" s="338" t="str">
        <f>JK6</f>
        <v>VI</v>
      </c>
      <c r="KZ6" s="339"/>
      <c r="LA6" s="340"/>
      <c r="LB6" s="338" t="str">
        <f>JN6</f>
        <v>VII</v>
      </c>
      <c r="LC6" s="339"/>
      <c r="LD6" s="340"/>
      <c r="LE6" s="338" t="str">
        <f>JQ6</f>
        <v>VIII</v>
      </c>
      <c r="LF6" s="339"/>
      <c r="LG6" s="340"/>
      <c r="LH6" s="338" t="str">
        <f>JT6</f>
        <v>IX</v>
      </c>
      <c r="LI6" s="339"/>
      <c r="LJ6" s="340"/>
      <c r="LK6" s="338" t="str">
        <f>JW6</f>
        <v>X</v>
      </c>
      <c r="LL6" s="339"/>
      <c r="LM6" s="340"/>
      <c r="LN6" s="338" t="str">
        <f>JZ6</f>
        <v>XI</v>
      </c>
      <c r="LO6" s="339"/>
      <c r="LP6" s="340"/>
      <c r="LQ6" s="338" t="str">
        <f>KC6</f>
        <v>XII</v>
      </c>
      <c r="LR6" s="339"/>
      <c r="LS6" s="340"/>
      <c r="LT6" s="338" t="str">
        <f>KF6</f>
        <v>I-XII</v>
      </c>
      <c r="LU6" s="339"/>
      <c r="LV6" s="340"/>
      <c r="LW6" s="362" t="s">
        <v>18</v>
      </c>
      <c r="LX6" s="338" t="str">
        <f>KJ6</f>
        <v>I</v>
      </c>
      <c r="LY6" s="339"/>
      <c r="LZ6" s="340"/>
      <c r="MA6" s="338" t="str">
        <f>KM6</f>
        <v>II</v>
      </c>
      <c r="MB6" s="339"/>
      <c r="MC6" s="340"/>
      <c r="MD6" s="338" t="s">
        <v>8</v>
      </c>
      <c r="ME6" s="339"/>
      <c r="MF6" s="340"/>
      <c r="MG6" s="338" t="s">
        <v>9</v>
      </c>
      <c r="MH6" s="339"/>
      <c r="MI6" s="340"/>
      <c r="MJ6" s="338" t="s">
        <v>10</v>
      </c>
      <c r="MK6" s="339"/>
      <c r="ML6" s="340"/>
      <c r="MM6" s="338" t="s">
        <v>11</v>
      </c>
      <c r="MN6" s="339"/>
      <c r="MO6" s="340"/>
      <c r="MP6" s="338" t="s">
        <v>12</v>
      </c>
      <c r="MQ6" s="339"/>
      <c r="MR6" s="340"/>
      <c r="MS6" s="338" t="s">
        <v>13</v>
      </c>
      <c r="MT6" s="339"/>
      <c r="MU6" s="340"/>
      <c r="MV6" s="338" t="s">
        <v>14</v>
      </c>
      <c r="MW6" s="339"/>
      <c r="MX6" s="340"/>
      <c r="MY6" s="338" t="s">
        <v>15</v>
      </c>
      <c r="MZ6" s="339"/>
      <c r="NA6" s="340"/>
      <c r="NB6" s="338" t="s">
        <v>16</v>
      </c>
      <c r="NC6" s="339"/>
      <c r="ND6" s="340"/>
      <c r="NE6" s="338" t="s">
        <v>17</v>
      </c>
      <c r="NF6" s="339"/>
      <c r="NG6" s="340"/>
      <c r="NH6" s="338" t="str">
        <f>LT6</f>
        <v>I-XII</v>
      </c>
      <c r="NI6" s="339"/>
      <c r="NJ6" s="340"/>
      <c r="NK6" s="362" t="s">
        <v>18</v>
      </c>
      <c r="NL6" s="338" t="s">
        <v>6</v>
      </c>
      <c r="NM6" s="339"/>
      <c r="NN6" s="340"/>
      <c r="NO6" s="338" t="s">
        <v>7</v>
      </c>
      <c r="NP6" s="339"/>
      <c r="NQ6" s="340"/>
      <c r="NR6" s="338" t="s">
        <v>8</v>
      </c>
      <c r="NS6" s="339"/>
      <c r="NT6" s="340"/>
      <c r="NU6" s="338" t="s">
        <v>9</v>
      </c>
      <c r="NV6" s="339"/>
      <c r="NW6" s="340"/>
      <c r="NX6" s="338" t="s">
        <v>10</v>
      </c>
      <c r="NY6" s="339"/>
      <c r="NZ6" s="340"/>
      <c r="OA6" s="338" t="s">
        <v>11</v>
      </c>
      <c r="OB6" s="339"/>
      <c r="OC6" s="340"/>
      <c r="OD6" s="338" t="s">
        <v>12</v>
      </c>
      <c r="OE6" s="339"/>
      <c r="OF6" s="340"/>
      <c r="OG6" s="338" t="s">
        <v>13</v>
      </c>
      <c r="OH6" s="339"/>
      <c r="OI6" s="340"/>
      <c r="OJ6" s="338" t="s">
        <v>14</v>
      </c>
      <c r="OK6" s="339"/>
      <c r="OL6" s="340"/>
      <c r="OM6" s="338" t="s">
        <v>15</v>
      </c>
      <c r="ON6" s="339"/>
      <c r="OO6" s="340"/>
      <c r="OP6" s="338" t="s">
        <v>16</v>
      </c>
      <c r="OQ6" s="339"/>
      <c r="OR6" s="340"/>
      <c r="OS6" s="338" t="s">
        <v>17</v>
      </c>
      <c r="OT6" s="339"/>
      <c r="OU6" s="340"/>
      <c r="OV6" s="338" t="str">
        <f>NH6</f>
        <v>I-XII</v>
      </c>
      <c r="OW6" s="339"/>
      <c r="OX6" s="340"/>
      <c r="OY6" s="362" t="s">
        <v>18</v>
      </c>
      <c r="OZ6" s="338" t="s">
        <v>6</v>
      </c>
      <c r="PA6" s="339"/>
      <c r="PB6" s="340"/>
      <c r="PC6" s="338" t="s">
        <v>7</v>
      </c>
      <c r="PD6" s="339"/>
      <c r="PE6" s="340"/>
      <c r="PF6" s="338" t="s">
        <v>8</v>
      </c>
      <c r="PG6" s="339"/>
      <c r="PH6" s="340"/>
      <c r="PI6" s="338" t="s">
        <v>9</v>
      </c>
      <c r="PJ6" s="339"/>
      <c r="PK6" s="340"/>
      <c r="PL6" s="338" t="s">
        <v>10</v>
      </c>
      <c r="PM6" s="339"/>
      <c r="PN6" s="340"/>
      <c r="PO6" s="338" t="s">
        <v>11</v>
      </c>
      <c r="PP6" s="339"/>
      <c r="PQ6" s="340"/>
      <c r="PR6" s="338" t="s">
        <v>12</v>
      </c>
      <c r="PS6" s="339"/>
      <c r="PT6" s="340"/>
      <c r="PU6" s="338" t="s">
        <v>13</v>
      </c>
      <c r="PV6" s="339"/>
      <c r="PW6" s="340"/>
      <c r="PX6" s="338" t="s">
        <v>14</v>
      </c>
      <c r="PY6" s="339"/>
      <c r="PZ6" s="340"/>
      <c r="QA6" s="338" t="s">
        <v>15</v>
      </c>
      <c r="QB6" s="339"/>
      <c r="QC6" s="340"/>
      <c r="QD6" s="338" t="s">
        <v>16</v>
      </c>
      <c r="QE6" s="339"/>
      <c r="QF6" s="340"/>
      <c r="QG6" s="338" t="s">
        <v>17</v>
      </c>
      <c r="QH6" s="339"/>
      <c r="QI6" s="340"/>
      <c r="QJ6" s="338" t="str">
        <f>OV6</f>
        <v>I-XII</v>
      </c>
      <c r="QK6" s="339"/>
      <c r="QL6" s="340"/>
      <c r="QM6" s="362" t="s">
        <v>18</v>
      </c>
      <c r="QN6" s="338" t="s">
        <v>6</v>
      </c>
      <c r="QO6" s="339"/>
      <c r="QP6" s="340"/>
      <c r="QQ6" s="338" t="s">
        <v>7</v>
      </c>
      <c r="QR6" s="339"/>
      <c r="QS6" s="340"/>
      <c r="QT6" s="338" t="s">
        <v>8</v>
      </c>
      <c r="QU6" s="339"/>
      <c r="QV6" s="340"/>
      <c r="QW6" s="338" t="s">
        <v>9</v>
      </c>
      <c r="QX6" s="339"/>
      <c r="QY6" s="340"/>
      <c r="QZ6" s="338" t="s">
        <v>10</v>
      </c>
      <c r="RA6" s="339"/>
      <c r="RB6" s="340"/>
      <c r="RC6" s="338" t="s">
        <v>11</v>
      </c>
      <c r="RD6" s="339"/>
      <c r="RE6" s="340"/>
      <c r="RF6" s="338" t="s">
        <v>12</v>
      </c>
      <c r="RG6" s="339"/>
      <c r="RH6" s="340"/>
      <c r="RI6" s="338" t="s">
        <v>13</v>
      </c>
      <c r="RJ6" s="339"/>
      <c r="RK6" s="340"/>
      <c r="RL6" s="338" t="s">
        <v>14</v>
      </c>
      <c r="RM6" s="339"/>
      <c r="RN6" s="340"/>
      <c r="RO6" s="338" t="s">
        <v>15</v>
      </c>
      <c r="RP6" s="339"/>
      <c r="RQ6" s="340"/>
      <c r="RR6" s="338" t="s">
        <v>16</v>
      </c>
      <c r="RS6" s="339"/>
      <c r="RT6" s="340"/>
      <c r="RU6" s="338" t="s">
        <v>17</v>
      </c>
      <c r="RV6" s="339"/>
      <c r="RW6" s="340"/>
      <c r="RX6" s="338" t="str">
        <f>QJ6</f>
        <v>I-XII</v>
      </c>
      <c r="RY6" s="339"/>
      <c r="RZ6" s="340"/>
      <c r="SA6" s="362" t="s">
        <v>18</v>
      </c>
      <c r="SB6" s="338" t="s">
        <v>6</v>
      </c>
      <c r="SC6" s="339"/>
      <c r="SD6" s="340"/>
      <c r="SE6" s="338" t="s">
        <v>7</v>
      </c>
      <c r="SF6" s="339"/>
      <c r="SG6" s="340"/>
      <c r="SH6" s="338" t="s">
        <v>8</v>
      </c>
      <c r="SI6" s="339"/>
      <c r="SJ6" s="340"/>
      <c r="SK6" s="338" t="s">
        <v>9</v>
      </c>
      <c r="SL6" s="339"/>
      <c r="SM6" s="340"/>
      <c r="SN6" s="338" t="s">
        <v>10</v>
      </c>
      <c r="SO6" s="339"/>
      <c r="SP6" s="340"/>
      <c r="SQ6" s="338" t="s">
        <v>11</v>
      </c>
      <c r="SR6" s="339"/>
      <c r="SS6" s="340"/>
      <c r="ST6" s="338" t="s">
        <v>12</v>
      </c>
      <c r="SU6" s="339"/>
      <c r="SV6" s="340"/>
      <c r="SW6" s="338" t="s">
        <v>13</v>
      </c>
      <c r="SX6" s="339"/>
      <c r="SY6" s="340"/>
      <c r="SZ6" s="338" t="s">
        <v>14</v>
      </c>
      <c r="TA6" s="339"/>
      <c r="TB6" s="340"/>
      <c r="TC6" s="338" t="s">
        <v>15</v>
      </c>
      <c r="TD6" s="339"/>
      <c r="TE6" s="340"/>
      <c r="TF6" s="338" t="s">
        <v>16</v>
      </c>
      <c r="TG6" s="339"/>
      <c r="TH6" s="340"/>
      <c r="TI6" s="338" t="s">
        <v>17</v>
      </c>
      <c r="TJ6" s="339"/>
      <c r="TK6" s="340"/>
      <c r="TL6" s="338" t="str">
        <f>RX6</f>
        <v>I-XII</v>
      </c>
      <c r="TM6" s="339"/>
      <c r="TN6" s="340"/>
      <c r="TO6" s="338" t="s">
        <v>6</v>
      </c>
      <c r="TP6" s="339"/>
      <c r="TQ6" s="340"/>
      <c r="TR6" s="338" t="s">
        <v>7</v>
      </c>
      <c r="TS6" s="339"/>
      <c r="TT6" s="340"/>
      <c r="TU6" s="338" t="s">
        <v>8</v>
      </c>
      <c r="TV6" s="339"/>
      <c r="TW6" s="340"/>
      <c r="TX6" s="338" t="s">
        <v>9</v>
      </c>
      <c r="TY6" s="339"/>
      <c r="TZ6" s="340"/>
      <c r="UA6" s="338" t="s">
        <v>10</v>
      </c>
      <c r="UB6" s="339"/>
      <c r="UC6" s="340"/>
      <c r="UD6" s="338" t="s">
        <v>11</v>
      </c>
      <c r="UE6" s="339"/>
      <c r="UF6" s="340"/>
      <c r="UG6" s="338" t="s">
        <v>12</v>
      </c>
      <c r="UH6" s="339"/>
      <c r="UI6" s="340"/>
      <c r="UJ6" s="338" t="s">
        <v>13</v>
      </c>
      <c r="UK6" s="339"/>
      <c r="UL6" s="340"/>
      <c r="UM6" s="338" t="s">
        <v>14</v>
      </c>
      <c r="UN6" s="339"/>
      <c r="UO6" s="340"/>
      <c r="UP6" s="338" t="s">
        <v>15</v>
      </c>
      <c r="UQ6" s="339"/>
      <c r="UR6" s="340"/>
      <c r="US6" s="338" t="s">
        <v>16</v>
      </c>
      <c r="UT6" s="339"/>
      <c r="UU6" s="340"/>
      <c r="UV6" s="338" t="s">
        <v>17</v>
      </c>
      <c r="UW6" s="339"/>
      <c r="UX6" s="340"/>
      <c r="UY6" s="350" t="s">
        <v>260</v>
      </c>
      <c r="UZ6" s="351"/>
      <c r="VA6" s="352"/>
      <c r="VB6" s="350" t="s">
        <v>260</v>
      </c>
      <c r="VC6" s="351"/>
      <c r="VD6" s="352"/>
      <c r="VE6" s="273" t="str">
        <f>"Izmaiņas "&amp;VB6&amp;" "&amp;VE5&amp;", milj. euro"</f>
        <v>Izmaiņas I-IV 2026/2025, milj. euro</v>
      </c>
      <c r="VF6" s="273" t="str">
        <f>"Izmaiņas "&amp;VB6&amp;" "&amp;VF5&amp;", %"</f>
        <v>Izmaiņas I-IV 2026/2025, %</v>
      </c>
    </row>
    <row r="7" spans="1:578" ht="98.25" customHeight="1">
      <c r="A7" s="153"/>
      <c r="B7" s="9"/>
      <c r="C7" s="343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22" t="s">
        <v>19</v>
      </c>
      <c r="U7" s="328" t="s">
        <v>20</v>
      </c>
      <c r="V7" s="328" t="s">
        <v>21</v>
      </c>
      <c r="W7" s="345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2" t="s">
        <v>19</v>
      </c>
      <c r="AK7" s="328" t="s">
        <v>20</v>
      </c>
      <c r="AL7" s="328" t="s">
        <v>21</v>
      </c>
      <c r="AM7" s="345"/>
      <c r="AN7" s="345"/>
      <c r="AO7" s="345"/>
      <c r="AP7" s="345"/>
      <c r="AQ7" s="345"/>
      <c r="AR7" s="345"/>
      <c r="AS7" s="345"/>
      <c r="AT7" s="345"/>
      <c r="AU7" s="345"/>
      <c r="AV7" s="345"/>
      <c r="AW7" s="345"/>
      <c r="AX7" s="345"/>
      <c r="AY7" s="345"/>
      <c r="AZ7" s="22" t="s">
        <v>19</v>
      </c>
      <c r="BA7" s="22" t="s">
        <v>20</v>
      </c>
      <c r="BB7" s="22" t="s">
        <v>21</v>
      </c>
      <c r="BC7" s="345"/>
      <c r="BD7" s="22" t="s">
        <v>19</v>
      </c>
      <c r="BE7" s="22" t="s">
        <v>20</v>
      </c>
      <c r="BF7" s="22" t="s">
        <v>21</v>
      </c>
      <c r="BG7" s="22" t="s">
        <v>19</v>
      </c>
      <c r="BH7" s="22" t="s">
        <v>20</v>
      </c>
      <c r="BI7" s="22" t="s">
        <v>21</v>
      </c>
      <c r="BJ7" s="22" t="s">
        <v>19</v>
      </c>
      <c r="BK7" s="22" t="s">
        <v>20</v>
      </c>
      <c r="BL7" s="22" t="s">
        <v>21</v>
      </c>
      <c r="BM7" s="22" t="s">
        <v>19</v>
      </c>
      <c r="BN7" s="22" t="s">
        <v>20</v>
      </c>
      <c r="BO7" s="22" t="s">
        <v>21</v>
      </c>
      <c r="BP7" s="22" t="s">
        <v>19</v>
      </c>
      <c r="BQ7" s="22" t="s">
        <v>20</v>
      </c>
      <c r="BR7" s="22" t="s">
        <v>21</v>
      </c>
      <c r="BS7" s="22" t="s">
        <v>19</v>
      </c>
      <c r="BT7" s="22" t="s">
        <v>20</v>
      </c>
      <c r="BU7" s="22" t="s">
        <v>21</v>
      </c>
      <c r="BV7" s="22" t="s">
        <v>19</v>
      </c>
      <c r="BW7" s="22" t="s">
        <v>20</v>
      </c>
      <c r="BX7" s="22" t="s">
        <v>21</v>
      </c>
      <c r="BY7" s="22" t="s">
        <v>19</v>
      </c>
      <c r="BZ7" s="22" t="s">
        <v>20</v>
      </c>
      <c r="CA7" s="22" t="s">
        <v>21</v>
      </c>
      <c r="CB7" s="22" t="s">
        <v>19</v>
      </c>
      <c r="CC7" s="22" t="s">
        <v>20</v>
      </c>
      <c r="CD7" s="22" t="s">
        <v>21</v>
      </c>
      <c r="CE7" s="22" t="s">
        <v>19</v>
      </c>
      <c r="CF7" s="22" t="s">
        <v>20</v>
      </c>
      <c r="CG7" s="22" t="s">
        <v>21</v>
      </c>
      <c r="CH7" s="22" t="s">
        <v>19</v>
      </c>
      <c r="CI7" s="22" t="s">
        <v>20</v>
      </c>
      <c r="CJ7" s="22" t="s">
        <v>21</v>
      </c>
      <c r="CK7" s="22" t="s">
        <v>19</v>
      </c>
      <c r="CL7" s="22" t="s">
        <v>20</v>
      </c>
      <c r="CM7" s="22" t="s">
        <v>21</v>
      </c>
      <c r="CN7" s="22" t="s">
        <v>19</v>
      </c>
      <c r="CO7" s="22" t="s">
        <v>20</v>
      </c>
      <c r="CP7" s="22" t="s">
        <v>21</v>
      </c>
      <c r="CQ7" s="345"/>
      <c r="CR7" s="22" t="s">
        <v>19</v>
      </c>
      <c r="CS7" s="22" t="s">
        <v>20</v>
      </c>
      <c r="CT7" s="22" t="s">
        <v>21</v>
      </c>
      <c r="CU7" s="22" t="s">
        <v>19</v>
      </c>
      <c r="CV7" s="22" t="s">
        <v>20</v>
      </c>
      <c r="CW7" s="22" t="s">
        <v>21</v>
      </c>
      <c r="CX7" s="22" t="s">
        <v>19</v>
      </c>
      <c r="CY7" s="22" t="s">
        <v>20</v>
      </c>
      <c r="CZ7" s="22" t="s">
        <v>21</v>
      </c>
      <c r="DA7" s="22" t="s">
        <v>19</v>
      </c>
      <c r="DB7" s="22" t="s">
        <v>20</v>
      </c>
      <c r="DC7" s="22" t="s">
        <v>21</v>
      </c>
      <c r="DD7" s="22" t="s">
        <v>19</v>
      </c>
      <c r="DE7" s="22" t="s">
        <v>20</v>
      </c>
      <c r="DF7" s="22" t="s">
        <v>21</v>
      </c>
      <c r="DG7" s="22" t="s">
        <v>19</v>
      </c>
      <c r="DH7" s="22" t="s">
        <v>20</v>
      </c>
      <c r="DI7" s="22" t="s">
        <v>21</v>
      </c>
      <c r="DJ7" s="22" t="s">
        <v>19</v>
      </c>
      <c r="DK7" s="22" t="s">
        <v>20</v>
      </c>
      <c r="DL7" s="22" t="s">
        <v>21</v>
      </c>
      <c r="DM7" s="22" t="s">
        <v>19</v>
      </c>
      <c r="DN7" s="22" t="s">
        <v>20</v>
      </c>
      <c r="DO7" s="22" t="s">
        <v>21</v>
      </c>
      <c r="DP7" s="22" t="s">
        <v>19</v>
      </c>
      <c r="DQ7" s="22" t="s">
        <v>20</v>
      </c>
      <c r="DR7" s="22" t="s">
        <v>21</v>
      </c>
      <c r="DS7" s="22" t="s">
        <v>19</v>
      </c>
      <c r="DT7" s="22" t="s">
        <v>20</v>
      </c>
      <c r="DU7" s="22" t="s">
        <v>21</v>
      </c>
      <c r="DV7" s="22" t="s">
        <v>19</v>
      </c>
      <c r="DW7" s="22" t="s">
        <v>20</v>
      </c>
      <c r="DX7" s="22" t="s">
        <v>21</v>
      </c>
      <c r="DY7" s="22" t="s">
        <v>19</v>
      </c>
      <c r="DZ7" s="22" t="s">
        <v>20</v>
      </c>
      <c r="EA7" s="22" t="s">
        <v>21</v>
      </c>
      <c r="EB7" s="22" t="s">
        <v>19</v>
      </c>
      <c r="EC7" s="22" t="s">
        <v>20</v>
      </c>
      <c r="ED7" s="22" t="s">
        <v>21</v>
      </c>
      <c r="EE7" s="345"/>
      <c r="EF7" s="22" t="s">
        <v>19</v>
      </c>
      <c r="EG7" s="22" t="s">
        <v>20</v>
      </c>
      <c r="EH7" s="22" t="s">
        <v>21</v>
      </c>
      <c r="EI7" s="22" t="s">
        <v>19</v>
      </c>
      <c r="EJ7" s="22" t="s">
        <v>20</v>
      </c>
      <c r="EK7" s="22" t="s">
        <v>21</v>
      </c>
      <c r="EL7" s="22" t="s">
        <v>19</v>
      </c>
      <c r="EM7" s="22" t="s">
        <v>20</v>
      </c>
      <c r="EN7" s="22" t="s">
        <v>21</v>
      </c>
      <c r="EO7" s="22" t="s">
        <v>19</v>
      </c>
      <c r="EP7" s="22" t="s">
        <v>20</v>
      </c>
      <c r="EQ7" s="22" t="s">
        <v>21</v>
      </c>
      <c r="ER7" s="22" t="s">
        <v>19</v>
      </c>
      <c r="ES7" s="22" t="s">
        <v>20</v>
      </c>
      <c r="ET7" s="22" t="s">
        <v>21</v>
      </c>
      <c r="EU7" s="22" t="s">
        <v>19</v>
      </c>
      <c r="EV7" s="22" t="s">
        <v>20</v>
      </c>
      <c r="EW7" s="22" t="s">
        <v>21</v>
      </c>
      <c r="EX7" s="22" t="s">
        <v>19</v>
      </c>
      <c r="EY7" s="22" t="s">
        <v>20</v>
      </c>
      <c r="EZ7" s="22" t="s">
        <v>21</v>
      </c>
      <c r="FA7" s="22" t="s">
        <v>19</v>
      </c>
      <c r="FB7" s="22" t="s">
        <v>20</v>
      </c>
      <c r="FC7" s="22" t="s">
        <v>21</v>
      </c>
      <c r="FD7" s="22" t="s">
        <v>19</v>
      </c>
      <c r="FE7" s="22" t="s">
        <v>20</v>
      </c>
      <c r="FF7" s="22" t="s">
        <v>21</v>
      </c>
      <c r="FG7" s="22" t="s">
        <v>19</v>
      </c>
      <c r="FH7" s="22" t="s">
        <v>20</v>
      </c>
      <c r="FI7" s="22" t="s">
        <v>21</v>
      </c>
      <c r="FJ7" s="22" t="s">
        <v>19</v>
      </c>
      <c r="FK7" s="22" t="s">
        <v>20</v>
      </c>
      <c r="FL7" s="22" t="s">
        <v>21</v>
      </c>
      <c r="FM7" s="22" t="s">
        <v>19</v>
      </c>
      <c r="FN7" s="22" t="s">
        <v>20</v>
      </c>
      <c r="FO7" s="22" t="s">
        <v>21</v>
      </c>
      <c r="FP7" s="22" t="s">
        <v>19</v>
      </c>
      <c r="FQ7" s="22" t="s">
        <v>20</v>
      </c>
      <c r="FR7" s="22" t="s">
        <v>21</v>
      </c>
      <c r="FS7" s="345"/>
      <c r="FT7" s="22" t="s">
        <v>19</v>
      </c>
      <c r="FU7" s="22" t="s">
        <v>20</v>
      </c>
      <c r="FV7" s="22" t="s">
        <v>21</v>
      </c>
      <c r="FW7" s="22" t="s">
        <v>19</v>
      </c>
      <c r="FX7" s="22" t="s">
        <v>20</v>
      </c>
      <c r="FY7" s="22" t="s">
        <v>21</v>
      </c>
      <c r="FZ7" s="22" t="s">
        <v>19</v>
      </c>
      <c r="GA7" s="22" t="s">
        <v>20</v>
      </c>
      <c r="GB7" s="22" t="s">
        <v>21</v>
      </c>
      <c r="GC7" s="22" t="s">
        <v>19</v>
      </c>
      <c r="GD7" s="22" t="s">
        <v>20</v>
      </c>
      <c r="GE7" s="22" t="s">
        <v>21</v>
      </c>
      <c r="GF7" s="22" t="s">
        <v>19</v>
      </c>
      <c r="GG7" s="22" t="s">
        <v>20</v>
      </c>
      <c r="GH7" s="22" t="s">
        <v>21</v>
      </c>
      <c r="GI7" s="22" t="s">
        <v>19</v>
      </c>
      <c r="GJ7" s="22" t="s">
        <v>20</v>
      </c>
      <c r="GK7" s="22" t="s">
        <v>21</v>
      </c>
      <c r="GL7" s="22" t="s">
        <v>19</v>
      </c>
      <c r="GM7" s="22" t="s">
        <v>20</v>
      </c>
      <c r="GN7" s="164" t="s">
        <v>21</v>
      </c>
      <c r="GO7" s="22" t="s">
        <v>19</v>
      </c>
      <c r="GP7" s="22" t="s">
        <v>20</v>
      </c>
      <c r="GQ7" s="22" t="s">
        <v>21</v>
      </c>
      <c r="GR7" s="22" t="s">
        <v>19</v>
      </c>
      <c r="GS7" s="22" t="s">
        <v>20</v>
      </c>
      <c r="GT7" s="22" t="s">
        <v>21</v>
      </c>
      <c r="GU7" s="22" t="s">
        <v>19</v>
      </c>
      <c r="GV7" s="22" t="s">
        <v>20</v>
      </c>
      <c r="GW7" s="22" t="s">
        <v>21</v>
      </c>
      <c r="GX7" s="22" t="s">
        <v>19</v>
      </c>
      <c r="GY7" s="22" t="s">
        <v>20</v>
      </c>
      <c r="GZ7" s="22" t="s">
        <v>21</v>
      </c>
      <c r="HA7" s="22" t="s">
        <v>19</v>
      </c>
      <c r="HB7" s="22" t="s">
        <v>20</v>
      </c>
      <c r="HC7" s="22" t="s">
        <v>21</v>
      </c>
      <c r="HD7" s="22" t="s">
        <v>19</v>
      </c>
      <c r="HE7" s="22" t="s">
        <v>20</v>
      </c>
      <c r="HF7" s="22" t="s">
        <v>21</v>
      </c>
      <c r="HG7" s="363"/>
      <c r="HH7" s="22" t="s">
        <v>22</v>
      </c>
      <c r="HI7" s="21" t="s">
        <v>23</v>
      </c>
      <c r="HJ7" s="21" t="s">
        <v>24</v>
      </c>
      <c r="HK7" s="22" t="s">
        <v>22</v>
      </c>
      <c r="HL7" s="21" t="s">
        <v>23</v>
      </c>
      <c r="HM7" s="21" t="s">
        <v>24</v>
      </c>
      <c r="HN7" s="22" t="s">
        <v>22</v>
      </c>
      <c r="HO7" s="21" t="s">
        <v>23</v>
      </c>
      <c r="HP7" s="21" t="s">
        <v>24</v>
      </c>
      <c r="HQ7" s="22" t="s">
        <v>22</v>
      </c>
      <c r="HR7" s="21" t="s">
        <v>23</v>
      </c>
      <c r="HS7" s="21" t="s">
        <v>24</v>
      </c>
      <c r="HT7" s="22" t="s">
        <v>22</v>
      </c>
      <c r="HU7" s="21" t="s">
        <v>23</v>
      </c>
      <c r="HV7" s="21" t="s">
        <v>24</v>
      </c>
      <c r="HW7" s="22" t="s">
        <v>22</v>
      </c>
      <c r="HX7" s="21" t="s">
        <v>23</v>
      </c>
      <c r="HY7" s="21" t="s">
        <v>24</v>
      </c>
      <c r="HZ7" s="22" t="s">
        <v>22</v>
      </c>
      <c r="IA7" s="21" t="s">
        <v>23</v>
      </c>
      <c r="IB7" s="21" t="s">
        <v>24</v>
      </c>
      <c r="IC7" s="22" t="s">
        <v>22</v>
      </c>
      <c r="ID7" s="21" t="s">
        <v>23</v>
      </c>
      <c r="IE7" s="21" t="s">
        <v>24</v>
      </c>
      <c r="IF7" s="22" t="s">
        <v>22</v>
      </c>
      <c r="IG7" s="21" t="s">
        <v>23</v>
      </c>
      <c r="IH7" s="21" t="s">
        <v>24</v>
      </c>
      <c r="II7" s="22" t="s">
        <v>22</v>
      </c>
      <c r="IJ7" s="21" t="s">
        <v>23</v>
      </c>
      <c r="IK7" s="21" t="s">
        <v>24</v>
      </c>
      <c r="IL7" s="22" t="s">
        <v>22</v>
      </c>
      <c r="IM7" s="21" t="s">
        <v>23</v>
      </c>
      <c r="IN7" s="21" t="s">
        <v>24</v>
      </c>
      <c r="IO7" s="22" t="s">
        <v>22</v>
      </c>
      <c r="IP7" s="21" t="s">
        <v>23</v>
      </c>
      <c r="IQ7" s="21" t="s">
        <v>24</v>
      </c>
      <c r="IR7" s="22" t="s">
        <v>22</v>
      </c>
      <c r="IS7" s="21" t="s">
        <v>23</v>
      </c>
      <c r="IT7" s="21" t="s">
        <v>24</v>
      </c>
      <c r="IU7" s="363"/>
      <c r="IV7" s="22" t="s">
        <v>22</v>
      </c>
      <c r="IW7" s="21" t="s">
        <v>23</v>
      </c>
      <c r="IX7" s="21" t="s">
        <v>24</v>
      </c>
      <c r="IY7" s="22" t="s">
        <v>22</v>
      </c>
      <c r="IZ7" s="21" t="s">
        <v>23</v>
      </c>
      <c r="JA7" s="21" t="s">
        <v>24</v>
      </c>
      <c r="JB7" s="22" t="s">
        <v>22</v>
      </c>
      <c r="JC7" s="21" t="s">
        <v>23</v>
      </c>
      <c r="JD7" s="21" t="s">
        <v>24</v>
      </c>
      <c r="JE7" s="22" t="s">
        <v>22</v>
      </c>
      <c r="JF7" s="21" t="s">
        <v>23</v>
      </c>
      <c r="JG7" s="21" t="s">
        <v>24</v>
      </c>
      <c r="JH7" s="22" t="s">
        <v>22</v>
      </c>
      <c r="JI7" s="21" t="s">
        <v>23</v>
      </c>
      <c r="JJ7" s="21" t="s">
        <v>24</v>
      </c>
      <c r="JK7" s="22" t="s">
        <v>22</v>
      </c>
      <c r="JL7" s="21" t="s">
        <v>23</v>
      </c>
      <c r="JM7" s="21" t="s">
        <v>24</v>
      </c>
      <c r="JN7" s="22" t="s">
        <v>22</v>
      </c>
      <c r="JO7" s="21" t="s">
        <v>23</v>
      </c>
      <c r="JP7" s="21" t="s">
        <v>24</v>
      </c>
      <c r="JQ7" s="22" t="s">
        <v>22</v>
      </c>
      <c r="JR7" s="21" t="s">
        <v>23</v>
      </c>
      <c r="JS7" s="21" t="s">
        <v>24</v>
      </c>
      <c r="JT7" s="22" t="s">
        <v>22</v>
      </c>
      <c r="JU7" s="21" t="s">
        <v>23</v>
      </c>
      <c r="JV7" s="21" t="s">
        <v>24</v>
      </c>
      <c r="JW7" s="22" t="s">
        <v>22</v>
      </c>
      <c r="JX7" s="21" t="s">
        <v>23</v>
      </c>
      <c r="JY7" s="21" t="s">
        <v>24</v>
      </c>
      <c r="JZ7" s="22" t="s">
        <v>22</v>
      </c>
      <c r="KA7" s="21" t="s">
        <v>23</v>
      </c>
      <c r="KB7" s="21" t="s">
        <v>24</v>
      </c>
      <c r="KC7" s="22" t="s">
        <v>22</v>
      </c>
      <c r="KD7" s="21" t="s">
        <v>23</v>
      </c>
      <c r="KE7" s="21" t="s">
        <v>24</v>
      </c>
      <c r="KF7" s="22" t="s">
        <v>22</v>
      </c>
      <c r="KG7" s="21" t="s">
        <v>23</v>
      </c>
      <c r="KH7" s="21" t="s">
        <v>24</v>
      </c>
      <c r="KI7" s="363"/>
      <c r="KJ7" s="22" t="s">
        <v>22</v>
      </c>
      <c r="KK7" s="21" t="s">
        <v>23</v>
      </c>
      <c r="KL7" s="21" t="s">
        <v>24</v>
      </c>
      <c r="KM7" s="22" t="s">
        <v>22</v>
      </c>
      <c r="KN7" s="21" t="s">
        <v>23</v>
      </c>
      <c r="KO7" s="21" t="s">
        <v>24</v>
      </c>
      <c r="KP7" s="22" t="s">
        <v>22</v>
      </c>
      <c r="KQ7" s="21" t="s">
        <v>23</v>
      </c>
      <c r="KR7" s="21" t="s">
        <v>24</v>
      </c>
      <c r="KS7" s="22" t="s">
        <v>22</v>
      </c>
      <c r="KT7" s="21" t="s">
        <v>23</v>
      </c>
      <c r="KU7" s="21" t="s">
        <v>24</v>
      </c>
      <c r="KV7" s="22" t="s">
        <v>22</v>
      </c>
      <c r="KW7" s="21" t="s">
        <v>23</v>
      </c>
      <c r="KX7" s="21" t="s">
        <v>24</v>
      </c>
      <c r="KY7" s="22" t="s">
        <v>22</v>
      </c>
      <c r="KZ7" s="21" t="s">
        <v>23</v>
      </c>
      <c r="LA7" s="21" t="s">
        <v>24</v>
      </c>
      <c r="LB7" s="22" t="s">
        <v>22</v>
      </c>
      <c r="LC7" s="21" t="s">
        <v>23</v>
      </c>
      <c r="LD7" s="21" t="s">
        <v>24</v>
      </c>
      <c r="LE7" s="22" t="s">
        <v>22</v>
      </c>
      <c r="LF7" s="21" t="s">
        <v>23</v>
      </c>
      <c r="LG7" s="21" t="s">
        <v>24</v>
      </c>
      <c r="LH7" s="22" t="s">
        <v>22</v>
      </c>
      <c r="LI7" s="21" t="s">
        <v>23</v>
      </c>
      <c r="LJ7" s="21" t="s">
        <v>24</v>
      </c>
      <c r="LK7" s="22" t="s">
        <v>22</v>
      </c>
      <c r="LL7" s="21" t="s">
        <v>23</v>
      </c>
      <c r="LM7" s="21" t="s">
        <v>24</v>
      </c>
      <c r="LN7" s="22" t="s">
        <v>22</v>
      </c>
      <c r="LO7" s="21" t="s">
        <v>23</v>
      </c>
      <c r="LP7" s="21" t="s">
        <v>24</v>
      </c>
      <c r="LQ7" s="22" t="s">
        <v>22</v>
      </c>
      <c r="LR7" s="21" t="s">
        <v>23</v>
      </c>
      <c r="LS7" s="21" t="s">
        <v>24</v>
      </c>
      <c r="LT7" s="22" t="s">
        <v>22</v>
      </c>
      <c r="LU7" s="21" t="s">
        <v>23</v>
      </c>
      <c r="LV7" s="21" t="s">
        <v>24</v>
      </c>
      <c r="LW7" s="363"/>
      <c r="LX7" s="22" t="s">
        <v>22</v>
      </c>
      <c r="LY7" s="21" t="s">
        <v>23</v>
      </c>
      <c r="LZ7" s="21" t="s">
        <v>24</v>
      </c>
      <c r="MA7" s="22" t="s">
        <v>22</v>
      </c>
      <c r="MB7" s="21" t="s">
        <v>23</v>
      </c>
      <c r="MC7" s="21" t="s">
        <v>24</v>
      </c>
      <c r="MD7" s="22" t="s">
        <v>22</v>
      </c>
      <c r="ME7" s="21" t="s">
        <v>23</v>
      </c>
      <c r="MF7" s="21" t="s">
        <v>24</v>
      </c>
      <c r="MG7" s="22" t="s">
        <v>22</v>
      </c>
      <c r="MH7" s="21" t="s">
        <v>23</v>
      </c>
      <c r="MI7" s="21" t="s">
        <v>24</v>
      </c>
      <c r="MJ7" s="22" t="s">
        <v>22</v>
      </c>
      <c r="MK7" s="21" t="s">
        <v>23</v>
      </c>
      <c r="ML7" s="21" t="s">
        <v>24</v>
      </c>
      <c r="MM7" s="22" t="s">
        <v>22</v>
      </c>
      <c r="MN7" s="21" t="s">
        <v>23</v>
      </c>
      <c r="MO7" s="21" t="s">
        <v>24</v>
      </c>
      <c r="MP7" s="22" t="s">
        <v>22</v>
      </c>
      <c r="MQ7" s="21" t="s">
        <v>23</v>
      </c>
      <c r="MR7" s="21" t="s">
        <v>24</v>
      </c>
      <c r="MS7" s="22" t="s">
        <v>22</v>
      </c>
      <c r="MT7" s="21" t="s">
        <v>23</v>
      </c>
      <c r="MU7" s="21" t="s">
        <v>24</v>
      </c>
      <c r="MV7" s="22" t="s">
        <v>22</v>
      </c>
      <c r="MW7" s="21" t="s">
        <v>23</v>
      </c>
      <c r="MX7" s="21" t="s">
        <v>24</v>
      </c>
      <c r="MY7" s="22" t="s">
        <v>22</v>
      </c>
      <c r="MZ7" s="21" t="s">
        <v>23</v>
      </c>
      <c r="NA7" s="21" t="s">
        <v>24</v>
      </c>
      <c r="NB7" s="22" t="s">
        <v>22</v>
      </c>
      <c r="NC7" s="21" t="s">
        <v>23</v>
      </c>
      <c r="ND7" s="21" t="s">
        <v>24</v>
      </c>
      <c r="NE7" s="22" t="s">
        <v>22</v>
      </c>
      <c r="NF7" s="21" t="s">
        <v>23</v>
      </c>
      <c r="NG7" s="21" t="s">
        <v>24</v>
      </c>
      <c r="NH7" s="22" t="s">
        <v>22</v>
      </c>
      <c r="NI7" s="21" t="s">
        <v>23</v>
      </c>
      <c r="NJ7" s="21" t="s">
        <v>24</v>
      </c>
      <c r="NK7" s="363"/>
      <c r="NL7" s="22" t="s">
        <v>22</v>
      </c>
      <c r="NM7" s="21" t="s">
        <v>23</v>
      </c>
      <c r="NN7" s="21" t="s">
        <v>24</v>
      </c>
      <c r="NO7" s="22" t="s">
        <v>22</v>
      </c>
      <c r="NP7" s="21" t="s">
        <v>23</v>
      </c>
      <c r="NQ7" s="21" t="s">
        <v>24</v>
      </c>
      <c r="NR7" s="22" t="s">
        <v>22</v>
      </c>
      <c r="NS7" s="21" t="s">
        <v>23</v>
      </c>
      <c r="NT7" s="21" t="s">
        <v>24</v>
      </c>
      <c r="NU7" s="22" t="s">
        <v>22</v>
      </c>
      <c r="NV7" s="21" t="s">
        <v>23</v>
      </c>
      <c r="NW7" s="21" t="s">
        <v>24</v>
      </c>
      <c r="NX7" s="22" t="s">
        <v>22</v>
      </c>
      <c r="NY7" s="21" t="s">
        <v>23</v>
      </c>
      <c r="NZ7" s="21" t="s">
        <v>24</v>
      </c>
      <c r="OA7" s="22" t="s">
        <v>22</v>
      </c>
      <c r="OB7" s="21" t="s">
        <v>23</v>
      </c>
      <c r="OC7" s="21" t="s">
        <v>24</v>
      </c>
      <c r="OD7" s="22" t="s">
        <v>22</v>
      </c>
      <c r="OE7" s="21" t="s">
        <v>23</v>
      </c>
      <c r="OF7" s="21" t="s">
        <v>24</v>
      </c>
      <c r="OG7" s="22" t="s">
        <v>22</v>
      </c>
      <c r="OH7" s="21" t="s">
        <v>23</v>
      </c>
      <c r="OI7" s="21" t="s">
        <v>24</v>
      </c>
      <c r="OJ7" s="22" t="s">
        <v>22</v>
      </c>
      <c r="OK7" s="21" t="s">
        <v>23</v>
      </c>
      <c r="OL7" s="21" t="s">
        <v>24</v>
      </c>
      <c r="OM7" s="22" t="s">
        <v>22</v>
      </c>
      <c r="ON7" s="21" t="s">
        <v>23</v>
      </c>
      <c r="OO7" s="21" t="s">
        <v>24</v>
      </c>
      <c r="OP7" s="22" t="s">
        <v>22</v>
      </c>
      <c r="OQ7" s="21" t="s">
        <v>23</v>
      </c>
      <c r="OR7" s="21" t="s">
        <v>24</v>
      </c>
      <c r="OS7" s="22" t="s">
        <v>22</v>
      </c>
      <c r="OT7" s="21" t="s">
        <v>23</v>
      </c>
      <c r="OU7" s="21" t="s">
        <v>24</v>
      </c>
      <c r="OV7" s="22" t="s">
        <v>22</v>
      </c>
      <c r="OW7" s="21" t="s">
        <v>23</v>
      </c>
      <c r="OX7" s="21" t="s">
        <v>24</v>
      </c>
      <c r="OY7" s="363"/>
      <c r="OZ7" s="22" t="s">
        <v>22</v>
      </c>
      <c r="PA7" s="21" t="s">
        <v>23</v>
      </c>
      <c r="PB7" s="21" t="s">
        <v>24</v>
      </c>
      <c r="PC7" s="22" t="s">
        <v>22</v>
      </c>
      <c r="PD7" s="21" t="s">
        <v>23</v>
      </c>
      <c r="PE7" s="21" t="s">
        <v>24</v>
      </c>
      <c r="PF7" s="22" t="s">
        <v>22</v>
      </c>
      <c r="PG7" s="21" t="s">
        <v>23</v>
      </c>
      <c r="PH7" s="21" t="s">
        <v>24</v>
      </c>
      <c r="PI7" s="22" t="s">
        <v>22</v>
      </c>
      <c r="PJ7" s="21" t="s">
        <v>23</v>
      </c>
      <c r="PK7" s="21" t="s">
        <v>24</v>
      </c>
      <c r="PL7" s="22" t="s">
        <v>22</v>
      </c>
      <c r="PM7" s="21" t="s">
        <v>23</v>
      </c>
      <c r="PN7" s="21" t="s">
        <v>24</v>
      </c>
      <c r="PO7" s="22" t="s">
        <v>22</v>
      </c>
      <c r="PP7" s="21" t="s">
        <v>23</v>
      </c>
      <c r="PQ7" s="21" t="s">
        <v>24</v>
      </c>
      <c r="PR7" s="22" t="s">
        <v>22</v>
      </c>
      <c r="PS7" s="21" t="s">
        <v>23</v>
      </c>
      <c r="PT7" s="21" t="s">
        <v>24</v>
      </c>
      <c r="PU7" s="22" t="s">
        <v>22</v>
      </c>
      <c r="PV7" s="21" t="s">
        <v>23</v>
      </c>
      <c r="PW7" s="21" t="s">
        <v>24</v>
      </c>
      <c r="PX7" s="22" t="s">
        <v>22</v>
      </c>
      <c r="PY7" s="21" t="s">
        <v>23</v>
      </c>
      <c r="PZ7" s="21" t="s">
        <v>24</v>
      </c>
      <c r="QA7" s="22" t="s">
        <v>22</v>
      </c>
      <c r="QB7" s="21" t="s">
        <v>23</v>
      </c>
      <c r="QC7" s="21" t="s">
        <v>24</v>
      </c>
      <c r="QD7" s="22" t="s">
        <v>22</v>
      </c>
      <c r="QE7" s="21" t="s">
        <v>23</v>
      </c>
      <c r="QF7" s="21" t="s">
        <v>24</v>
      </c>
      <c r="QG7" s="22" t="s">
        <v>22</v>
      </c>
      <c r="QH7" s="21" t="s">
        <v>23</v>
      </c>
      <c r="QI7" s="21" t="s">
        <v>24</v>
      </c>
      <c r="QJ7" s="22" t="s">
        <v>22</v>
      </c>
      <c r="QK7" s="21" t="s">
        <v>23</v>
      </c>
      <c r="QL7" s="21" t="s">
        <v>24</v>
      </c>
      <c r="QM7" s="363"/>
      <c r="QN7" s="22" t="s">
        <v>22</v>
      </c>
      <c r="QO7" s="21" t="s">
        <v>23</v>
      </c>
      <c r="QP7" s="21" t="s">
        <v>24</v>
      </c>
      <c r="QQ7" s="22" t="s">
        <v>22</v>
      </c>
      <c r="QR7" s="21" t="s">
        <v>23</v>
      </c>
      <c r="QS7" s="21" t="s">
        <v>24</v>
      </c>
      <c r="QT7" s="22" t="s">
        <v>22</v>
      </c>
      <c r="QU7" s="21" t="s">
        <v>23</v>
      </c>
      <c r="QV7" s="21" t="s">
        <v>24</v>
      </c>
      <c r="QW7" s="22" t="s">
        <v>22</v>
      </c>
      <c r="QX7" s="21" t="s">
        <v>23</v>
      </c>
      <c r="QY7" s="21" t="s">
        <v>24</v>
      </c>
      <c r="QZ7" s="22" t="s">
        <v>22</v>
      </c>
      <c r="RA7" s="21" t="s">
        <v>23</v>
      </c>
      <c r="RB7" s="21" t="s">
        <v>24</v>
      </c>
      <c r="RC7" s="22" t="s">
        <v>22</v>
      </c>
      <c r="RD7" s="21" t="s">
        <v>23</v>
      </c>
      <c r="RE7" s="21" t="s">
        <v>24</v>
      </c>
      <c r="RF7" s="22" t="s">
        <v>22</v>
      </c>
      <c r="RG7" s="21" t="s">
        <v>23</v>
      </c>
      <c r="RH7" s="21" t="s">
        <v>24</v>
      </c>
      <c r="RI7" s="22" t="s">
        <v>22</v>
      </c>
      <c r="RJ7" s="21" t="s">
        <v>23</v>
      </c>
      <c r="RK7" s="21" t="s">
        <v>24</v>
      </c>
      <c r="RL7" s="22" t="s">
        <v>22</v>
      </c>
      <c r="RM7" s="21" t="s">
        <v>23</v>
      </c>
      <c r="RN7" s="21" t="s">
        <v>24</v>
      </c>
      <c r="RO7" s="22" t="s">
        <v>22</v>
      </c>
      <c r="RP7" s="21" t="s">
        <v>23</v>
      </c>
      <c r="RQ7" s="21" t="s">
        <v>24</v>
      </c>
      <c r="RR7" s="22" t="s">
        <v>22</v>
      </c>
      <c r="RS7" s="21" t="s">
        <v>23</v>
      </c>
      <c r="RT7" s="21" t="s">
        <v>24</v>
      </c>
      <c r="RU7" s="22" t="s">
        <v>22</v>
      </c>
      <c r="RV7" s="21" t="s">
        <v>23</v>
      </c>
      <c r="RW7" s="21" t="s">
        <v>24</v>
      </c>
      <c r="RX7" s="22" t="s">
        <v>22</v>
      </c>
      <c r="RY7" s="21" t="s">
        <v>23</v>
      </c>
      <c r="RZ7" s="21" t="s">
        <v>24</v>
      </c>
      <c r="SA7" s="363"/>
      <c r="SB7" s="22" t="s">
        <v>22</v>
      </c>
      <c r="SC7" s="21" t="s">
        <v>23</v>
      </c>
      <c r="SD7" s="21" t="s">
        <v>24</v>
      </c>
      <c r="SE7" s="22" t="s">
        <v>22</v>
      </c>
      <c r="SF7" s="21" t="s">
        <v>23</v>
      </c>
      <c r="SG7" s="21" t="s">
        <v>24</v>
      </c>
      <c r="SH7" s="22" t="s">
        <v>22</v>
      </c>
      <c r="SI7" s="21" t="s">
        <v>23</v>
      </c>
      <c r="SJ7" s="21" t="s">
        <v>24</v>
      </c>
      <c r="SK7" s="22" t="s">
        <v>22</v>
      </c>
      <c r="SL7" s="21" t="s">
        <v>23</v>
      </c>
      <c r="SM7" s="21" t="s">
        <v>24</v>
      </c>
      <c r="SN7" s="22" t="s">
        <v>22</v>
      </c>
      <c r="SO7" s="21" t="s">
        <v>23</v>
      </c>
      <c r="SP7" s="21" t="s">
        <v>24</v>
      </c>
      <c r="SQ7" s="22" t="s">
        <v>22</v>
      </c>
      <c r="SR7" s="21" t="s">
        <v>23</v>
      </c>
      <c r="SS7" s="21" t="s">
        <v>24</v>
      </c>
      <c r="ST7" s="22" t="s">
        <v>22</v>
      </c>
      <c r="SU7" s="21" t="s">
        <v>23</v>
      </c>
      <c r="SV7" s="21" t="s">
        <v>24</v>
      </c>
      <c r="SW7" s="22" t="s">
        <v>22</v>
      </c>
      <c r="SX7" s="21" t="s">
        <v>23</v>
      </c>
      <c r="SY7" s="21" t="s">
        <v>24</v>
      </c>
      <c r="SZ7" s="22" t="s">
        <v>22</v>
      </c>
      <c r="TA7" s="21" t="s">
        <v>23</v>
      </c>
      <c r="TB7" s="21" t="s">
        <v>24</v>
      </c>
      <c r="TC7" s="22" t="s">
        <v>22</v>
      </c>
      <c r="TD7" s="21" t="s">
        <v>23</v>
      </c>
      <c r="TE7" s="21" t="s">
        <v>24</v>
      </c>
      <c r="TF7" s="22" t="s">
        <v>22</v>
      </c>
      <c r="TG7" s="21" t="s">
        <v>23</v>
      </c>
      <c r="TH7" s="21" t="s">
        <v>24</v>
      </c>
      <c r="TI7" s="22" t="s">
        <v>22</v>
      </c>
      <c r="TJ7" s="21" t="s">
        <v>23</v>
      </c>
      <c r="TK7" s="21" t="s">
        <v>24</v>
      </c>
      <c r="TL7" s="22" t="s">
        <v>22</v>
      </c>
      <c r="TM7" s="21" t="s">
        <v>23</v>
      </c>
      <c r="TN7" s="21" t="s">
        <v>24</v>
      </c>
      <c r="TO7" s="22" t="s">
        <v>22</v>
      </c>
      <c r="TP7" s="21" t="s">
        <v>23</v>
      </c>
      <c r="TQ7" s="21" t="s">
        <v>24</v>
      </c>
      <c r="TR7" s="22" t="s">
        <v>22</v>
      </c>
      <c r="TS7" s="21" t="s">
        <v>23</v>
      </c>
      <c r="TT7" s="21" t="s">
        <v>24</v>
      </c>
      <c r="TU7" s="22" t="s">
        <v>22</v>
      </c>
      <c r="TV7" s="21" t="s">
        <v>23</v>
      </c>
      <c r="TW7" s="21" t="s">
        <v>24</v>
      </c>
      <c r="TX7" s="22" t="s">
        <v>22</v>
      </c>
      <c r="TY7" s="21" t="s">
        <v>23</v>
      </c>
      <c r="TZ7" s="21" t="s">
        <v>24</v>
      </c>
      <c r="UA7" s="22" t="s">
        <v>22</v>
      </c>
      <c r="UB7" s="21" t="s">
        <v>23</v>
      </c>
      <c r="UC7" s="21" t="s">
        <v>24</v>
      </c>
      <c r="UD7" s="22" t="s">
        <v>22</v>
      </c>
      <c r="UE7" s="21" t="s">
        <v>23</v>
      </c>
      <c r="UF7" s="21" t="s">
        <v>24</v>
      </c>
      <c r="UG7" s="22" t="s">
        <v>22</v>
      </c>
      <c r="UH7" s="21" t="s">
        <v>23</v>
      </c>
      <c r="UI7" s="21" t="s">
        <v>24</v>
      </c>
      <c r="UJ7" s="22" t="s">
        <v>22</v>
      </c>
      <c r="UK7" s="21" t="s">
        <v>23</v>
      </c>
      <c r="UL7" s="21" t="s">
        <v>24</v>
      </c>
      <c r="UM7" s="22" t="s">
        <v>22</v>
      </c>
      <c r="UN7" s="21" t="s">
        <v>23</v>
      </c>
      <c r="UO7" s="21" t="s">
        <v>24</v>
      </c>
      <c r="UP7" s="22" t="s">
        <v>22</v>
      </c>
      <c r="UQ7" s="21" t="s">
        <v>23</v>
      </c>
      <c r="UR7" s="21" t="s">
        <v>24</v>
      </c>
      <c r="US7" s="22" t="s">
        <v>22</v>
      </c>
      <c r="UT7" s="21" t="s">
        <v>23</v>
      </c>
      <c r="UU7" s="21" t="s">
        <v>24</v>
      </c>
      <c r="UV7" s="22" t="s">
        <v>22</v>
      </c>
      <c r="UW7" s="21" t="s">
        <v>23</v>
      </c>
      <c r="UX7" s="21" t="s">
        <v>24</v>
      </c>
      <c r="UY7" s="289" t="s">
        <v>22</v>
      </c>
      <c r="UZ7" s="289" t="s">
        <v>23</v>
      </c>
      <c r="VA7" s="289" t="s">
        <v>24</v>
      </c>
      <c r="VB7" s="289" t="s">
        <v>22</v>
      </c>
      <c r="VC7" s="289" t="s">
        <v>23</v>
      </c>
      <c r="VD7" s="289" t="s">
        <v>24</v>
      </c>
      <c r="VE7" s="304" t="s">
        <v>24</v>
      </c>
      <c r="VF7" s="304" t="s">
        <v>24</v>
      </c>
    </row>
    <row r="8" spans="1:578" s="12" customFormat="1" ht="20">
      <c r="A8" s="40" t="s">
        <v>25</v>
      </c>
      <c r="B8" s="13"/>
      <c r="C8" s="40" t="s">
        <v>26</v>
      </c>
      <c r="D8" s="60">
        <v>2037.530070972846</v>
      </c>
      <c r="E8" s="60">
        <v>2395.1540941713483</v>
      </c>
      <c r="F8" s="60">
        <v>1898.5304153078241</v>
      </c>
      <c r="G8" s="60">
        <v>1878.0488130403355</v>
      </c>
      <c r="H8" s="60">
        <v>133.46038155730474</v>
      </c>
      <c r="I8" s="60">
        <v>142.45447237067521</v>
      </c>
      <c r="J8" s="60">
        <v>178.5281515187734</v>
      </c>
      <c r="K8" s="60">
        <v>156.20168781054176</v>
      </c>
      <c r="L8" s="60">
        <v>165.87040198974395</v>
      </c>
      <c r="M8" s="60">
        <v>180.69353902368226</v>
      </c>
      <c r="N8" s="60">
        <v>145.57915151308188</v>
      </c>
      <c r="O8" s="60">
        <v>146.43213755186366</v>
      </c>
      <c r="P8" s="60">
        <v>156.32825225809756</v>
      </c>
      <c r="Q8" s="60">
        <v>150.32926391995491</v>
      </c>
      <c r="R8" s="60">
        <v>171.68855043511419</v>
      </c>
      <c r="S8" s="60">
        <v>199.58333475620512</v>
      </c>
      <c r="T8" s="60">
        <v>1724.425259389531</v>
      </c>
      <c r="U8" s="60">
        <v>202.72406531550763</v>
      </c>
      <c r="V8" s="60">
        <v>1927.1493247050387</v>
      </c>
      <c r="W8" s="60">
        <v>1926.4430538243951</v>
      </c>
      <c r="X8" s="60">
        <v>148.28667878953451</v>
      </c>
      <c r="Y8" s="60">
        <v>159.91445410100116</v>
      </c>
      <c r="Z8" s="60">
        <v>173.3849992316492</v>
      </c>
      <c r="AA8" s="60">
        <v>163.95216020398288</v>
      </c>
      <c r="AB8" s="60">
        <v>167.68330288387656</v>
      </c>
      <c r="AC8" s="60">
        <v>184.77961423099472</v>
      </c>
      <c r="AD8" s="60">
        <v>144.56065417954366</v>
      </c>
      <c r="AE8" s="60">
        <v>145.34258200010245</v>
      </c>
      <c r="AF8" s="60">
        <v>139.57758066260294</v>
      </c>
      <c r="AG8" s="60">
        <v>160.8261279104843</v>
      </c>
      <c r="AH8" s="60">
        <v>177.15593252172724</v>
      </c>
      <c r="AI8" s="60">
        <v>180.57796768373547</v>
      </c>
      <c r="AJ8" s="60">
        <v>1776.9301640286624</v>
      </c>
      <c r="AK8" s="60">
        <v>169.11189037057272</v>
      </c>
      <c r="AL8" s="60">
        <v>1946.0420543992352</v>
      </c>
      <c r="AM8" s="60">
        <v>1953.6188951684965</v>
      </c>
      <c r="AN8" s="60">
        <v>154.35136111917404</v>
      </c>
      <c r="AO8" s="60">
        <v>162.85841429473939</v>
      </c>
      <c r="AP8" s="60">
        <v>181.24078832789797</v>
      </c>
      <c r="AQ8" s="60">
        <v>193.96563480002956</v>
      </c>
      <c r="AR8" s="60">
        <v>185.22183282963672</v>
      </c>
      <c r="AS8" s="60">
        <v>207.19038878549355</v>
      </c>
      <c r="AT8" s="60">
        <v>147.65187449132333</v>
      </c>
      <c r="AU8" s="60">
        <v>151.2900239611613</v>
      </c>
      <c r="AV8" s="60">
        <v>151.72166919937848</v>
      </c>
      <c r="AW8" s="60">
        <v>163.41411830325382</v>
      </c>
      <c r="AX8" s="60">
        <v>176.01424721543989</v>
      </c>
      <c r="AY8" s="60">
        <v>198.2517102919164</v>
      </c>
      <c r="AZ8" s="60">
        <v>1889.8059530110811</v>
      </c>
      <c r="BA8" s="60">
        <v>183.3661106083631</v>
      </c>
      <c r="BB8" s="40">
        <v>2073.1720636194441</v>
      </c>
      <c r="BC8" s="40">
        <v>2065.9879838475595</v>
      </c>
      <c r="BD8" s="81">
        <f t="shared" ref="BD8:CG8" si="0">BD9+BD16+BD17+BD18+BD19+BD23</f>
        <v>137.61893600000002</v>
      </c>
      <c r="BE8" s="40">
        <f t="shared" si="0"/>
        <v>11.581904999999999</v>
      </c>
      <c r="BF8" s="81">
        <f t="shared" si="0"/>
        <v>149.200841</v>
      </c>
      <c r="BG8" s="81">
        <f t="shared" si="0"/>
        <v>161.44875200000001</v>
      </c>
      <c r="BH8" s="40">
        <f t="shared" si="0"/>
        <v>10.876028</v>
      </c>
      <c r="BI8" s="66">
        <f t="shared" si="0"/>
        <v>172.32478</v>
      </c>
      <c r="BJ8" s="81">
        <f t="shared" si="0"/>
        <v>181.26144899999997</v>
      </c>
      <c r="BK8" s="81">
        <f t="shared" si="0"/>
        <v>11.607176000000001</v>
      </c>
      <c r="BL8" s="66">
        <f t="shared" si="0"/>
        <v>192.86862499999998</v>
      </c>
      <c r="BM8" s="81">
        <f t="shared" si="0"/>
        <v>165.893846</v>
      </c>
      <c r="BN8" s="81">
        <f t="shared" si="0"/>
        <v>8.5135179999999995</v>
      </c>
      <c r="BO8" s="66">
        <f t="shared" si="0"/>
        <v>174.407364</v>
      </c>
      <c r="BP8" s="81">
        <f t="shared" si="0"/>
        <v>167.68151399999999</v>
      </c>
      <c r="BQ8" s="81">
        <f t="shared" si="0"/>
        <v>8.0952270000000013</v>
      </c>
      <c r="BR8" s="66">
        <f t="shared" si="0"/>
        <v>175.77674099999999</v>
      </c>
      <c r="BS8" s="81">
        <f t="shared" si="0"/>
        <v>192.61893799999999</v>
      </c>
      <c r="BT8" s="40">
        <f t="shared" si="0"/>
        <v>9.1357079999999993</v>
      </c>
      <c r="BU8" s="66">
        <f t="shared" si="0"/>
        <v>201.75464599999998</v>
      </c>
      <c r="BV8" s="81">
        <f t="shared" si="0"/>
        <v>154.711049</v>
      </c>
      <c r="BW8" s="40">
        <f t="shared" si="0"/>
        <v>9.4759630000000001</v>
      </c>
      <c r="BX8" s="66">
        <f t="shared" si="0"/>
        <v>164.18701200000001</v>
      </c>
      <c r="BY8" s="81">
        <f t="shared" si="0"/>
        <v>144.132284</v>
      </c>
      <c r="BZ8" s="40">
        <f t="shared" si="0"/>
        <v>9.7495860000000008</v>
      </c>
      <c r="CA8" s="66">
        <f t="shared" si="0"/>
        <v>153.88187000000002</v>
      </c>
      <c r="CB8" s="81">
        <f t="shared" si="0"/>
        <v>146.943714</v>
      </c>
      <c r="CC8" s="40">
        <f t="shared" si="0"/>
        <v>10.647930000000001</v>
      </c>
      <c r="CD8" s="66">
        <f t="shared" si="0"/>
        <v>157.59164400000003</v>
      </c>
      <c r="CE8" s="81">
        <f t="shared" si="0"/>
        <v>174.30236000000002</v>
      </c>
      <c r="CF8" s="81">
        <f t="shared" si="0"/>
        <v>11.729104999999999</v>
      </c>
      <c r="CG8" s="66">
        <f t="shared" si="0"/>
        <v>186.03146500000003</v>
      </c>
      <c r="CH8" s="81">
        <f t="shared" ref="CH8:CM8" si="1">CH9+CH16+CH17+CH18+CH19+CH23</f>
        <v>166.82795199999998</v>
      </c>
      <c r="CI8" s="40">
        <f t="shared" si="1"/>
        <v>14.169667</v>
      </c>
      <c r="CJ8" s="66">
        <f t="shared" si="1"/>
        <v>180.99761899999999</v>
      </c>
      <c r="CK8" s="81">
        <f t="shared" si="1"/>
        <v>179.00354200000001</v>
      </c>
      <c r="CL8" s="40">
        <f t="shared" si="1"/>
        <v>21.735941999999998</v>
      </c>
      <c r="CM8" s="66">
        <f t="shared" si="1"/>
        <v>200.73948400000003</v>
      </c>
      <c r="CN8" s="67">
        <f>BD8+BG8+BJ8+BM8+BP8+BS8+BV8+BY8+CB8+CE8+CH8+CK8</f>
        <v>1972.444336</v>
      </c>
      <c r="CO8" s="67">
        <f>BE8+BH8+BK8+BN8+BQ8+BT8+BW8+BZ8+CC8+CF8+CI8+CL8</f>
        <v>137.31775500000001</v>
      </c>
      <c r="CP8" s="67">
        <f>BF8+BI8+BL8+BO8+BR8+BU8+BX8+CA8+CD8+CG8+CJ8+CM8</f>
        <v>2109.7620910000001</v>
      </c>
      <c r="CQ8" s="135">
        <f>CQ9+CQ16+CQ17+CQ18+CQ19+CQ23</f>
        <v>2107.2109570000002</v>
      </c>
      <c r="CR8" s="81">
        <f>CR9+CR16+CR17+CR18+CR19+CR23</f>
        <v>150.30146300000001</v>
      </c>
      <c r="CS8" s="40">
        <f>CS9+CS16+CS17+CS18+CS19+CS23</f>
        <v>3.1392030000000002</v>
      </c>
      <c r="CT8" s="66">
        <f>CT9+CT16+CT17+CT18+CT19+CT23</f>
        <v>153.44066599999999</v>
      </c>
      <c r="CU8" s="81">
        <v>172.439752</v>
      </c>
      <c r="CV8" s="40">
        <v>8.435988</v>
      </c>
      <c r="CW8" s="66">
        <v>180.87574000000001</v>
      </c>
      <c r="CX8" s="81">
        <v>189.31702000000001</v>
      </c>
      <c r="CY8" s="40">
        <v>9.8094260000000002</v>
      </c>
      <c r="CZ8" s="66">
        <v>199.12644599999999</v>
      </c>
      <c r="DA8" s="81">
        <v>169.54939899999999</v>
      </c>
      <c r="DB8" s="40">
        <v>3.8935919999999999</v>
      </c>
      <c r="DC8" s="66">
        <v>173.44299099999998</v>
      </c>
      <c r="DD8" s="81">
        <v>186.37626899999998</v>
      </c>
      <c r="DE8" s="40">
        <v>6.9254650000000009</v>
      </c>
      <c r="DF8" s="66">
        <v>193.30173399999998</v>
      </c>
      <c r="DG8" s="81">
        <v>204.64763699999997</v>
      </c>
      <c r="DH8" s="40">
        <v>4.644628</v>
      </c>
      <c r="DI8" s="66">
        <v>209.29226499999999</v>
      </c>
      <c r="DJ8" s="81">
        <v>157.05783300000002</v>
      </c>
      <c r="DK8" s="40">
        <v>7.1353779999999993</v>
      </c>
      <c r="DL8" s="66">
        <v>164.19321099999999</v>
      </c>
      <c r="DM8" s="81">
        <v>150.451448</v>
      </c>
      <c r="DN8" s="40">
        <v>5.5901640000000006</v>
      </c>
      <c r="DO8" s="66">
        <v>156.04161199999999</v>
      </c>
      <c r="DP8" s="81">
        <v>151.64444499999999</v>
      </c>
      <c r="DQ8" s="40">
        <v>4.6605880000000006</v>
      </c>
      <c r="DR8" s="66">
        <v>156.30503300000001</v>
      </c>
      <c r="DS8" s="81">
        <v>162.25725799999998</v>
      </c>
      <c r="DT8" s="40">
        <v>7.1724969999999999</v>
      </c>
      <c r="DU8" s="66">
        <v>169.42975499999997</v>
      </c>
      <c r="DV8" s="81">
        <v>180.58886899999999</v>
      </c>
      <c r="DW8" s="40">
        <v>6.3354680000000005</v>
      </c>
      <c r="DX8" s="66">
        <v>186.92433700000001</v>
      </c>
      <c r="DY8" s="81">
        <v>184.446642</v>
      </c>
      <c r="DZ8" s="40">
        <v>15.706104</v>
      </c>
      <c r="EA8" s="66">
        <v>200.15274599999998</v>
      </c>
      <c r="EB8" s="66">
        <f>CR8+CU8+CX8+DA8+DD8+DG8+DJ8+DM8+DP8+DS8+DV8+DY8</f>
        <v>2059.078035</v>
      </c>
      <c r="EC8" s="67">
        <f>CS8+CV8+CY8+DB8+DE8+DH8+DK8+DN8+DQ8+DT8+DW8+DZ8</f>
        <v>83.448500999999993</v>
      </c>
      <c r="ED8" s="67">
        <f>CT8+CW8+CZ8+DC8+DF8+DI8+DL8+DO8+DR8+DU8+DX8+EA8</f>
        <v>2142.5265359999999</v>
      </c>
      <c r="EE8" s="66">
        <f>EE9+EE16+EE17+EE18+EE19+EE23</f>
        <v>2140.0848059999998</v>
      </c>
      <c r="EF8" s="67">
        <v>161.62116</v>
      </c>
      <c r="EG8" s="67">
        <v>2.5998619999999999</v>
      </c>
      <c r="EH8" s="67">
        <v>164.22102199999998</v>
      </c>
      <c r="EI8" s="67">
        <v>180.01623899999998</v>
      </c>
      <c r="EJ8" s="67">
        <v>2.644504</v>
      </c>
      <c r="EK8" s="67">
        <v>182.66074299999997</v>
      </c>
      <c r="EL8" s="67">
        <v>201.18498700000001</v>
      </c>
      <c r="EM8" s="67">
        <v>6.424061</v>
      </c>
      <c r="EN8" s="67">
        <v>207.60904799999997</v>
      </c>
      <c r="EO8" s="67">
        <v>180.23433599999998</v>
      </c>
      <c r="EP8" s="67">
        <v>1.931438</v>
      </c>
      <c r="EQ8" s="67">
        <v>182.16577399999997</v>
      </c>
      <c r="ER8" s="67">
        <v>183.694557</v>
      </c>
      <c r="ES8" s="67">
        <v>0.53854999999999997</v>
      </c>
      <c r="ET8" s="67">
        <v>184.23310700000002</v>
      </c>
      <c r="EU8" s="67">
        <v>210.160955</v>
      </c>
      <c r="EV8" s="67">
        <v>0.79084200000000004</v>
      </c>
      <c r="EW8" s="67">
        <v>210.951797</v>
      </c>
      <c r="EX8" s="67">
        <v>160.818895</v>
      </c>
      <c r="EY8" s="67">
        <v>0.61777799999999994</v>
      </c>
      <c r="EZ8" s="67">
        <v>161.43667299999998</v>
      </c>
      <c r="FA8" s="67">
        <v>160.52804199999997</v>
      </c>
      <c r="FB8" s="67">
        <v>1.5721710000000002</v>
      </c>
      <c r="FC8" s="67">
        <v>162.10021299999997</v>
      </c>
      <c r="FD8" s="67">
        <v>141.57046600000001</v>
      </c>
      <c r="FE8" s="67">
        <v>1.01329</v>
      </c>
      <c r="FF8" s="67">
        <v>142.58375599999999</v>
      </c>
      <c r="FG8" s="67">
        <v>194.38177200000001</v>
      </c>
      <c r="FH8" s="67">
        <v>1.729198</v>
      </c>
      <c r="FI8" s="67">
        <v>196.11097000000001</v>
      </c>
      <c r="FJ8" s="67">
        <v>202.71506700000003</v>
      </c>
      <c r="FK8" s="67">
        <v>2.7081879999999998</v>
      </c>
      <c r="FL8" s="67">
        <v>205.42325500000001</v>
      </c>
      <c r="FM8" s="67">
        <v>201.72000700000004</v>
      </c>
      <c r="FN8" s="67">
        <v>3.7551350000000001</v>
      </c>
      <c r="FO8" s="67">
        <v>205.47514200000001</v>
      </c>
      <c r="FP8" s="67">
        <f>EF8+EI8+EL8+EO8+ER8+EU8+EX8+FA8+FD8+FG8+FJ8+FM8</f>
        <v>2178.646483</v>
      </c>
      <c r="FQ8" s="67">
        <f>EG8+EJ8+EM8+EP8+ES8+EV8+EY8+FB8+FE8+FH8+FK8+FN8</f>
        <v>26.325016999999999</v>
      </c>
      <c r="FR8" s="67">
        <f>EH8+EK8+EN8+EQ8+ET8+EW8+EZ8+FC8+FF8+FI8+FL8+FO8</f>
        <v>2204.9714999999997</v>
      </c>
      <c r="FS8" s="159">
        <f>FS9+FS16+FS17+FS18+FS19+FS23</f>
        <v>2202.9247939999996</v>
      </c>
      <c r="FT8" s="67">
        <v>172.909334</v>
      </c>
      <c r="FU8" s="67">
        <v>1.235476</v>
      </c>
      <c r="FV8" s="67">
        <v>174.14481000000001</v>
      </c>
      <c r="FW8" s="67">
        <v>191.67264099999997</v>
      </c>
      <c r="FX8" s="67">
        <v>1.032395</v>
      </c>
      <c r="FY8" s="67">
        <v>192.70503599999998</v>
      </c>
      <c r="FZ8" s="67">
        <v>219.09554600000001</v>
      </c>
      <c r="GA8" s="67">
        <v>2.3057970000000001</v>
      </c>
      <c r="GB8" s="67">
        <v>221.40134300000003</v>
      </c>
      <c r="GC8" s="67">
        <v>188.313515</v>
      </c>
      <c r="GD8" s="67">
        <v>5.6176820000000003</v>
      </c>
      <c r="GE8" s="67">
        <v>193.931197</v>
      </c>
      <c r="GF8" s="67">
        <v>207.501093</v>
      </c>
      <c r="GG8" s="67">
        <v>10.867053</v>
      </c>
      <c r="GH8" s="67">
        <v>218.368146</v>
      </c>
      <c r="GI8" s="67">
        <v>234.53986500000002</v>
      </c>
      <c r="GJ8" s="67">
        <v>8.9756809999999998</v>
      </c>
      <c r="GK8" s="67">
        <v>243.51554600000003</v>
      </c>
      <c r="GL8" s="67">
        <v>173.99870600000003</v>
      </c>
      <c r="GM8" s="67">
        <v>10.737181</v>
      </c>
      <c r="GN8" s="67">
        <v>184.73588700000005</v>
      </c>
      <c r="GO8" s="67">
        <v>173.177785</v>
      </c>
      <c r="GP8" s="67">
        <v>12.681500999999999</v>
      </c>
      <c r="GQ8" s="67">
        <v>185.859286</v>
      </c>
      <c r="GR8" s="67">
        <v>154.92434499999999</v>
      </c>
      <c r="GS8" s="67">
        <v>14.129667</v>
      </c>
      <c r="GT8" s="67">
        <v>169.054012</v>
      </c>
      <c r="GU8" s="67">
        <v>210.09207499999999</v>
      </c>
      <c r="GV8" s="67">
        <v>15.623082</v>
      </c>
      <c r="GW8" s="67">
        <v>225.715157</v>
      </c>
      <c r="GX8" s="67">
        <v>209.155227</v>
      </c>
      <c r="GY8" s="67">
        <v>11.693588999999999</v>
      </c>
      <c r="GZ8" s="67">
        <v>220.848816</v>
      </c>
      <c r="HA8" s="67">
        <v>217.587243</v>
      </c>
      <c r="HB8" s="67">
        <v>14.775596</v>
      </c>
      <c r="HC8" s="67">
        <v>232.36283900000001</v>
      </c>
      <c r="HD8" s="67">
        <f>FT8+FW8+FZ8+GC8+GF8+GI8+GL8+GO8+GR8+GU8+GX8+HA8</f>
        <v>2352.9673750000002</v>
      </c>
      <c r="HE8" s="67">
        <f>FU8+FX8+GA8+GD8+GG8+GJ8+GM8+GP8+GS8+GV8+GY8+HB8</f>
        <v>109.6747</v>
      </c>
      <c r="HF8" s="67">
        <f>FV8+FY8+GB8+GE8+GH8+GK8+GN8+GQ8+GT8+GW8+GZ8+HC8</f>
        <v>2462.6420750000002</v>
      </c>
      <c r="HG8" s="67">
        <f>HG9+HG16+HG17+HG18+HG19+HG23</f>
        <v>2461.1759030000003</v>
      </c>
      <c r="HH8" s="67">
        <v>191.20439300000001</v>
      </c>
      <c r="HI8" s="67">
        <v>7.2554559999999997</v>
      </c>
      <c r="HJ8" s="67">
        <v>198.45984899999999</v>
      </c>
      <c r="HK8" s="67">
        <v>201.86006900000001</v>
      </c>
      <c r="HL8" s="67">
        <v>11.087672</v>
      </c>
      <c r="HM8" s="67">
        <v>212.94774100000001</v>
      </c>
      <c r="HN8" s="67">
        <v>194.09392500000001</v>
      </c>
      <c r="HO8" s="67">
        <v>13.635926</v>
      </c>
      <c r="HP8" s="67">
        <v>207.729851</v>
      </c>
      <c r="HQ8" s="67">
        <v>191.32256000000001</v>
      </c>
      <c r="HR8" s="67">
        <v>11.543326</v>
      </c>
      <c r="HS8" s="67">
        <v>202.86588599999999</v>
      </c>
      <c r="HT8" s="67">
        <v>199.480245</v>
      </c>
      <c r="HU8" s="67">
        <v>17.059128000000001</v>
      </c>
      <c r="HV8" s="67">
        <v>216.53937300000001</v>
      </c>
      <c r="HW8" s="67">
        <v>240.17495400000001</v>
      </c>
      <c r="HX8" s="67">
        <v>17.924095000000001</v>
      </c>
      <c r="HY8" s="67">
        <v>258.09904899999998</v>
      </c>
      <c r="HZ8" s="67">
        <v>193.94698199999999</v>
      </c>
      <c r="IA8" s="67">
        <v>24.562139999999999</v>
      </c>
      <c r="IB8" s="67">
        <v>218.50912199999999</v>
      </c>
      <c r="IC8" s="67">
        <v>187.256608</v>
      </c>
      <c r="ID8" s="67">
        <v>19.154373</v>
      </c>
      <c r="IE8" s="67">
        <v>206.41098099999999</v>
      </c>
      <c r="IF8" s="67">
        <v>170.467659</v>
      </c>
      <c r="IG8" s="67">
        <v>21.634720000000002</v>
      </c>
      <c r="IH8" s="67">
        <v>192.10237900000001</v>
      </c>
      <c r="II8" s="67">
        <v>215.65913399999999</v>
      </c>
      <c r="IJ8" s="67">
        <v>25.568859</v>
      </c>
      <c r="IK8" s="67">
        <v>241.227993</v>
      </c>
      <c r="IL8" s="67">
        <v>216.97134700000001</v>
      </c>
      <c r="IM8" s="67">
        <v>24.616330000000001</v>
      </c>
      <c r="IN8" s="67">
        <v>241.58767700000001</v>
      </c>
      <c r="IO8" s="67">
        <v>222.994506</v>
      </c>
      <c r="IP8" s="67">
        <v>26.629237</v>
      </c>
      <c r="IQ8" s="67">
        <v>249.62374299999999</v>
      </c>
      <c r="IR8" s="66">
        <f t="shared" ref="IR8:IT9" si="2">HH8+HK8+HN8+HQ8+HT8+HW8+HZ8+IC8+IF8+II8+IL8+IO8</f>
        <v>2425.432382</v>
      </c>
      <c r="IS8" s="67">
        <f t="shared" si="2"/>
        <v>220.67126199999998</v>
      </c>
      <c r="IT8" s="67">
        <f t="shared" si="2"/>
        <v>2646.1036440000003</v>
      </c>
      <c r="IU8" s="67">
        <f>IU9+IU16+IU17+IU18+IU19+IU23</f>
        <v>2644.8124449999996</v>
      </c>
      <c r="IV8" s="66">
        <v>207.119438</v>
      </c>
      <c r="IW8" s="67">
        <v>27.432880000000001</v>
      </c>
      <c r="IX8" s="67">
        <v>234.55231800000001</v>
      </c>
      <c r="IY8" s="66">
        <v>221.961996</v>
      </c>
      <c r="IZ8" s="67">
        <v>24.860417999999999</v>
      </c>
      <c r="JA8" s="67">
        <v>246.82241400000001</v>
      </c>
      <c r="JB8" s="66">
        <v>210.62616</v>
      </c>
      <c r="JC8" s="67">
        <v>27.544157999999999</v>
      </c>
      <c r="JD8" s="67">
        <v>238.17031800000001</v>
      </c>
      <c r="JE8" s="66">
        <v>200.86666199999999</v>
      </c>
      <c r="JF8" s="67">
        <v>14.975057</v>
      </c>
      <c r="JG8" s="67">
        <v>215.84171900000001</v>
      </c>
      <c r="JH8" s="66">
        <v>230.05591899999999</v>
      </c>
      <c r="JI8" s="67">
        <v>18.304642000000001</v>
      </c>
      <c r="JJ8" s="67">
        <v>248.36056099999999</v>
      </c>
      <c r="JK8" s="66">
        <v>249.26684599999999</v>
      </c>
      <c r="JL8" s="67">
        <v>19.265581999999998</v>
      </c>
      <c r="JM8" s="67">
        <v>268.53242799999998</v>
      </c>
      <c r="JN8" s="66">
        <v>202.828701</v>
      </c>
      <c r="JO8" s="67">
        <v>24.554174</v>
      </c>
      <c r="JP8" s="67">
        <v>227.38287500000001</v>
      </c>
      <c r="JQ8" s="66">
        <v>198.69262499999999</v>
      </c>
      <c r="JR8" s="67">
        <v>19.225176999999999</v>
      </c>
      <c r="JS8" s="67">
        <v>217.91780199999999</v>
      </c>
      <c r="JT8" s="66">
        <v>219.881393</v>
      </c>
      <c r="JU8" s="67">
        <v>16.130448999999999</v>
      </c>
      <c r="JV8" s="67">
        <v>236.011842</v>
      </c>
      <c r="JW8" s="66">
        <v>222.797642</v>
      </c>
      <c r="JX8" s="67">
        <v>24.330302</v>
      </c>
      <c r="JY8" s="67">
        <v>247.12794400000001</v>
      </c>
      <c r="JZ8" s="66">
        <v>238.14667499999999</v>
      </c>
      <c r="KA8" s="67">
        <v>16.943100999999999</v>
      </c>
      <c r="KB8" s="67">
        <v>255.089776</v>
      </c>
      <c r="KC8" s="66">
        <v>255.99986100000001</v>
      </c>
      <c r="KD8" s="67">
        <v>29.439416999999999</v>
      </c>
      <c r="KE8" s="67">
        <v>285.439278</v>
      </c>
      <c r="KF8" s="66">
        <f>IV8+IY8+JB8+JE8+JH8+JK8+JN8+JQ8+JT8+JW8+JZ8+KC8</f>
        <v>2658.2439180000001</v>
      </c>
      <c r="KG8" s="67">
        <f t="shared" ref="KG8:KG26" si="3">IW8+IZ8+JC8+JF8+JI8+JL8+JO8+JR8+JU8+JX8+KA8+KD8</f>
        <v>263.00535699999995</v>
      </c>
      <c r="KH8" s="67">
        <f t="shared" ref="KH8:KH57" si="4">IX8+JA8+JD8+JG8+JJ8+JM8+JP8+JS8+JV8+JY8+KB8+KE8</f>
        <v>2921.2492749999992</v>
      </c>
      <c r="KI8" s="67">
        <f>KI9+KI16+KI17+KI18+KI19+KI23</f>
        <v>2919.579307</v>
      </c>
      <c r="KJ8" s="66">
        <v>259.61373800000001</v>
      </c>
      <c r="KK8" s="67">
        <v>30.450407999999999</v>
      </c>
      <c r="KL8" s="67">
        <v>290.06414599999999</v>
      </c>
      <c r="KM8" s="66">
        <v>235.84108599999999</v>
      </c>
      <c r="KN8" s="67">
        <v>15.900463</v>
      </c>
      <c r="KO8" s="67">
        <v>251.74154899999999</v>
      </c>
      <c r="KP8" s="66">
        <v>195.99641299999999</v>
      </c>
      <c r="KQ8" s="67">
        <v>18.632103000000001</v>
      </c>
      <c r="KR8" s="67">
        <v>214.62851599999999</v>
      </c>
      <c r="KS8" s="66">
        <v>190.820089</v>
      </c>
      <c r="KT8" s="67">
        <v>14.228391</v>
      </c>
      <c r="KU8" s="67">
        <v>205.04848000000001</v>
      </c>
      <c r="KV8" s="67">
        <v>191.56088500000001</v>
      </c>
      <c r="KW8" s="67">
        <v>12.210845000000001</v>
      </c>
      <c r="KX8" s="67">
        <v>203.77172999999999</v>
      </c>
      <c r="KY8" s="67">
        <v>233.58224999999999</v>
      </c>
      <c r="KZ8" s="67">
        <v>13.695274</v>
      </c>
      <c r="LA8" s="67">
        <v>247.277524</v>
      </c>
      <c r="LB8" s="66">
        <v>204.92603800000001</v>
      </c>
      <c r="LC8" s="67">
        <v>23.303372</v>
      </c>
      <c r="LD8" s="67">
        <v>228.22941</v>
      </c>
      <c r="LE8" s="66">
        <v>195.64169799999999</v>
      </c>
      <c r="LF8" s="66">
        <v>19.687366000000001</v>
      </c>
      <c r="LG8" s="66">
        <v>215.32906399999999</v>
      </c>
      <c r="LH8" s="66">
        <v>205.772447</v>
      </c>
      <c r="LI8" s="67">
        <v>17.201325000000001</v>
      </c>
      <c r="LJ8" s="67">
        <v>222.973772</v>
      </c>
      <c r="LK8" s="66">
        <v>223.24659199999999</v>
      </c>
      <c r="LL8" s="67">
        <v>9.1971629999999998</v>
      </c>
      <c r="LM8" s="67">
        <v>232.44375500000001</v>
      </c>
      <c r="LN8" s="66">
        <v>235.67735851999998</v>
      </c>
      <c r="LO8" s="67">
        <v>11.511048000000001</v>
      </c>
      <c r="LP8" s="67">
        <v>247.18840651999997</v>
      </c>
      <c r="LQ8" s="66">
        <v>231.77909600000001</v>
      </c>
      <c r="LR8" s="67">
        <v>27.84507</v>
      </c>
      <c r="LS8" s="67">
        <v>259.624166</v>
      </c>
      <c r="LT8" s="66">
        <f>KJ8+KM8+KP8+KS8+KV8+KY8+LB8+LE8+LH8+LK8+LN8+LQ8</f>
        <v>2604.4576905200001</v>
      </c>
      <c r="LU8" s="67">
        <f t="shared" ref="LU8:LV23" si="5">KK8+KN8+KQ8+KT8+KW8+KZ8+LC8+LF8+LI8+LL8+LO8+LR8</f>
        <v>213.86282799999998</v>
      </c>
      <c r="LV8" s="67">
        <f t="shared" si="5"/>
        <v>2818.32051852</v>
      </c>
      <c r="LW8" s="67">
        <f>LW9+LW16+LW17+LW18+LW19+LW23</f>
        <v>2816.4554579999999</v>
      </c>
      <c r="LX8" s="66">
        <v>194.463121</v>
      </c>
      <c r="LY8" s="67">
        <v>10.054207999999999</v>
      </c>
      <c r="LZ8" s="67">
        <v>204.51732899999999</v>
      </c>
      <c r="MA8" s="66">
        <v>250.684878</v>
      </c>
      <c r="MB8" s="67">
        <v>18.425687</v>
      </c>
      <c r="MC8" s="67">
        <v>269.11056500000001</v>
      </c>
      <c r="MD8" s="66">
        <v>243.57480200000001</v>
      </c>
      <c r="ME8" s="67">
        <v>11.904495000000001</v>
      </c>
      <c r="MF8" s="67">
        <v>255.479297</v>
      </c>
      <c r="MG8" s="66">
        <v>152.00549100000001</v>
      </c>
      <c r="MH8" s="67">
        <v>14.030703000000001</v>
      </c>
      <c r="MI8" s="67">
        <v>166.03619399999999</v>
      </c>
      <c r="MJ8" s="66">
        <v>235.72667300000001</v>
      </c>
      <c r="MK8" s="67">
        <v>18.162337000000001</v>
      </c>
      <c r="ML8" s="67">
        <v>253.88901000000001</v>
      </c>
      <c r="MM8" s="66">
        <v>266.726024</v>
      </c>
      <c r="MN8" s="67">
        <v>16.289593</v>
      </c>
      <c r="MO8" s="67">
        <v>283.01561700000002</v>
      </c>
      <c r="MP8" s="66">
        <v>200.51392748000001</v>
      </c>
      <c r="MQ8" s="67">
        <v>8.5101230000000001</v>
      </c>
      <c r="MR8" s="67">
        <v>209.02405048000003</v>
      </c>
      <c r="MS8" s="66">
        <v>192.03378499999999</v>
      </c>
      <c r="MT8" s="67">
        <v>9.7957079999999994</v>
      </c>
      <c r="MU8" s="67">
        <v>201.82949300000001</v>
      </c>
      <c r="MV8" s="66">
        <v>196.76204100000001</v>
      </c>
      <c r="MW8" s="67">
        <v>12.873131000000001</v>
      </c>
      <c r="MX8" s="67">
        <v>209.63517200000001</v>
      </c>
      <c r="MY8" s="66">
        <v>284.727844</v>
      </c>
      <c r="MZ8" s="67">
        <v>14.652941</v>
      </c>
      <c r="NA8" s="67">
        <v>299.380785</v>
      </c>
      <c r="NB8" s="66">
        <v>231.10864000000001</v>
      </c>
      <c r="NC8" s="67">
        <v>13.145441999999999</v>
      </c>
      <c r="ND8" s="67">
        <v>244.25408200000001</v>
      </c>
      <c r="NE8" s="66">
        <v>259.989059</v>
      </c>
      <c r="NF8" s="67">
        <v>19.867353999999999</v>
      </c>
      <c r="NG8" s="67">
        <v>279.85641299999997</v>
      </c>
      <c r="NH8" s="66">
        <f>LX8+MA8+MD8+MG8+MJ8+MM8+MP8+MS8+MV8+MY8+NB8+NE8</f>
        <v>2708.3162854799998</v>
      </c>
      <c r="NI8" s="67">
        <f t="shared" ref="NI8:NI26" si="6">LY8+MB8+ME8+MH8+MK8+MN8+MQ8+MT8+MW8+MZ8+NC8+NF8</f>
        <v>167.71172200000001</v>
      </c>
      <c r="NJ8" s="67">
        <f t="shared" ref="NJ8:NJ39" si="7">LZ8+MC8+MF8+MI8+ML8+MO8+MR8+MU8+MX8+NA8+ND8+NG8</f>
        <v>2876.0280074799998</v>
      </c>
      <c r="NK8" s="67">
        <f>NK9+NK16+NK17+NK18+NK19+NK23</f>
        <v>2875.6650779999995</v>
      </c>
      <c r="NL8" s="67">
        <v>270.76388200000002</v>
      </c>
      <c r="NM8" s="67">
        <v>10.264044999999999</v>
      </c>
      <c r="NN8" s="67">
        <v>281.02792699999998</v>
      </c>
      <c r="NO8" s="67">
        <v>258.059394</v>
      </c>
      <c r="NP8" s="67">
        <v>7.3171299999999997</v>
      </c>
      <c r="NQ8" s="67">
        <v>265.37652400000002</v>
      </c>
      <c r="NR8" s="67">
        <v>192.15589399999999</v>
      </c>
      <c r="NS8" s="67">
        <f>NS19+NS23</f>
        <v>15.318319000000001</v>
      </c>
      <c r="NT8" s="67">
        <v>207.47421299999999</v>
      </c>
      <c r="NU8" s="67">
        <v>246.80517800000001</v>
      </c>
      <c r="NV8" s="67">
        <f>NV19+NV23</f>
        <v>6.463508</v>
      </c>
      <c r="NW8" s="67">
        <v>253.268686</v>
      </c>
      <c r="NX8" s="67">
        <v>238.17778000000001</v>
      </c>
      <c r="NY8" s="67">
        <f>NY19+NY23</f>
        <v>4.6646739999999998</v>
      </c>
      <c r="NZ8" s="67">
        <v>242.842454</v>
      </c>
      <c r="OA8" s="67">
        <v>317.32350500000001</v>
      </c>
      <c r="OB8" s="67">
        <v>7.1948850000000002</v>
      </c>
      <c r="OC8" s="67">
        <v>324.51839000000001</v>
      </c>
      <c r="OD8" s="67">
        <v>265.15766400000001</v>
      </c>
      <c r="OE8" s="67">
        <v>11.454064000000001</v>
      </c>
      <c r="OF8" s="67">
        <v>276.61172800000003</v>
      </c>
      <c r="OG8" s="67">
        <v>248.747556</v>
      </c>
      <c r="OH8" s="67">
        <f>OH19+OH23</f>
        <v>7.0021760000000004</v>
      </c>
      <c r="OI8" s="159">
        <v>255.74973199999999</v>
      </c>
      <c r="OJ8" s="67">
        <v>257.84052199999996</v>
      </c>
      <c r="OK8" s="67">
        <f>OK19+OK23</f>
        <v>12.596373</v>
      </c>
      <c r="OL8" s="67">
        <v>270.43689499999999</v>
      </c>
      <c r="OM8" s="67">
        <v>315.88753899999995</v>
      </c>
      <c r="ON8" s="67">
        <v>5.2457560000000001</v>
      </c>
      <c r="OO8" s="67">
        <v>321.13329499999998</v>
      </c>
      <c r="OP8" s="67">
        <v>270.93180699999999</v>
      </c>
      <c r="OQ8" s="67">
        <v>9.1858629999999994</v>
      </c>
      <c r="OR8" s="67">
        <v>280.11766999999998</v>
      </c>
      <c r="OS8" s="67">
        <v>259.923993</v>
      </c>
      <c r="OT8" s="67">
        <v>13.840655</v>
      </c>
      <c r="OU8" s="67">
        <v>273.76464800000002</v>
      </c>
      <c r="OV8" s="66">
        <f>NL8+NO8+NR8+NU8+NX8+OA8+OD8+OG8+OJ8+OM8+OP8+OS8</f>
        <v>3141.7747140000001</v>
      </c>
      <c r="OW8" s="67">
        <f t="shared" ref="OW8:OW17" si="8">NM8+NP8+NS8+NV8+NY8+OB8+OE8+OH8+OK8+ON8+OQ8+OT8</f>
        <v>110.54744799999999</v>
      </c>
      <c r="OX8" s="67">
        <f t="shared" ref="OX8:OX57" si="9">NN8+NQ8+NT8+NW8+NZ8+OC8+OF8+OI8+OL8+OO8+OR8+OU8</f>
        <v>3252.3221619999999</v>
      </c>
      <c r="OY8" s="67">
        <f>OY9+OY16+OY17+OY18+OY19+OY23</f>
        <v>3251.2018689999995</v>
      </c>
      <c r="OZ8" s="172">
        <v>291.18567000000002</v>
      </c>
      <c r="PA8" s="172">
        <v>15.279831</v>
      </c>
      <c r="PB8" s="172">
        <v>306.46526699999998</v>
      </c>
      <c r="PC8" s="172">
        <v>285.64440400000001</v>
      </c>
      <c r="PD8" s="172">
        <v>6.6496399999999998</v>
      </c>
      <c r="PE8" s="172">
        <v>292.29404399999999</v>
      </c>
      <c r="PF8" s="172">
        <v>213.08490800000001</v>
      </c>
      <c r="PG8" s="172">
        <v>12.587041000000001</v>
      </c>
      <c r="PH8" s="172">
        <v>225.67194900000001</v>
      </c>
      <c r="PI8" s="172">
        <v>252.72795199999999</v>
      </c>
      <c r="PJ8" s="172">
        <v>10.088196999999999</v>
      </c>
      <c r="PK8" s="172">
        <v>262.81591899999989</v>
      </c>
      <c r="PL8" s="172">
        <v>282.000722</v>
      </c>
      <c r="PM8" s="172">
        <v>13.041963999999998</v>
      </c>
      <c r="PN8" s="172">
        <v>295.042686</v>
      </c>
      <c r="PO8" s="172">
        <v>357.92658100000006</v>
      </c>
      <c r="PP8" s="172">
        <v>18.166749000000003</v>
      </c>
      <c r="PQ8" s="172">
        <v>376.09355999999997</v>
      </c>
      <c r="PR8" s="172">
        <v>274.17232200000001</v>
      </c>
      <c r="PS8" s="172">
        <v>26.971605</v>
      </c>
      <c r="PT8" s="172">
        <v>301.14392700000002</v>
      </c>
      <c r="PU8" s="172">
        <v>254.96501300000003</v>
      </c>
      <c r="PV8" s="172">
        <v>9.38537</v>
      </c>
      <c r="PW8" s="172">
        <v>264.35038300000002</v>
      </c>
      <c r="PX8" s="172">
        <v>227.60404400000002</v>
      </c>
      <c r="PY8" s="172">
        <v>18.605809999999998</v>
      </c>
      <c r="PZ8" s="172">
        <v>246.20985400000001</v>
      </c>
      <c r="QA8" s="172">
        <v>306.65422900000004</v>
      </c>
      <c r="QB8" s="172">
        <v>8.6311119999999999</v>
      </c>
      <c r="QC8" s="172">
        <v>315.28534100000002</v>
      </c>
      <c r="QD8" s="172">
        <v>295.31788700000004</v>
      </c>
      <c r="QE8" s="172">
        <v>5.6303190000000001</v>
      </c>
      <c r="QF8" s="172">
        <v>300.94820600000003</v>
      </c>
      <c r="QG8" s="172">
        <v>281.40604000000002</v>
      </c>
      <c r="QH8" s="172">
        <v>13.218975</v>
      </c>
      <c r="QI8" s="172">
        <v>294.62501500000002</v>
      </c>
      <c r="QJ8" s="66">
        <f t="shared" ref="QJ8:QL9" si="10">OZ8+PC8+PF8+PI8+PL8+PO8+PR8+PU8+PX8+QA8+QD8+QG8</f>
        <v>3322.6897720000002</v>
      </c>
      <c r="QK8" s="67">
        <f t="shared" si="10"/>
        <v>158.25661300000002</v>
      </c>
      <c r="QL8" s="67">
        <f t="shared" si="10"/>
        <v>3480.9461510000006</v>
      </c>
      <c r="QM8" s="67">
        <f>QM9+QM16+QM17+QM18+QM19+QM23</f>
        <v>3479.1076109999995</v>
      </c>
      <c r="QN8" s="172">
        <v>326.269249</v>
      </c>
      <c r="QO8" s="172">
        <v>3.8467539999999998</v>
      </c>
      <c r="QP8" s="172">
        <v>330.11600299999998</v>
      </c>
      <c r="QQ8" s="172">
        <v>318.40612300000004</v>
      </c>
      <c r="QR8" s="172">
        <v>4.8151639999999993</v>
      </c>
      <c r="QS8" s="172">
        <v>323.22128700000002</v>
      </c>
      <c r="QT8" s="55">
        <v>212.31080900000001</v>
      </c>
      <c r="QU8" s="172">
        <v>7.5452130000000004</v>
      </c>
      <c r="QV8" s="172">
        <v>219.856022</v>
      </c>
      <c r="QW8" s="172">
        <v>305.91939100000002</v>
      </c>
      <c r="QX8" s="172">
        <v>15.024070999999999</v>
      </c>
      <c r="QY8" s="172">
        <v>320.94346200000001</v>
      </c>
      <c r="QZ8" s="172">
        <v>295.93521400000003</v>
      </c>
      <c r="RA8" s="172">
        <v>6.3842800000000004</v>
      </c>
      <c r="RB8" s="172">
        <v>302.31949400000002</v>
      </c>
      <c r="RC8" s="172">
        <v>385.42334099999999</v>
      </c>
      <c r="RD8" s="172">
        <v>4.3445289999999996</v>
      </c>
      <c r="RE8" s="172">
        <v>389.76787000000002</v>
      </c>
      <c r="RF8" s="172">
        <v>274.215103</v>
      </c>
      <c r="RG8" s="172">
        <v>15.441067</v>
      </c>
      <c r="RH8" s="172">
        <v>289.65616999999997</v>
      </c>
      <c r="RI8" s="172">
        <v>292.24476200000004</v>
      </c>
      <c r="RJ8" s="172">
        <v>4.603593</v>
      </c>
      <c r="RK8" s="172">
        <v>296.84835500000003</v>
      </c>
      <c r="RL8" s="172">
        <v>268.83175</v>
      </c>
      <c r="RM8" s="172">
        <v>11.329025000000001</v>
      </c>
      <c r="RN8" s="172">
        <v>280.160775</v>
      </c>
      <c r="RO8" s="172">
        <v>340.93789299999997</v>
      </c>
      <c r="RP8" s="172">
        <v>4.2258370000000003</v>
      </c>
      <c r="RQ8" s="172">
        <v>345.16372999999999</v>
      </c>
      <c r="RR8" s="55">
        <v>322.34119000000004</v>
      </c>
      <c r="RS8" s="172">
        <v>7.4579270000000006</v>
      </c>
      <c r="RT8" s="172">
        <v>329.79911700000002</v>
      </c>
      <c r="RU8" s="172">
        <v>299.84764899999999</v>
      </c>
      <c r="RV8" s="172">
        <v>23.244799</v>
      </c>
      <c r="RW8" s="172">
        <v>323.09244799999999</v>
      </c>
      <c r="RX8" s="66">
        <f t="shared" ref="RX8:RX9" si="11">QN8+QQ8+QT8+QW8+QZ8+RC8+RF8+RI8+RL8+RO8+RR8+RU8</f>
        <v>3642.6824739999997</v>
      </c>
      <c r="RY8" s="67">
        <f t="shared" ref="RY8:RY9" si="12">QO8+QR8+QU8+QX8+RA8+RD8+RG8+RJ8+RM8+RP8+RS8+RV8</f>
        <v>108.262259</v>
      </c>
      <c r="RZ8" s="67">
        <f t="shared" ref="RZ8:RZ9" si="13">QP8+QS8+QV8+QY8+RB8+RE8+RH8+RK8+RN8+RQ8+RT8+RW8</f>
        <v>3750.9447329999994</v>
      </c>
      <c r="SA8" s="67">
        <f>SA9+SA16+SA17+SA18+SA19+SA23</f>
        <v>3747.7722810000005</v>
      </c>
      <c r="SB8" s="172">
        <v>295.32498699999996</v>
      </c>
      <c r="SC8" s="172">
        <v>38.758395</v>
      </c>
      <c r="SD8" s="172">
        <v>334.08338199999997</v>
      </c>
      <c r="SE8" s="172">
        <v>306.33867199999997</v>
      </c>
      <c r="SF8" s="172">
        <v>15.091286</v>
      </c>
      <c r="SG8" s="172">
        <v>321.429958</v>
      </c>
      <c r="SH8" s="55">
        <v>322.01396099999999</v>
      </c>
      <c r="SI8" s="172">
        <v>8.7077749999999998</v>
      </c>
      <c r="SJ8" s="172">
        <v>330.72173600000002</v>
      </c>
      <c r="SK8" s="172">
        <v>316.79075499999999</v>
      </c>
      <c r="SL8" s="172">
        <v>20.287209000000001</v>
      </c>
      <c r="SM8" s="172">
        <v>337.07796400000001</v>
      </c>
      <c r="SN8" s="172">
        <f>SP8-SO8</f>
        <v>311.549916</v>
      </c>
      <c r="SO8" s="172">
        <f>SO19+SO23</f>
        <v>15.239076999999998</v>
      </c>
      <c r="SP8" s="172">
        <v>326.788993</v>
      </c>
      <c r="SQ8" s="172">
        <v>370.96472300000005</v>
      </c>
      <c r="SR8" s="172">
        <v>38.210948000000002</v>
      </c>
      <c r="SS8" s="172">
        <v>409.17567100000002</v>
      </c>
      <c r="ST8" s="172">
        <v>270.56881300000003</v>
      </c>
      <c r="SU8" s="172">
        <v>23.500727999999999</v>
      </c>
      <c r="SV8" s="172">
        <v>294.06954100000002</v>
      </c>
      <c r="SW8" s="172">
        <v>268.34983299999999</v>
      </c>
      <c r="SX8" s="172">
        <v>28.449771000000002</v>
      </c>
      <c r="SY8" s="172">
        <v>296.79960399999999</v>
      </c>
      <c r="SZ8" s="172">
        <v>332.33793199999997</v>
      </c>
      <c r="TA8" s="172">
        <v>15.744232</v>
      </c>
      <c r="TB8" s="172">
        <v>348.08216399999998</v>
      </c>
      <c r="TC8" s="172">
        <v>312.17367200000001</v>
      </c>
      <c r="TD8" s="172">
        <v>45.821860000000001</v>
      </c>
      <c r="TE8" s="172">
        <v>357.99553200000003</v>
      </c>
      <c r="TF8" s="172">
        <v>331.35603400000002</v>
      </c>
      <c r="TG8" s="172">
        <v>13.933021999999999</v>
      </c>
      <c r="TH8" s="172">
        <v>345.28905600000002</v>
      </c>
      <c r="TI8" s="172">
        <v>341.89220000000012</v>
      </c>
      <c r="TJ8" s="172">
        <v>18.066434999999998</v>
      </c>
      <c r="TK8" s="172">
        <v>359.95863500000013</v>
      </c>
      <c r="TL8" s="66">
        <f>SB8+SE8+SH8+SK8+SN8+SQ8+ST8+SW8+SZ8+TC8+TF8+TI8</f>
        <v>3779.6614979999995</v>
      </c>
      <c r="TM8" s="67">
        <f t="shared" ref="TM8:TM9" si="14">SC8+SF8+SI8+SL8+SO8+SR8+SU8+SX8+TA8+TD8+TG8+TJ8</f>
        <v>281.81073800000001</v>
      </c>
      <c r="TN8" s="67">
        <f t="shared" ref="TN8:TN9" si="15">SD8+SG8+SJ8+SM8+SP8+SS8+SV8+SY8+TB8+TE8+TH8+TK8</f>
        <v>4061.4722359999996</v>
      </c>
      <c r="TO8" s="172">
        <v>300.73491700000005</v>
      </c>
      <c r="TP8" s="172">
        <v>26.077569</v>
      </c>
      <c r="TQ8" s="172">
        <v>326.81248600000004</v>
      </c>
      <c r="TR8" s="172">
        <f>TT8-TS8</f>
        <v>341.88988900000004</v>
      </c>
      <c r="TS8" s="172">
        <f>TS19+TS23</f>
        <v>18.231823000000002</v>
      </c>
      <c r="TT8" s="172">
        <v>360.12171200000006</v>
      </c>
      <c r="TU8" s="172">
        <v>333.3635460000001</v>
      </c>
      <c r="TV8" s="172">
        <v>14.379408999999999</v>
      </c>
      <c r="TW8" s="172">
        <v>347.74295500000011</v>
      </c>
      <c r="TX8" s="172">
        <f>TZ8-TY8</f>
        <v>326.63091800000001</v>
      </c>
      <c r="TY8" s="172">
        <f>TY19+TY23</f>
        <v>9.6708389999999991</v>
      </c>
      <c r="TZ8" s="172">
        <v>336.30175700000001</v>
      </c>
      <c r="UA8" s="172"/>
      <c r="UB8" s="172"/>
      <c r="UC8" s="172"/>
      <c r="UD8" s="172"/>
      <c r="UE8" s="172"/>
      <c r="UF8" s="172"/>
      <c r="UG8" s="172"/>
      <c r="UH8" s="172"/>
      <c r="UI8" s="172"/>
      <c r="UJ8" s="172"/>
      <c r="UK8" s="172"/>
      <c r="UL8" s="172"/>
      <c r="UM8" s="172"/>
      <c r="UN8" s="172"/>
      <c r="UO8" s="172"/>
      <c r="UP8" s="172"/>
      <c r="UQ8" s="172"/>
      <c r="UR8" s="172"/>
      <c r="US8" s="172"/>
      <c r="UT8" s="172"/>
      <c r="UU8" s="172"/>
      <c r="UV8" s="172"/>
      <c r="UW8" s="172"/>
      <c r="UX8" s="172"/>
      <c r="UY8" s="305">
        <f t="shared" ref="UY8:VA9" si="16">ROUND(SUM(SB8+SE8+SH8+SK8),6)</f>
        <v>1240.4683749999999</v>
      </c>
      <c r="UZ8" s="290">
        <f t="shared" si="16"/>
        <v>82.844665000000006</v>
      </c>
      <c r="VA8" s="290">
        <f t="shared" si="16"/>
        <v>1323.31304</v>
      </c>
      <c r="VB8" s="305">
        <f t="shared" ref="VB8:VD9" si="17">ROUND(SUM(TO8+TR8+TU8+TX8),6)</f>
        <v>1302.6192699999999</v>
      </c>
      <c r="VC8" s="290">
        <f t="shared" si="17"/>
        <v>68.359639999999999</v>
      </c>
      <c r="VD8" s="290">
        <f t="shared" si="17"/>
        <v>1370.97891</v>
      </c>
      <c r="VE8" s="275">
        <f>VD8-VA8</f>
        <v>47.665870000000041</v>
      </c>
      <c r="VF8" s="275">
        <f>VD8/VA8*100-100</f>
        <v>3.6020101487097946</v>
      </c>
    </row>
    <row r="9" spans="1:578" s="12" customFormat="1" ht="20.5">
      <c r="A9" s="42" t="s">
        <v>27</v>
      </c>
      <c r="B9" s="13" t="s">
        <v>28</v>
      </c>
      <c r="C9" s="42" t="s">
        <v>29</v>
      </c>
      <c r="D9" s="42">
        <v>1117.5780957421987</v>
      </c>
      <c r="E9" s="43">
        <v>1296.8873868105475</v>
      </c>
      <c r="F9" s="43">
        <v>967.64874132759633</v>
      </c>
      <c r="G9" s="43">
        <v>1041.9487837291763</v>
      </c>
      <c r="H9" s="43">
        <v>74.557728755100996</v>
      </c>
      <c r="I9" s="43">
        <v>85.394108456980902</v>
      </c>
      <c r="J9" s="43">
        <v>109.15644617845089</v>
      </c>
      <c r="K9" s="43">
        <v>90.794632642955918</v>
      </c>
      <c r="L9" s="43">
        <v>100.29895675038846</v>
      </c>
      <c r="M9" s="43">
        <v>82.911604088764435</v>
      </c>
      <c r="N9" s="43">
        <v>90.703844884206688</v>
      </c>
      <c r="O9" s="43">
        <v>99.990082583479875</v>
      </c>
      <c r="P9" s="43">
        <v>78.272023209884978</v>
      </c>
      <c r="Q9" s="43">
        <v>80.757724771059927</v>
      </c>
      <c r="R9" s="43">
        <v>101.62840706655057</v>
      </c>
      <c r="S9" s="43">
        <v>98.582631857530686</v>
      </c>
      <c r="T9" s="43">
        <v>1093.0481912453542</v>
      </c>
      <c r="U9" s="43">
        <v>0</v>
      </c>
      <c r="V9" s="43">
        <v>1093.0481912453542</v>
      </c>
      <c r="W9" s="43">
        <v>1093.030978765061</v>
      </c>
      <c r="X9" s="43">
        <v>80.944692972720702</v>
      </c>
      <c r="Y9" s="43">
        <v>99.485519433583207</v>
      </c>
      <c r="Z9" s="43">
        <v>108.60701418887768</v>
      </c>
      <c r="AA9" s="43">
        <v>102.88718476275035</v>
      </c>
      <c r="AB9" s="43">
        <v>106.31164592119565</v>
      </c>
      <c r="AC9" s="43">
        <v>95.163294460475484</v>
      </c>
      <c r="AD9" s="43">
        <v>93.507424545107867</v>
      </c>
      <c r="AE9" s="43">
        <v>110.00059760616047</v>
      </c>
      <c r="AF9" s="43">
        <v>80.826288694998894</v>
      </c>
      <c r="AG9" s="43">
        <v>90.927469109453</v>
      </c>
      <c r="AH9" s="43">
        <v>110.31014621430725</v>
      </c>
      <c r="AI9" s="43">
        <v>95.43921776199339</v>
      </c>
      <c r="AJ9" s="43">
        <v>1174.4104956716239</v>
      </c>
      <c r="AK9" s="43">
        <v>0</v>
      </c>
      <c r="AL9" s="43">
        <v>1174.4104956716239</v>
      </c>
      <c r="AM9" s="43">
        <v>1174.3641313936746</v>
      </c>
      <c r="AN9" s="43">
        <v>95.672462023551361</v>
      </c>
      <c r="AO9" s="43">
        <v>100.52624344767531</v>
      </c>
      <c r="AP9" s="43">
        <v>117.42234961667833</v>
      </c>
      <c r="AQ9" s="43">
        <v>107.39287909573652</v>
      </c>
      <c r="AR9" s="43">
        <v>119.51535990119577</v>
      </c>
      <c r="AS9" s="43">
        <v>94.534881702437659</v>
      </c>
      <c r="AT9" s="43">
        <v>102.40890205519605</v>
      </c>
      <c r="AU9" s="43">
        <v>110.57884274989898</v>
      </c>
      <c r="AV9" s="43">
        <v>86.117479411044911</v>
      </c>
      <c r="AW9" s="43">
        <v>96.674973392297133</v>
      </c>
      <c r="AX9" s="43">
        <v>109.5757935356088</v>
      </c>
      <c r="AY9" s="43">
        <v>115.78799921457475</v>
      </c>
      <c r="AZ9" s="43">
        <v>1256.2081661458953</v>
      </c>
      <c r="BA9" s="43">
        <v>0</v>
      </c>
      <c r="BB9" s="42">
        <v>1256.2081661458953</v>
      </c>
      <c r="BC9" s="42">
        <v>1256.2085858930798</v>
      </c>
      <c r="BD9" s="49">
        <f t="shared" ref="BD9:CG9" si="18">BD10+BD13</f>
        <v>84.753370000000004</v>
      </c>
      <c r="BE9" s="42">
        <f t="shared" si="18"/>
        <v>0</v>
      </c>
      <c r="BF9" s="49">
        <f t="shared" si="18"/>
        <v>84.753370000000004</v>
      </c>
      <c r="BG9" s="49">
        <f t="shared" si="18"/>
        <v>109.823588</v>
      </c>
      <c r="BH9" s="42">
        <f t="shared" si="18"/>
        <v>0</v>
      </c>
      <c r="BI9" s="44">
        <f t="shared" si="18"/>
        <v>109.823588</v>
      </c>
      <c r="BJ9" s="49">
        <f t="shared" si="18"/>
        <v>128.607328</v>
      </c>
      <c r="BK9" s="42">
        <f t="shared" si="18"/>
        <v>0</v>
      </c>
      <c r="BL9" s="44">
        <f t="shared" si="18"/>
        <v>128.607328</v>
      </c>
      <c r="BM9" s="49">
        <f t="shared" si="18"/>
        <v>107.72163599999999</v>
      </c>
      <c r="BN9" s="42">
        <f t="shared" si="18"/>
        <v>0</v>
      </c>
      <c r="BO9" s="44">
        <f t="shared" si="18"/>
        <v>107.72163599999999</v>
      </c>
      <c r="BP9" s="49">
        <f t="shared" si="18"/>
        <v>116.657014</v>
      </c>
      <c r="BQ9" s="42">
        <f t="shared" si="18"/>
        <v>0</v>
      </c>
      <c r="BR9" s="44">
        <f t="shared" si="18"/>
        <v>116.657014</v>
      </c>
      <c r="BS9" s="49">
        <f t="shared" si="18"/>
        <v>100.557007</v>
      </c>
      <c r="BT9" s="42">
        <f t="shared" si="18"/>
        <v>0</v>
      </c>
      <c r="BU9" s="44">
        <f t="shared" si="18"/>
        <v>100.557007</v>
      </c>
      <c r="BV9" s="49">
        <f t="shared" si="18"/>
        <v>111.916357</v>
      </c>
      <c r="BW9" s="42">
        <f t="shared" si="18"/>
        <v>0</v>
      </c>
      <c r="BX9" s="44">
        <f t="shared" si="18"/>
        <v>111.916357</v>
      </c>
      <c r="BY9" s="49">
        <f t="shared" si="18"/>
        <v>119.202541</v>
      </c>
      <c r="BZ9" s="42">
        <f t="shared" si="18"/>
        <v>0</v>
      </c>
      <c r="CA9" s="44">
        <f t="shared" si="18"/>
        <v>119.202541</v>
      </c>
      <c r="CB9" s="49">
        <f t="shared" si="18"/>
        <v>90.511115000000004</v>
      </c>
      <c r="CC9" s="42">
        <f t="shared" si="18"/>
        <v>0</v>
      </c>
      <c r="CD9" s="44">
        <f t="shared" si="18"/>
        <v>90.511115000000004</v>
      </c>
      <c r="CE9" s="49">
        <f t="shared" si="18"/>
        <v>112.214258</v>
      </c>
      <c r="CF9" s="42">
        <f t="shared" si="18"/>
        <v>0</v>
      </c>
      <c r="CG9" s="44">
        <f t="shared" si="18"/>
        <v>112.214258</v>
      </c>
      <c r="CH9" s="49">
        <f t="shared" ref="CH9:CM9" si="19">CH10+CH13</f>
        <v>113.76825700000001</v>
      </c>
      <c r="CI9" s="42">
        <f t="shared" si="19"/>
        <v>0</v>
      </c>
      <c r="CJ9" s="44">
        <f t="shared" si="19"/>
        <v>113.76825700000001</v>
      </c>
      <c r="CK9" s="49">
        <f t="shared" si="19"/>
        <v>120.27671599999999</v>
      </c>
      <c r="CL9" s="42">
        <f t="shared" si="19"/>
        <v>0</v>
      </c>
      <c r="CM9" s="44">
        <f t="shared" si="19"/>
        <v>120.27671599999999</v>
      </c>
      <c r="CN9" s="50">
        <f t="shared" ref="CN9:CN22" si="20">BD9+BG9+BJ9+BM9+BP9+BS9+BV9+BY9+CB9+CE9+CH9+CK9</f>
        <v>1316.0091870000001</v>
      </c>
      <c r="CO9" s="50"/>
      <c r="CP9" s="50">
        <f t="shared" ref="CP9:CP57" si="21">BF9+BI9+BL9+BO9+BR9+BU9+BX9+CA9+CD9+CG9+CJ9+CM9</f>
        <v>1316.0091870000001</v>
      </c>
      <c r="CQ9" s="52">
        <f>CQ10+CQ13</f>
        <v>1316.4266810000001</v>
      </c>
      <c r="CR9" s="49">
        <f>CR10+CR13</f>
        <v>95.117941000000002</v>
      </c>
      <c r="CS9" s="42">
        <f>CS10+CS13</f>
        <v>0</v>
      </c>
      <c r="CT9" s="44">
        <f>CT10+CT13</f>
        <v>95.117941000000002</v>
      </c>
      <c r="CU9" s="49">
        <v>115.86198</v>
      </c>
      <c r="CV9" s="42">
        <v>0</v>
      </c>
      <c r="CW9" s="44">
        <v>115.86198</v>
      </c>
      <c r="CX9" s="49">
        <v>131.71096700000001</v>
      </c>
      <c r="CY9" s="42">
        <v>0</v>
      </c>
      <c r="CZ9" s="44">
        <v>131.71096700000001</v>
      </c>
      <c r="DA9" s="49">
        <v>105.933037</v>
      </c>
      <c r="DB9" s="42">
        <v>0</v>
      </c>
      <c r="DC9" s="44">
        <v>105.933037</v>
      </c>
      <c r="DD9" s="49">
        <v>129.19817599999999</v>
      </c>
      <c r="DE9" s="42">
        <v>0</v>
      </c>
      <c r="DF9" s="44">
        <v>129.19817599999999</v>
      </c>
      <c r="DG9" s="49">
        <v>100.96811099999999</v>
      </c>
      <c r="DH9" s="42">
        <v>0</v>
      </c>
      <c r="DI9" s="44">
        <v>100.96811099999999</v>
      </c>
      <c r="DJ9" s="49">
        <v>114.839624</v>
      </c>
      <c r="DK9" s="42">
        <v>0</v>
      </c>
      <c r="DL9" s="44">
        <v>114.839624</v>
      </c>
      <c r="DM9" s="49">
        <v>124.44752</v>
      </c>
      <c r="DN9" s="42">
        <v>0</v>
      </c>
      <c r="DO9" s="44">
        <v>124.44752</v>
      </c>
      <c r="DP9" s="49">
        <v>95.410005999999996</v>
      </c>
      <c r="DQ9" s="42">
        <v>0</v>
      </c>
      <c r="DR9" s="44">
        <v>95.410005999999996</v>
      </c>
      <c r="DS9" s="49">
        <v>104.81537999999999</v>
      </c>
      <c r="DT9" s="42">
        <v>0</v>
      </c>
      <c r="DU9" s="44">
        <v>104.81537999999999</v>
      </c>
      <c r="DV9" s="49">
        <v>122.21552500000001</v>
      </c>
      <c r="DW9" s="42">
        <v>0</v>
      </c>
      <c r="DX9" s="44">
        <v>122.21552500000001</v>
      </c>
      <c r="DY9" s="49">
        <v>122.308747</v>
      </c>
      <c r="DZ9" s="42">
        <v>0</v>
      </c>
      <c r="EA9" s="44">
        <v>122.308747</v>
      </c>
      <c r="EB9" s="44">
        <f t="shared" ref="EB9:EB57" si="22">CR9+CU9+CX9+DA9+DD9+DG9+DJ9+DM9+DP9+DS9+DV9+DY9</f>
        <v>1362.827014</v>
      </c>
      <c r="EC9" s="50">
        <f t="shared" ref="EC9:EC57" si="23">CS9+CV9+CY9+DB9+DE9+DH9+DK9+DN9+DQ9+DT9+DW9+DZ9</f>
        <v>0</v>
      </c>
      <c r="ED9" s="50">
        <f t="shared" ref="ED9:ED57" si="24">CT9+CW9+CZ9+DC9+DF9+DI9+DL9+DO9+DR9+DU9+DX9+EA9</f>
        <v>1362.827014</v>
      </c>
      <c r="EE9" s="44">
        <f>EE10+EE13</f>
        <v>1362.7750979999998</v>
      </c>
      <c r="EF9" s="50">
        <v>102.197146</v>
      </c>
      <c r="EG9" s="50">
        <v>0</v>
      </c>
      <c r="EH9" s="50">
        <v>102.197146</v>
      </c>
      <c r="EI9" s="50">
        <v>123.32626999999999</v>
      </c>
      <c r="EJ9" s="50">
        <v>0</v>
      </c>
      <c r="EK9" s="50">
        <v>123.32626999999999</v>
      </c>
      <c r="EL9" s="50">
        <v>142.52734000000001</v>
      </c>
      <c r="EM9" s="50">
        <v>0</v>
      </c>
      <c r="EN9" s="50">
        <v>142.52734000000001</v>
      </c>
      <c r="EO9" s="50">
        <v>115.306248</v>
      </c>
      <c r="EP9" s="50">
        <v>0</v>
      </c>
      <c r="EQ9" s="50">
        <v>115.306248</v>
      </c>
      <c r="ER9" s="50">
        <v>127.396704</v>
      </c>
      <c r="ES9" s="50">
        <v>0</v>
      </c>
      <c r="ET9" s="50">
        <v>127.396704</v>
      </c>
      <c r="EU9" s="50">
        <v>111.601546</v>
      </c>
      <c r="EV9" s="50">
        <v>0</v>
      </c>
      <c r="EW9" s="50">
        <v>111.601546</v>
      </c>
      <c r="EX9" s="50">
        <v>118.743717</v>
      </c>
      <c r="EY9" s="50">
        <v>0</v>
      </c>
      <c r="EZ9" s="50">
        <v>118.743717</v>
      </c>
      <c r="FA9" s="50">
        <v>132.59027399999999</v>
      </c>
      <c r="FB9" s="50">
        <v>0</v>
      </c>
      <c r="FC9" s="50">
        <v>132.59027399999999</v>
      </c>
      <c r="FD9" s="50">
        <v>106.558105</v>
      </c>
      <c r="FE9" s="50">
        <v>0</v>
      </c>
      <c r="FF9" s="50">
        <v>106.558105</v>
      </c>
      <c r="FG9" s="50">
        <v>114.08981800000001</v>
      </c>
      <c r="FH9" s="50">
        <v>0</v>
      </c>
      <c r="FI9" s="50">
        <v>114.08981800000001</v>
      </c>
      <c r="FJ9" s="50">
        <v>138.208943</v>
      </c>
      <c r="FK9" s="50">
        <v>0</v>
      </c>
      <c r="FL9" s="50">
        <v>138.208943</v>
      </c>
      <c r="FM9" s="50">
        <v>136.429573</v>
      </c>
      <c r="FN9" s="50">
        <v>0</v>
      </c>
      <c r="FO9" s="50">
        <v>136.429573</v>
      </c>
      <c r="FP9" s="50">
        <f t="shared" ref="FP9:FP57" si="25">EF9+EI9+EL9+EO9+ER9+EU9+EX9+FA9+FD9+FG9+FJ9+FM9</f>
        <v>1468.975684</v>
      </c>
      <c r="FQ9" s="50">
        <f t="shared" ref="FQ9:FQ57" si="26">EG9+EJ9+EM9+EP9+ES9+EV9+EY9+FB9+FE9+FH9+FK9+FN9</f>
        <v>0</v>
      </c>
      <c r="FR9" s="50">
        <f t="shared" ref="FR9:FR57" si="27">EH9+EK9+EN9+EQ9+ET9+EW9+EZ9+FC9+FF9+FI9+FL9+FO9</f>
        <v>1468.975684</v>
      </c>
      <c r="FS9" s="94">
        <f>FS10+FS13</f>
        <v>1469.004297</v>
      </c>
      <c r="FT9" s="50">
        <v>104.898143</v>
      </c>
      <c r="FU9" s="50">
        <v>0</v>
      </c>
      <c r="FV9" s="50">
        <v>104.898143</v>
      </c>
      <c r="FW9" s="50">
        <v>132.03989499999997</v>
      </c>
      <c r="FX9" s="50">
        <v>0</v>
      </c>
      <c r="FY9" s="50">
        <v>132.03989499999997</v>
      </c>
      <c r="FZ9" s="50">
        <v>151.72845800000002</v>
      </c>
      <c r="GA9" s="50">
        <v>0</v>
      </c>
      <c r="GB9" s="50">
        <v>151.72845800000002</v>
      </c>
      <c r="GC9" s="50">
        <v>119.563503</v>
      </c>
      <c r="GD9" s="50">
        <v>0</v>
      </c>
      <c r="GE9" s="50">
        <v>119.563503</v>
      </c>
      <c r="GF9" s="50">
        <v>143.615926</v>
      </c>
      <c r="GG9" s="50">
        <v>0</v>
      </c>
      <c r="GH9" s="50">
        <v>143.615926</v>
      </c>
      <c r="GI9" s="50">
        <v>123.66570300000001</v>
      </c>
      <c r="GJ9" s="50">
        <v>0</v>
      </c>
      <c r="GK9" s="50">
        <v>123.66570300000001</v>
      </c>
      <c r="GL9" s="50">
        <v>135.11006300000003</v>
      </c>
      <c r="GM9" s="50">
        <v>0</v>
      </c>
      <c r="GN9" s="50">
        <v>135.11006300000003</v>
      </c>
      <c r="GO9" s="50">
        <v>145.185678</v>
      </c>
      <c r="GP9" s="50">
        <v>0</v>
      </c>
      <c r="GQ9" s="50">
        <v>145.185678</v>
      </c>
      <c r="GR9" s="50">
        <v>116.680195</v>
      </c>
      <c r="GS9" s="50">
        <v>0</v>
      </c>
      <c r="GT9" s="50">
        <v>116.680195</v>
      </c>
      <c r="GU9" s="50">
        <v>123.67474799999999</v>
      </c>
      <c r="GV9" s="50">
        <v>0</v>
      </c>
      <c r="GW9" s="50">
        <v>123.67474799999999</v>
      </c>
      <c r="GX9" s="50">
        <v>147.522436</v>
      </c>
      <c r="GY9" s="50">
        <v>0</v>
      </c>
      <c r="GZ9" s="50">
        <v>147.522436</v>
      </c>
      <c r="HA9" s="50">
        <v>153.41571500000001</v>
      </c>
      <c r="HB9" s="50">
        <v>0</v>
      </c>
      <c r="HC9" s="50">
        <v>153.41571500000001</v>
      </c>
      <c r="HD9" s="50">
        <f t="shared" ref="HD9:HD57" si="28">FT9+FW9+FZ9+GC9+GF9+GI9+GL9+GO9+GR9+GU9+GX9+HA9</f>
        <v>1597.100463</v>
      </c>
      <c r="HE9" s="50">
        <f t="shared" ref="HE9:HE57" si="29">FU9+FX9+GA9+GD9+GG9+GJ9+GM9+GP9+GS9+GV9+GY9+HB9</f>
        <v>0</v>
      </c>
      <c r="HF9" s="50">
        <f t="shared" ref="HF9:HF57" si="30">FV9+FY9+GB9+GE9+GH9+GK9+GN9+GQ9+GT9+GW9+GZ9+HC9</f>
        <v>1597.100463</v>
      </c>
      <c r="HG9" s="50">
        <f>HG10+HG13</f>
        <v>1597.0968639999999</v>
      </c>
      <c r="HH9" s="50">
        <v>122.511633</v>
      </c>
      <c r="HI9" s="50">
        <v>0</v>
      </c>
      <c r="HJ9" s="50">
        <v>122.511633</v>
      </c>
      <c r="HK9" s="50">
        <v>142.83894599999999</v>
      </c>
      <c r="HL9" s="50">
        <v>0</v>
      </c>
      <c r="HM9" s="50">
        <v>142.83894599999999</v>
      </c>
      <c r="HN9" s="50">
        <v>131.216082</v>
      </c>
      <c r="HO9" s="50">
        <v>0</v>
      </c>
      <c r="HP9" s="50">
        <v>131.216082</v>
      </c>
      <c r="HQ9" s="50">
        <v>118.938849</v>
      </c>
      <c r="HR9" s="50">
        <v>0</v>
      </c>
      <c r="HS9" s="50">
        <v>118.938849</v>
      </c>
      <c r="HT9" s="50">
        <v>137.82350299999999</v>
      </c>
      <c r="HU9" s="50">
        <v>0</v>
      </c>
      <c r="HV9" s="50">
        <v>137.82350299999999</v>
      </c>
      <c r="HW9" s="50">
        <v>130.14102600000001</v>
      </c>
      <c r="HX9" s="50">
        <v>0</v>
      </c>
      <c r="HY9" s="50">
        <v>130.14102600000001</v>
      </c>
      <c r="HZ9" s="50">
        <v>142.37800200000001</v>
      </c>
      <c r="IA9" s="50">
        <v>0</v>
      </c>
      <c r="IB9" s="50">
        <v>142.37800200000001</v>
      </c>
      <c r="IC9" s="50">
        <v>153.02633</v>
      </c>
      <c r="ID9" s="50">
        <v>0</v>
      </c>
      <c r="IE9" s="50">
        <v>153.02633</v>
      </c>
      <c r="IF9" s="50">
        <v>112.782172</v>
      </c>
      <c r="IG9" s="50">
        <v>0</v>
      </c>
      <c r="IH9" s="50">
        <v>112.782172</v>
      </c>
      <c r="II9" s="50">
        <v>136.43614099999999</v>
      </c>
      <c r="IJ9" s="50">
        <v>0</v>
      </c>
      <c r="IK9" s="50">
        <v>136.43614099999999</v>
      </c>
      <c r="IL9" s="50">
        <v>153.45542800000001</v>
      </c>
      <c r="IM9" s="50">
        <v>0</v>
      </c>
      <c r="IN9" s="50">
        <v>153.45542800000001</v>
      </c>
      <c r="IO9" s="50">
        <v>150.222768</v>
      </c>
      <c r="IP9" s="50">
        <v>0</v>
      </c>
      <c r="IQ9" s="50">
        <v>150.222768</v>
      </c>
      <c r="IR9" s="44">
        <f t="shared" si="2"/>
        <v>1631.7708799999998</v>
      </c>
      <c r="IS9" s="50">
        <f t="shared" si="2"/>
        <v>0</v>
      </c>
      <c r="IT9" s="50">
        <f t="shared" si="2"/>
        <v>1631.7708799999998</v>
      </c>
      <c r="IU9" s="50">
        <f>IU10+IU13</f>
        <v>1631.771561</v>
      </c>
      <c r="IV9" s="44">
        <v>124.56438900000001</v>
      </c>
      <c r="IW9" s="50">
        <v>0</v>
      </c>
      <c r="IX9" s="50">
        <v>124.56438900000001</v>
      </c>
      <c r="IY9" s="44">
        <v>154.02771799999999</v>
      </c>
      <c r="IZ9" s="50">
        <v>0</v>
      </c>
      <c r="JA9" s="50">
        <v>154.02771799999999</v>
      </c>
      <c r="JB9" s="44">
        <v>137.88834199999999</v>
      </c>
      <c r="JC9" s="50">
        <v>0</v>
      </c>
      <c r="JD9" s="50">
        <v>137.88834199999999</v>
      </c>
      <c r="JE9" s="44">
        <v>127.577465</v>
      </c>
      <c r="JF9" s="50">
        <v>0</v>
      </c>
      <c r="JG9" s="50">
        <v>127.577465</v>
      </c>
      <c r="JH9" s="44">
        <v>152.78715500000001</v>
      </c>
      <c r="JI9" s="50">
        <v>0</v>
      </c>
      <c r="JJ9" s="50">
        <v>152.78715500000001</v>
      </c>
      <c r="JK9" s="44">
        <v>131.77799099999999</v>
      </c>
      <c r="JL9" s="50">
        <v>0</v>
      </c>
      <c r="JM9" s="50">
        <v>131.77799099999999</v>
      </c>
      <c r="JN9" s="44">
        <v>147.19015899999999</v>
      </c>
      <c r="JO9" s="50">
        <v>0</v>
      </c>
      <c r="JP9" s="50">
        <v>147.19015899999999</v>
      </c>
      <c r="JQ9" s="44">
        <v>161.848974</v>
      </c>
      <c r="JR9" s="50">
        <v>0</v>
      </c>
      <c r="JS9" s="50">
        <v>161.848974</v>
      </c>
      <c r="JT9" s="44">
        <v>150.16864899999999</v>
      </c>
      <c r="JU9" s="50">
        <v>0</v>
      </c>
      <c r="JV9" s="50">
        <v>150.16864899999999</v>
      </c>
      <c r="JW9" s="44">
        <v>144.19376800000001</v>
      </c>
      <c r="JX9" s="50">
        <v>0</v>
      </c>
      <c r="JY9" s="50">
        <v>144.19376800000001</v>
      </c>
      <c r="JZ9" s="44">
        <v>171.54186999999999</v>
      </c>
      <c r="KA9" s="50">
        <v>0</v>
      </c>
      <c r="KB9" s="50">
        <v>171.54186999999999</v>
      </c>
      <c r="KC9" s="44">
        <v>185.72810799999999</v>
      </c>
      <c r="KD9" s="50">
        <v>0</v>
      </c>
      <c r="KE9" s="50">
        <v>185.72810799999999</v>
      </c>
      <c r="KF9" s="44">
        <f>IV9+IY9+JB9+JE9+JH9+JK9+JN9+JQ9+JT9+JW9+JZ9+KC9</f>
        <v>1789.294588</v>
      </c>
      <c r="KG9" s="50">
        <f t="shared" si="3"/>
        <v>0</v>
      </c>
      <c r="KH9" s="50">
        <f t="shared" si="4"/>
        <v>1789.294588</v>
      </c>
      <c r="KI9" s="50">
        <f>KI10+KI13</f>
        <v>1789.2865449999999</v>
      </c>
      <c r="KJ9" s="44">
        <v>175.104693</v>
      </c>
      <c r="KK9" s="50">
        <v>0</v>
      </c>
      <c r="KL9" s="50">
        <v>175.104693</v>
      </c>
      <c r="KM9" s="44">
        <v>161.442791</v>
      </c>
      <c r="KN9" s="50">
        <v>0</v>
      </c>
      <c r="KO9" s="50">
        <v>161.442791</v>
      </c>
      <c r="KP9" s="44">
        <v>116.242637</v>
      </c>
      <c r="KQ9" s="50">
        <v>0</v>
      </c>
      <c r="KR9" s="50">
        <v>116.242637</v>
      </c>
      <c r="KS9" s="44">
        <v>113.73489499999999</v>
      </c>
      <c r="KT9" s="50">
        <v>0</v>
      </c>
      <c r="KU9" s="50">
        <v>113.73489499999999</v>
      </c>
      <c r="KV9" s="50">
        <v>120.390467</v>
      </c>
      <c r="KW9" s="50">
        <v>0</v>
      </c>
      <c r="KX9" s="50">
        <v>120.390467</v>
      </c>
      <c r="KY9" s="50">
        <v>117.344582</v>
      </c>
      <c r="KZ9" s="50">
        <v>0</v>
      </c>
      <c r="LA9" s="50">
        <v>117.344582</v>
      </c>
      <c r="LB9" s="44">
        <v>142.71838099999999</v>
      </c>
      <c r="LC9" s="50">
        <v>0</v>
      </c>
      <c r="LD9" s="50">
        <v>142.71838099999999</v>
      </c>
      <c r="LE9" s="44">
        <v>155.00651099999999</v>
      </c>
      <c r="LF9" s="44"/>
      <c r="LG9" s="44">
        <v>155.00651099999999</v>
      </c>
      <c r="LH9" s="44">
        <v>131.92167000000001</v>
      </c>
      <c r="LI9" s="50">
        <v>0</v>
      </c>
      <c r="LJ9" s="50">
        <v>131.92167000000001</v>
      </c>
      <c r="LK9" s="44">
        <v>144.90046899999999</v>
      </c>
      <c r="LL9" s="50">
        <v>0</v>
      </c>
      <c r="LM9" s="50">
        <v>144.90046899999999</v>
      </c>
      <c r="LN9" s="44">
        <v>157.631539</v>
      </c>
      <c r="LO9" s="50">
        <v>0</v>
      </c>
      <c r="LP9" s="50">
        <v>157.631539</v>
      </c>
      <c r="LQ9" s="44">
        <v>151.977149</v>
      </c>
      <c r="LR9" s="50">
        <v>0</v>
      </c>
      <c r="LS9" s="50">
        <v>151.977149</v>
      </c>
      <c r="LT9" s="44">
        <f>KJ9+KM9+KP9+KS9+KV9+KY9+LB9+LE9+LH9+LK9+LN9+LQ9</f>
        <v>1688.4157839999998</v>
      </c>
      <c r="LU9" s="50">
        <f t="shared" si="5"/>
        <v>0</v>
      </c>
      <c r="LV9" s="50">
        <f t="shared" si="5"/>
        <v>1688.4157839999998</v>
      </c>
      <c r="LW9" s="50">
        <f>LW10+LW13</f>
        <v>1688.4159929999998</v>
      </c>
      <c r="LX9" s="44">
        <v>123.189111</v>
      </c>
      <c r="LY9" s="50">
        <v>0</v>
      </c>
      <c r="LZ9" s="50">
        <v>123.189111</v>
      </c>
      <c r="MA9" s="44">
        <v>160.09123299999999</v>
      </c>
      <c r="MB9" s="50">
        <v>0</v>
      </c>
      <c r="MC9" s="50">
        <v>160.09123299999999</v>
      </c>
      <c r="MD9" s="44">
        <v>153.87679600000001</v>
      </c>
      <c r="ME9" s="50">
        <v>0</v>
      </c>
      <c r="MF9" s="50">
        <v>153.87679600000001</v>
      </c>
      <c r="MG9" s="44">
        <v>59.270569999999999</v>
      </c>
      <c r="MH9" s="50">
        <v>0</v>
      </c>
      <c r="MI9" s="50">
        <v>59.270569999999999</v>
      </c>
      <c r="MJ9" s="44">
        <v>152.87889699999999</v>
      </c>
      <c r="MK9" s="50">
        <v>0</v>
      </c>
      <c r="ML9" s="50">
        <v>152.87889699999999</v>
      </c>
      <c r="MM9" s="44">
        <v>112.805936</v>
      </c>
      <c r="MN9" s="50">
        <v>0</v>
      </c>
      <c r="MO9" s="50">
        <v>112.805936</v>
      </c>
      <c r="MP9" s="44">
        <v>133.62290048</v>
      </c>
      <c r="MQ9" s="50">
        <v>0</v>
      </c>
      <c r="MR9" s="50">
        <v>133.62290048</v>
      </c>
      <c r="MS9" s="44">
        <v>151.19948099999999</v>
      </c>
      <c r="MT9" s="50">
        <v>0</v>
      </c>
      <c r="MU9" s="50">
        <v>151.19948099999999</v>
      </c>
      <c r="MV9" s="44">
        <v>122.79726599999999</v>
      </c>
      <c r="MW9" s="50">
        <v>0</v>
      </c>
      <c r="MX9" s="50">
        <v>122.79726599999999</v>
      </c>
      <c r="MY9" s="44">
        <v>187.13784899999999</v>
      </c>
      <c r="MZ9" s="50">
        <v>0</v>
      </c>
      <c r="NA9" s="50">
        <v>187.13784899999999</v>
      </c>
      <c r="NB9" s="44">
        <v>154.44848500000001</v>
      </c>
      <c r="NC9" s="50">
        <v>0</v>
      </c>
      <c r="ND9" s="50">
        <v>154.44848500000001</v>
      </c>
      <c r="NE9" s="44">
        <v>172.48737700000001</v>
      </c>
      <c r="NF9" s="50">
        <v>0</v>
      </c>
      <c r="NG9" s="50">
        <v>172.48737700000001</v>
      </c>
      <c r="NH9" s="44">
        <f>LX9+MA9+MD9+MG9+MJ9+MM9+MP9+MS9+MV9+MY9+NB9+NE9</f>
        <v>1683.8059014800001</v>
      </c>
      <c r="NI9" s="50">
        <f t="shared" si="6"/>
        <v>0</v>
      </c>
      <c r="NJ9" s="50">
        <f t="shared" si="7"/>
        <v>1683.8059014800001</v>
      </c>
      <c r="NK9" s="50">
        <f>NK10+NK13</f>
        <v>1683.845198</v>
      </c>
      <c r="NL9" s="50">
        <v>176.334124</v>
      </c>
      <c r="NM9" s="50">
        <v>0</v>
      </c>
      <c r="NN9" s="50">
        <v>176.334124</v>
      </c>
      <c r="NO9" s="50">
        <v>179.37517299999999</v>
      </c>
      <c r="NP9" s="50"/>
      <c r="NQ9" s="50">
        <v>179.37517299999999</v>
      </c>
      <c r="NR9" s="50">
        <v>102.452742</v>
      </c>
      <c r="NS9" s="50"/>
      <c r="NT9" s="50">
        <v>102.452742</v>
      </c>
      <c r="NU9" s="50">
        <v>140.28946300000001</v>
      </c>
      <c r="NV9" s="50"/>
      <c r="NW9" s="50">
        <v>140.28946300000001</v>
      </c>
      <c r="NX9" s="50">
        <v>155.56812500000001</v>
      </c>
      <c r="NY9" s="50"/>
      <c r="NZ9" s="50">
        <v>155.56812500000001</v>
      </c>
      <c r="OA9" s="50">
        <v>153.74844100000001</v>
      </c>
      <c r="OB9" s="50"/>
      <c r="OC9" s="50">
        <v>153.74844100000001</v>
      </c>
      <c r="OD9" s="50">
        <v>174.92215999999999</v>
      </c>
      <c r="OE9" s="50"/>
      <c r="OF9" s="50">
        <v>174.92215999999999</v>
      </c>
      <c r="OG9" s="94">
        <v>185.99340100000001</v>
      </c>
      <c r="OH9" s="50"/>
      <c r="OI9" s="94">
        <v>185.99340100000001</v>
      </c>
      <c r="OJ9" s="50">
        <v>163.44917699999999</v>
      </c>
      <c r="OK9" s="50"/>
      <c r="OL9" s="50">
        <v>163.44917699999999</v>
      </c>
      <c r="OM9" s="50">
        <v>171.28190499999999</v>
      </c>
      <c r="ON9" s="50"/>
      <c r="OO9" s="50">
        <v>171.28190499999999</v>
      </c>
      <c r="OP9" s="50">
        <v>178.89784</v>
      </c>
      <c r="OQ9" s="50"/>
      <c r="OR9" s="50">
        <v>178.89784</v>
      </c>
      <c r="OS9" s="50">
        <v>157.17262199999999</v>
      </c>
      <c r="OT9" s="50"/>
      <c r="OU9" s="50">
        <v>157.17262199999999</v>
      </c>
      <c r="OV9" s="44">
        <f>NL9+NO9+NR9+NU9+NX9+OA9+OD9+OG9+OJ9+OM9+OP9+OS9</f>
        <v>1939.4851730000003</v>
      </c>
      <c r="OW9" s="50">
        <f t="shared" si="8"/>
        <v>0</v>
      </c>
      <c r="OX9" s="50">
        <f t="shared" si="9"/>
        <v>1939.4851730000003</v>
      </c>
      <c r="OY9" s="50">
        <f>OY10+OY13</f>
        <v>1939.4870249999999</v>
      </c>
      <c r="OZ9" s="85">
        <v>187.424947</v>
      </c>
      <c r="PA9" s="50"/>
      <c r="PB9" s="50">
        <v>187.424947</v>
      </c>
      <c r="PC9" s="50">
        <v>197.62989899999999</v>
      </c>
      <c r="PD9" s="50"/>
      <c r="PE9" s="50">
        <v>197.62989899999999</v>
      </c>
      <c r="PF9" s="85">
        <v>122.307008</v>
      </c>
      <c r="PG9" s="50"/>
      <c r="PH9" s="50">
        <v>122.307008</v>
      </c>
      <c r="PI9" s="85">
        <v>133.09588099999999</v>
      </c>
      <c r="PJ9" s="50"/>
      <c r="PK9" s="50">
        <v>133.09588099999999</v>
      </c>
      <c r="PL9" s="50">
        <v>196.56134900000001</v>
      </c>
      <c r="PM9" s="50"/>
      <c r="PN9" s="50">
        <v>196.56134900000001</v>
      </c>
      <c r="PO9" s="50">
        <v>171.87127800000002</v>
      </c>
      <c r="PP9" s="50"/>
      <c r="PQ9" s="50">
        <v>171.87127800000002</v>
      </c>
      <c r="PR9" s="50">
        <v>199.82247799999999</v>
      </c>
      <c r="PS9" s="50"/>
      <c r="PT9" s="50">
        <v>199.82247799999999</v>
      </c>
      <c r="PU9" s="50">
        <v>207.47004699999999</v>
      </c>
      <c r="PV9" s="50"/>
      <c r="PW9" s="50">
        <v>207.47004699999999</v>
      </c>
      <c r="PX9" s="50">
        <v>153.85929300000001</v>
      </c>
      <c r="PY9" s="50"/>
      <c r="PZ9" s="50">
        <v>153.85929300000001</v>
      </c>
      <c r="QA9" s="50">
        <v>172.522594</v>
      </c>
      <c r="QB9" s="50"/>
      <c r="QC9" s="50">
        <v>172.522594</v>
      </c>
      <c r="QD9" s="50">
        <v>202.76919000000001</v>
      </c>
      <c r="QE9" s="50"/>
      <c r="QF9" s="50">
        <v>202.76919000000001</v>
      </c>
      <c r="QG9" s="50">
        <v>180.288668</v>
      </c>
      <c r="QH9" s="50"/>
      <c r="QI9" s="50">
        <v>180.288668</v>
      </c>
      <c r="QJ9" s="44">
        <f t="shared" si="10"/>
        <v>2125.6226320000001</v>
      </c>
      <c r="QK9" s="50">
        <f t="shared" si="10"/>
        <v>0</v>
      </c>
      <c r="QL9" s="50">
        <f t="shared" si="10"/>
        <v>2125.6226320000001</v>
      </c>
      <c r="QM9" s="50">
        <f>QM10+QM13</f>
        <v>2125.6189869999998</v>
      </c>
      <c r="QN9" s="50">
        <v>211.91743299999999</v>
      </c>
      <c r="QO9" s="50"/>
      <c r="QP9" s="50">
        <v>211.91743299999999</v>
      </c>
      <c r="QQ9" s="50">
        <v>225.014692</v>
      </c>
      <c r="QR9" s="50"/>
      <c r="QS9" s="50">
        <v>225.014692</v>
      </c>
      <c r="QT9" s="50">
        <v>108.326883</v>
      </c>
      <c r="QU9" s="50"/>
      <c r="QV9" s="50">
        <v>108.326883</v>
      </c>
      <c r="QW9" s="50">
        <v>173.13055399999999</v>
      </c>
      <c r="QX9" s="50"/>
      <c r="QY9" s="50">
        <v>173.13055399999999</v>
      </c>
      <c r="QZ9" s="50">
        <v>196.62989300000001</v>
      </c>
      <c r="RA9" s="50"/>
      <c r="RB9" s="50">
        <v>196.62989300000001</v>
      </c>
      <c r="RC9" s="50">
        <v>182.98620099999999</v>
      </c>
      <c r="RD9" s="50"/>
      <c r="RE9" s="50">
        <v>182.98620099999999</v>
      </c>
      <c r="RF9" s="50">
        <v>213.652254</v>
      </c>
      <c r="RG9" s="50"/>
      <c r="RH9" s="50">
        <v>213.652254</v>
      </c>
      <c r="RI9" s="50">
        <v>232.166494</v>
      </c>
      <c r="RJ9" s="50"/>
      <c r="RK9" s="50">
        <v>232.166494</v>
      </c>
      <c r="RL9" s="50">
        <v>192.60915900000001</v>
      </c>
      <c r="RM9" s="50"/>
      <c r="RN9" s="50">
        <v>192.60915900000001</v>
      </c>
      <c r="RO9" s="50">
        <v>204.56758099999999</v>
      </c>
      <c r="RP9" s="50"/>
      <c r="RQ9" s="50">
        <v>204.56758099999999</v>
      </c>
      <c r="RR9" s="50">
        <v>223.27605600000001</v>
      </c>
      <c r="RS9" s="50"/>
      <c r="RT9" s="50">
        <v>223.27605600000001</v>
      </c>
      <c r="RU9" s="50">
        <v>199.72836100000001</v>
      </c>
      <c r="RV9" s="50"/>
      <c r="RW9" s="50">
        <v>199.72836100000001</v>
      </c>
      <c r="RX9" s="44">
        <f t="shared" si="11"/>
        <v>2364.0055610000004</v>
      </c>
      <c r="RY9" s="50">
        <f t="shared" si="12"/>
        <v>0</v>
      </c>
      <c r="RZ9" s="50">
        <f t="shared" si="13"/>
        <v>2364.0055610000004</v>
      </c>
      <c r="SA9" s="50">
        <f>SA10+SA13</f>
        <v>2364.0045060000002</v>
      </c>
      <c r="SB9" s="50">
        <v>164.254896</v>
      </c>
      <c r="SC9" s="50"/>
      <c r="SD9" s="50">
        <v>164.254896</v>
      </c>
      <c r="SE9" s="50">
        <v>205.39579599999999</v>
      </c>
      <c r="SF9" s="50"/>
      <c r="SG9" s="50">
        <v>205.39579599999999</v>
      </c>
      <c r="SH9" s="50">
        <v>214.97063800000001</v>
      </c>
      <c r="SI9" s="50"/>
      <c r="SJ9" s="50">
        <v>214.97063800000001</v>
      </c>
      <c r="SK9" s="50">
        <v>177.304035</v>
      </c>
      <c r="SL9" s="50"/>
      <c r="SM9" s="50">
        <v>177.304035</v>
      </c>
      <c r="SN9" s="50">
        <f>SP9-SO9</f>
        <v>199.565832</v>
      </c>
      <c r="SO9" s="50"/>
      <c r="SP9" s="50">
        <v>199.565832</v>
      </c>
      <c r="SQ9" s="50">
        <v>169.61562599999999</v>
      </c>
      <c r="SR9" s="50"/>
      <c r="SS9" s="50">
        <v>169.61562599999999</v>
      </c>
      <c r="ST9" s="50">
        <v>199.04227900000001</v>
      </c>
      <c r="SU9" s="50"/>
      <c r="SV9" s="50">
        <v>199.04227900000001</v>
      </c>
      <c r="SW9" s="50">
        <v>226.19874200000001</v>
      </c>
      <c r="SX9" s="50"/>
      <c r="SY9" s="50">
        <v>226.19874200000001</v>
      </c>
      <c r="SZ9" s="50">
        <v>197.08060900000001</v>
      </c>
      <c r="TA9" s="50"/>
      <c r="TB9" s="50">
        <v>197.08060900000001</v>
      </c>
      <c r="TC9" s="50">
        <v>206.96897000000001</v>
      </c>
      <c r="TD9" s="50"/>
      <c r="TE9" s="50">
        <v>206.96897000000001</v>
      </c>
      <c r="TF9" s="50">
        <v>230.84779599999999</v>
      </c>
      <c r="TG9" s="50"/>
      <c r="TH9" s="50">
        <v>230.84779599999999</v>
      </c>
      <c r="TI9" s="50">
        <v>229.74131600000001</v>
      </c>
      <c r="TJ9" s="50"/>
      <c r="TK9" s="50">
        <v>229.74131600000001</v>
      </c>
      <c r="TL9" s="44">
        <f t="shared" ref="TL9" si="31">SB9+SE9+SH9+SK9+SN9+SQ9+ST9+SW9+SZ9+TC9+TF9+TI9</f>
        <v>2420.986535</v>
      </c>
      <c r="TM9" s="50">
        <f t="shared" si="14"/>
        <v>0</v>
      </c>
      <c r="TN9" s="50">
        <f t="shared" si="15"/>
        <v>2420.986535</v>
      </c>
      <c r="TO9" s="50">
        <v>172.90930300000002</v>
      </c>
      <c r="TP9" s="50"/>
      <c r="TQ9" s="50">
        <v>172.90930300000002</v>
      </c>
      <c r="TR9" s="50">
        <f>TT9-TS9</f>
        <v>215.50703000000001</v>
      </c>
      <c r="TS9" s="50"/>
      <c r="TT9" s="50">
        <v>215.50703000000001</v>
      </c>
      <c r="TU9" s="50">
        <v>225.42248799999999</v>
      </c>
      <c r="TV9" s="50"/>
      <c r="TW9" s="50">
        <v>225.42248799999999</v>
      </c>
      <c r="TX9" s="50">
        <f>TZ9-TY9</f>
        <v>187.569389</v>
      </c>
      <c r="TY9" s="50"/>
      <c r="TZ9" s="50">
        <v>187.569389</v>
      </c>
      <c r="UA9" s="50"/>
      <c r="UB9" s="50"/>
      <c r="UC9" s="50"/>
      <c r="UD9" s="50"/>
      <c r="UE9" s="50"/>
      <c r="UF9" s="50"/>
      <c r="UG9" s="50"/>
      <c r="UH9" s="50"/>
      <c r="UI9" s="50"/>
      <c r="UJ9" s="50"/>
      <c r="UK9" s="50"/>
      <c r="UL9" s="50"/>
      <c r="UM9" s="50"/>
      <c r="UN9" s="50"/>
      <c r="UO9" s="50"/>
      <c r="UP9" s="50"/>
      <c r="UQ9" s="50"/>
      <c r="UR9" s="50"/>
      <c r="US9" s="50"/>
      <c r="UT9" s="50"/>
      <c r="UU9" s="50"/>
      <c r="UV9" s="50"/>
      <c r="UW9" s="50"/>
      <c r="UX9" s="50"/>
      <c r="UY9" s="292">
        <f t="shared" si="16"/>
        <v>761.92536500000006</v>
      </c>
      <c r="UZ9" s="276">
        <f t="shared" si="16"/>
        <v>0</v>
      </c>
      <c r="VA9" s="276">
        <f t="shared" si="16"/>
        <v>761.92536500000006</v>
      </c>
      <c r="VB9" s="292">
        <f t="shared" si="17"/>
        <v>801.40821000000005</v>
      </c>
      <c r="VC9" s="276">
        <f t="shared" si="17"/>
        <v>0</v>
      </c>
      <c r="VD9" s="276">
        <f t="shared" si="17"/>
        <v>801.40821000000005</v>
      </c>
      <c r="VE9" s="277">
        <f>VD9-VA9</f>
        <v>39.482844999999998</v>
      </c>
      <c r="VF9" s="277">
        <f>VD9/VA9*100-100</f>
        <v>5.1819832773253296</v>
      </c>
    </row>
    <row r="10" spans="1:578" s="12" customFormat="1" ht="20.5">
      <c r="A10" s="46" t="s">
        <v>30</v>
      </c>
      <c r="B10" s="13"/>
      <c r="C10" s="46" t="s">
        <v>31</v>
      </c>
      <c r="D10" s="42">
        <v>1103.2482882852119</v>
      </c>
      <c r="E10" s="42">
        <v>1282.4710431357819</v>
      </c>
      <c r="F10" s="42">
        <v>957.11642506303326</v>
      </c>
      <c r="G10" s="42">
        <v>1031.9360860211382</v>
      </c>
      <c r="H10" s="42">
        <v>74.128886574350744</v>
      </c>
      <c r="I10" s="42">
        <v>83.79507657896086</v>
      </c>
      <c r="J10" s="42">
        <v>108.52348023061907</v>
      </c>
      <c r="K10" s="42">
        <v>90.128681680810004</v>
      </c>
      <c r="L10" s="42">
        <v>98.79047501152526</v>
      </c>
      <c r="M10" s="42">
        <v>82.580672563047457</v>
      </c>
      <c r="N10" s="42">
        <v>90.104488591413826</v>
      </c>
      <c r="O10" s="42">
        <v>97.777549643997475</v>
      </c>
      <c r="P10" s="42">
        <v>77.666996772926737</v>
      </c>
      <c r="Q10" s="42">
        <v>80.002608124028882</v>
      </c>
      <c r="R10" s="42">
        <v>99.347853740160843</v>
      </c>
      <c r="S10" s="42">
        <v>98.024864684890815</v>
      </c>
      <c r="T10" s="42">
        <v>1080.871634196732</v>
      </c>
      <c r="U10" s="42">
        <v>0</v>
      </c>
      <c r="V10" s="42">
        <v>1080.871634196732</v>
      </c>
      <c r="W10" s="42">
        <v>1080.8544259850541</v>
      </c>
      <c r="X10" s="42">
        <v>80.265712773404829</v>
      </c>
      <c r="Y10" s="42">
        <v>97.043492922635622</v>
      </c>
      <c r="Z10" s="42">
        <v>108.00093340390777</v>
      </c>
      <c r="AA10" s="42">
        <v>102.09835743678181</v>
      </c>
      <c r="AB10" s="42">
        <v>104.22092646029333</v>
      </c>
      <c r="AC10" s="42">
        <v>94.504575955742993</v>
      </c>
      <c r="AD10" s="42">
        <v>92.649185263601225</v>
      </c>
      <c r="AE10" s="42">
        <v>107.73310482012054</v>
      </c>
      <c r="AF10" s="42">
        <v>80.078144119839962</v>
      </c>
      <c r="AG10" s="42">
        <v>89.870086112201989</v>
      </c>
      <c r="AH10" s="42">
        <v>107.89058115776233</v>
      </c>
      <c r="AI10" s="42">
        <v>94.737202690935163</v>
      </c>
      <c r="AJ10" s="42">
        <v>1159.0923031172276</v>
      </c>
      <c r="AK10" s="42">
        <v>0</v>
      </c>
      <c r="AL10" s="42">
        <v>1159.0923031172276</v>
      </c>
      <c r="AM10" s="42">
        <v>1159.0449855151651</v>
      </c>
      <c r="AN10" s="42">
        <v>94.379368927894546</v>
      </c>
      <c r="AO10" s="42">
        <v>98.383678806608955</v>
      </c>
      <c r="AP10" s="42">
        <v>116.4399676154376</v>
      </c>
      <c r="AQ10" s="42">
        <v>106.2475782721783</v>
      </c>
      <c r="AR10" s="42">
        <v>117.65099515654434</v>
      </c>
      <c r="AS10" s="42">
        <v>93.898313043181318</v>
      </c>
      <c r="AT10" s="42">
        <v>101.04408626018066</v>
      </c>
      <c r="AU10" s="42">
        <v>108.52474089504329</v>
      </c>
      <c r="AV10" s="42">
        <v>85.321176316583291</v>
      </c>
      <c r="AW10" s="42">
        <v>94.091129247983801</v>
      </c>
      <c r="AX10" s="42">
        <v>108.62171103180971</v>
      </c>
      <c r="AY10" s="42">
        <v>115.14633098274909</v>
      </c>
      <c r="AZ10" s="42">
        <v>1239.7490765561947</v>
      </c>
      <c r="BA10" s="42">
        <v>0</v>
      </c>
      <c r="BB10" s="42">
        <v>1239.7490765561947</v>
      </c>
      <c r="BC10" s="42">
        <v>1239.7463460651902</v>
      </c>
      <c r="BD10" s="49">
        <f t="shared" ref="BD10:CG10" si="32">BD11+BD12</f>
        <v>84.016597000000004</v>
      </c>
      <c r="BE10" s="42">
        <f t="shared" si="32"/>
        <v>0</v>
      </c>
      <c r="BF10" s="49">
        <f t="shared" si="32"/>
        <v>84.016597000000004</v>
      </c>
      <c r="BG10" s="49">
        <f t="shared" si="32"/>
        <v>108.64266499999999</v>
      </c>
      <c r="BH10" s="42">
        <f t="shared" si="32"/>
        <v>0</v>
      </c>
      <c r="BI10" s="44">
        <f t="shared" si="32"/>
        <v>108.64266499999999</v>
      </c>
      <c r="BJ10" s="49">
        <f t="shared" si="32"/>
        <v>127.501795</v>
      </c>
      <c r="BK10" s="42">
        <f t="shared" si="32"/>
        <v>0</v>
      </c>
      <c r="BL10" s="44">
        <f t="shared" si="32"/>
        <v>127.501795</v>
      </c>
      <c r="BM10" s="49">
        <f t="shared" si="32"/>
        <v>106.798357</v>
      </c>
      <c r="BN10" s="42">
        <f t="shared" si="32"/>
        <v>0</v>
      </c>
      <c r="BO10" s="44">
        <f t="shared" si="32"/>
        <v>106.798357</v>
      </c>
      <c r="BP10" s="49">
        <f t="shared" si="32"/>
        <v>115.80341200000001</v>
      </c>
      <c r="BQ10" s="42">
        <f t="shared" si="32"/>
        <v>0</v>
      </c>
      <c r="BR10" s="44">
        <f t="shared" si="32"/>
        <v>115.80341200000001</v>
      </c>
      <c r="BS10" s="49">
        <f t="shared" si="32"/>
        <v>99.790285999999995</v>
      </c>
      <c r="BT10" s="42">
        <f t="shared" si="32"/>
        <v>0</v>
      </c>
      <c r="BU10" s="44">
        <f t="shared" si="32"/>
        <v>99.790285999999995</v>
      </c>
      <c r="BV10" s="49">
        <f t="shared" si="32"/>
        <v>110.052373</v>
      </c>
      <c r="BW10" s="42">
        <f t="shared" si="32"/>
        <v>0</v>
      </c>
      <c r="BX10" s="44">
        <f t="shared" si="32"/>
        <v>110.052373</v>
      </c>
      <c r="BY10" s="49">
        <f t="shared" si="32"/>
        <v>116.752234</v>
      </c>
      <c r="BZ10" s="42">
        <f t="shared" si="32"/>
        <v>0</v>
      </c>
      <c r="CA10" s="44">
        <f t="shared" si="32"/>
        <v>116.752234</v>
      </c>
      <c r="CB10" s="49">
        <f t="shared" si="32"/>
        <v>89.861417000000003</v>
      </c>
      <c r="CC10" s="42">
        <f t="shared" si="32"/>
        <v>0</v>
      </c>
      <c r="CD10" s="44">
        <f t="shared" si="32"/>
        <v>89.861417000000003</v>
      </c>
      <c r="CE10" s="49">
        <f t="shared" si="32"/>
        <v>107.065534</v>
      </c>
      <c r="CF10" s="42">
        <f t="shared" si="32"/>
        <v>0</v>
      </c>
      <c r="CG10" s="44">
        <f t="shared" si="32"/>
        <v>107.065534</v>
      </c>
      <c r="CH10" s="49">
        <f t="shared" ref="CH10:CM10" si="33">CH11+CH12</f>
        <v>113.102512</v>
      </c>
      <c r="CI10" s="42">
        <f t="shared" si="33"/>
        <v>0</v>
      </c>
      <c r="CJ10" s="44">
        <f t="shared" si="33"/>
        <v>113.102512</v>
      </c>
      <c r="CK10" s="49">
        <f t="shared" si="33"/>
        <v>119.59981699999999</v>
      </c>
      <c r="CL10" s="42">
        <f t="shared" si="33"/>
        <v>0</v>
      </c>
      <c r="CM10" s="44">
        <f t="shared" si="33"/>
        <v>119.59981699999999</v>
      </c>
      <c r="CN10" s="50">
        <f t="shared" si="20"/>
        <v>1298.986999</v>
      </c>
      <c r="CO10" s="50"/>
      <c r="CP10" s="50">
        <f t="shared" si="21"/>
        <v>1298.986999</v>
      </c>
      <c r="CQ10" s="52">
        <f>CQ11+CQ12</f>
        <v>1299.337565</v>
      </c>
      <c r="CR10" s="49">
        <f>CR11+CR12</f>
        <v>94.482184000000004</v>
      </c>
      <c r="CS10" s="42">
        <f>CS11+CS12</f>
        <v>0</v>
      </c>
      <c r="CT10" s="44">
        <f>CT11+CT12</f>
        <v>94.482184000000004</v>
      </c>
      <c r="CU10" s="49">
        <v>112.590361</v>
      </c>
      <c r="CV10" s="42">
        <v>0</v>
      </c>
      <c r="CW10" s="44">
        <v>112.590361</v>
      </c>
      <c r="CX10" s="49">
        <v>130.87858800000001</v>
      </c>
      <c r="CY10" s="42">
        <v>0</v>
      </c>
      <c r="CZ10" s="44">
        <v>130.87858800000001</v>
      </c>
      <c r="DA10" s="49">
        <v>105.22719499999999</v>
      </c>
      <c r="DB10" s="42">
        <v>0</v>
      </c>
      <c r="DC10" s="44">
        <v>105.22719499999999</v>
      </c>
      <c r="DD10" s="49">
        <v>126.730761</v>
      </c>
      <c r="DE10" s="42">
        <v>0</v>
      </c>
      <c r="DF10" s="44">
        <v>126.730761</v>
      </c>
      <c r="DG10" s="49">
        <v>100.33475</v>
      </c>
      <c r="DH10" s="42">
        <v>0</v>
      </c>
      <c r="DI10" s="44">
        <v>100.33475</v>
      </c>
      <c r="DJ10" s="49">
        <v>114.231725</v>
      </c>
      <c r="DK10" s="42">
        <v>0</v>
      </c>
      <c r="DL10" s="44">
        <v>114.231725</v>
      </c>
      <c r="DM10" s="49">
        <v>121.80547799999999</v>
      </c>
      <c r="DN10" s="42">
        <v>0</v>
      </c>
      <c r="DO10" s="44">
        <v>121.80547799999999</v>
      </c>
      <c r="DP10" s="49">
        <v>94.649457999999996</v>
      </c>
      <c r="DQ10" s="42">
        <v>0</v>
      </c>
      <c r="DR10" s="44">
        <v>94.649457999999996</v>
      </c>
      <c r="DS10" s="49">
        <v>103.90266199999999</v>
      </c>
      <c r="DT10" s="42">
        <v>0</v>
      </c>
      <c r="DU10" s="44">
        <v>103.90266200000001</v>
      </c>
      <c r="DV10" s="49">
        <v>118.80754900000001</v>
      </c>
      <c r="DW10" s="42">
        <v>0</v>
      </c>
      <c r="DX10" s="44">
        <v>118.80754900000001</v>
      </c>
      <c r="DY10" s="49">
        <v>121.587059</v>
      </c>
      <c r="DZ10" s="42">
        <v>0</v>
      </c>
      <c r="EA10" s="44">
        <v>121.587059</v>
      </c>
      <c r="EB10" s="44">
        <f t="shared" si="22"/>
        <v>1345.22777</v>
      </c>
      <c r="EC10" s="50">
        <f t="shared" si="23"/>
        <v>0</v>
      </c>
      <c r="ED10" s="50">
        <f t="shared" si="24"/>
        <v>1345.22777</v>
      </c>
      <c r="EE10" s="44">
        <f>EE11+EE12</f>
        <v>1345.1758619999998</v>
      </c>
      <c r="EF10" s="50">
        <v>101.560213</v>
      </c>
      <c r="EG10" s="50">
        <v>0</v>
      </c>
      <c r="EH10" s="50">
        <v>101.560213</v>
      </c>
      <c r="EI10" s="50">
        <v>120.516559</v>
      </c>
      <c r="EJ10" s="50">
        <v>0</v>
      </c>
      <c r="EK10" s="50">
        <v>120.516559</v>
      </c>
      <c r="EL10" s="50">
        <v>141.83166600000001</v>
      </c>
      <c r="EM10" s="50">
        <v>0</v>
      </c>
      <c r="EN10" s="50">
        <v>141.83166600000001</v>
      </c>
      <c r="EO10" s="50">
        <v>114.41207899999999</v>
      </c>
      <c r="EP10" s="50">
        <v>0</v>
      </c>
      <c r="EQ10" s="50">
        <v>114.41207899999999</v>
      </c>
      <c r="ER10" s="50">
        <v>125.276253</v>
      </c>
      <c r="ES10" s="50">
        <v>0</v>
      </c>
      <c r="ET10" s="50">
        <v>125.276253</v>
      </c>
      <c r="EU10" s="50">
        <v>110.897267</v>
      </c>
      <c r="EV10" s="50">
        <v>0</v>
      </c>
      <c r="EW10" s="50">
        <v>110.897267</v>
      </c>
      <c r="EX10" s="50">
        <v>117.969927</v>
      </c>
      <c r="EY10" s="50">
        <v>0</v>
      </c>
      <c r="EZ10" s="50">
        <v>117.969927</v>
      </c>
      <c r="FA10" s="50">
        <v>130.00419600000001</v>
      </c>
      <c r="FB10" s="50">
        <v>0</v>
      </c>
      <c r="FC10" s="50">
        <v>130.00419600000001</v>
      </c>
      <c r="FD10" s="50">
        <v>105.88333299999999</v>
      </c>
      <c r="FE10" s="50">
        <v>0</v>
      </c>
      <c r="FF10" s="50">
        <v>105.88333299999999</v>
      </c>
      <c r="FG10" s="50">
        <v>113.41648000000001</v>
      </c>
      <c r="FH10" s="50">
        <v>0</v>
      </c>
      <c r="FI10" s="50">
        <v>113.41648000000001</v>
      </c>
      <c r="FJ10" s="50">
        <v>135.48971900000001</v>
      </c>
      <c r="FK10" s="50">
        <v>0</v>
      </c>
      <c r="FL10" s="50">
        <v>135.48971900000001</v>
      </c>
      <c r="FM10" s="50">
        <v>135.78307900000001</v>
      </c>
      <c r="FN10" s="50">
        <v>0</v>
      </c>
      <c r="FO10" s="50">
        <v>135.78307900000001</v>
      </c>
      <c r="FP10" s="50">
        <f t="shared" si="25"/>
        <v>1453.0407710000002</v>
      </c>
      <c r="FQ10" s="50">
        <f t="shared" si="26"/>
        <v>0</v>
      </c>
      <c r="FR10" s="50">
        <f t="shared" si="27"/>
        <v>1453.0407710000002</v>
      </c>
      <c r="FS10" s="94">
        <f>FS11+FS12</f>
        <v>1453.067665</v>
      </c>
      <c r="FT10" s="50">
        <v>104.064859</v>
      </c>
      <c r="FU10" s="50">
        <v>0</v>
      </c>
      <c r="FV10" s="50">
        <v>104.064859</v>
      </c>
      <c r="FW10" s="50">
        <v>129.27786699999999</v>
      </c>
      <c r="FX10" s="50">
        <v>0</v>
      </c>
      <c r="FY10" s="50">
        <v>129.27786699999999</v>
      </c>
      <c r="FZ10" s="50">
        <v>150.96962100000002</v>
      </c>
      <c r="GA10" s="50">
        <v>0</v>
      </c>
      <c r="GB10" s="50">
        <v>150.96962100000002</v>
      </c>
      <c r="GC10" s="50">
        <v>118.806674</v>
      </c>
      <c r="GD10" s="50">
        <v>0</v>
      </c>
      <c r="GE10" s="50">
        <v>118.806674</v>
      </c>
      <c r="GF10" s="50">
        <v>141.19967299999999</v>
      </c>
      <c r="GG10" s="50">
        <v>0</v>
      </c>
      <c r="GH10" s="50">
        <v>141.19967299999999</v>
      </c>
      <c r="GI10" s="50">
        <v>122.93530800000001</v>
      </c>
      <c r="GJ10" s="50">
        <v>0</v>
      </c>
      <c r="GK10" s="50">
        <v>122.93530800000001</v>
      </c>
      <c r="GL10" s="50">
        <v>134.36270200000001</v>
      </c>
      <c r="GM10" s="50">
        <v>0</v>
      </c>
      <c r="GN10" s="50">
        <v>134.36270200000001</v>
      </c>
      <c r="GO10" s="50">
        <v>142.28072299999999</v>
      </c>
      <c r="GP10" s="50">
        <v>0</v>
      </c>
      <c r="GQ10" s="50">
        <v>142.28072299999999</v>
      </c>
      <c r="GR10" s="50">
        <v>115.915487</v>
      </c>
      <c r="GS10" s="50">
        <v>0</v>
      </c>
      <c r="GT10" s="50">
        <v>115.915487</v>
      </c>
      <c r="GU10" s="50">
        <v>122.922625</v>
      </c>
      <c r="GV10" s="50">
        <v>0</v>
      </c>
      <c r="GW10" s="50">
        <v>122.922625</v>
      </c>
      <c r="GX10" s="50">
        <v>144.53174799999999</v>
      </c>
      <c r="GY10" s="50">
        <v>0</v>
      </c>
      <c r="GZ10" s="50">
        <v>144.53174799999999</v>
      </c>
      <c r="HA10" s="50">
        <v>152.578047</v>
      </c>
      <c r="HB10" s="50">
        <v>0</v>
      </c>
      <c r="HC10" s="50">
        <v>152.578047</v>
      </c>
      <c r="HD10" s="50">
        <f t="shared" si="28"/>
        <v>1579.8453339999996</v>
      </c>
      <c r="HE10" s="50">
        <f t="shared" si="29"/>
        <v>0</v>
      </c>
      <c r="HF10" s="50">
        <f t="shared" si="30"/>
        <v>1579.8453339999996</v>
      </c>
      <c r="HG10" s="50">
        <f>HG11+HG12</f>
        <v>1579.844081</v>
      </c>
      <c r="HH10" s="50">
        <v>121.653924</v>
      </c>
      <c r="HI10" s="50">
        <v>0</v>
      </c>
      <c r="HJ10" s="50">
        <v>121.653924</v>
      </c>
      <c r="HK10" s="50">
        <v>138.88916399999999</v>
      </c>
      <c r="HL10" s="50">
        <v>0</v>
      </c>
      <c r="HM10" s="50">
        <v>138.88916399999999</v>
      </c>
      <c r="HN10" s="50">
        <v>130.221982</v>
      </c>
      <c r="HO10" s="50">
        <v>0</v>
      </c>
      <c r="HP10" s="50">
        <v>130.221982</v>
      </c>
      <c r="HQ10" s="50">
        <v>118.156542</v>
      </c>
      <c r="HR10" s="50">
        <v>0</v>
      </c>
      <c r="HS10" s="50">
        <v>118.156542</v>
      </c>
      <c r="HT10" s="50">
        <v>134.94755799999999</v>
      </c>
      <c r="HU10" s="50">
        <v>0</v>
      </c>
      <c r="HV10" s="50">
        <v>134.94755799999999</v>
      </c>
      <c r="HW10" s="50">
        <v>129.23327599999999</v>
      </c>
      <c r="HX10" s="50">
        <v>0</v>
      </c>
      <c r="HY10" s="50">
        <v>129.23327599999999</v>
      </c>
      <c r="HZ10" s="50">
        <v>141.494969</v>
      </c>
      <c r="IA10" s="50">
        <v>0</v>
      </c>
      <c r="IB10" s="50">
        <v>141.494969</v>
      </c>
      <c r="IC10" s="50">
        <v>149.70952299999999</v>
      </c>
      <c r="ID10" s="50">
        <v>0</v>
      </c>
      <c r="IE10" s="50">
        <v>149.70952299999999</v>
      </c>
      <c r="IF10" s="50">
        <v>111.865967</v>
      </c>
      <c r="IG10" s="50">
        <v>0</v>
      </c>
      <c r="IH10" s="50">
        <v>111.865967</v>
      </c>
      <c r="II10" s="50">
        <v>135.510062</v>
      </c>
      <c r="IJ10" s="50">
        <v>0</v>
      </c>
      <c r="IK10" s="50">
        <v>135.510062</v>
      </c>
      <c r="IL10" s="50">
        <v>149.95074</v>
      </c>
      <c r="IM10" s="50">
        <v>0</v>
      </c>
      <c r="IN10" s="50">
        <v>149.95074</v>
      </c>
      <c r="IO10" s="50">
        <v>149.330984</v>
      </c>
      <c r="IP10" s="50">
        <v>0</v>
      </c>
      <c r="IQ10" s="50">
        <v>149.330984</v>
      </c>
      <c r="IR10" s="44">
        <f t="shared" ref="IR10:IR25" si="34">HH10+HK10+HN10+HQ10+HT10+HW10+HZ10+IC10+IF10+II10+IL10+IO10</f>
        <v>1610.9646910000001</v>
      </c>
      <c r="IS10" s="50">
        <f t="shared" ref="IS10:IS25" si="35">HI10+HL10+HO10+HR10+HU10+HX10+IA10+ID10+IG10+IJ10+IM10+IP10</f>
        <v>0</v>
      </c>
      <c r="IT10" s="50">
        <f t="shared" ref="IT10:IT25" si="36">HJ10+HM10+HP10+HS10+HV10+HY10+IB10+IE10+IH10+IK10+IN10+IQ10</f>
        <v>1610.9646910000001</v>
      </c>
      <c r="IU10" s="50">
        <f>IU11+IU12</f>
        <v>1610.9643370000001</v>
      </c>
      <c r="IV10" s="44">
        <v>123.61731399999999</v>
      </c>
      <c r="IW10" s="50">
        <v>0</v>
      </c>
      <c r="IX10" s="50">
        <v>123.61731399999999</v>
      </c>
      <c r="IY10" s="44">
        <v>149.79541599999999</v>
      </c>
      <c r="IZ10" s="50">
        <v>0</v>
      </c>
      <c r="JA10" s="50">
        <v>149.79541599999999</v>
      </c>
      <c r="JB10" s="44">
        <v>136.89218299999999</v>
      </c>
      <c r="JC10" s="50">
        <v>0</v>
      </c>
      <c r="JD10" s="50">
        <v>136.89218299999999</v>
      </c>
      <c r="JE10" s="44">
        <v>126.620711</v>
      </c>
      <c r="JF10" s="50">
        <v>0</v>
      </c>
      <c r="JG10" s="50">
        <v>126.620711</v>
      </c>
      <c r="JH10" s="44">
        <v>150.11383900000001</v>
      </c>
      <c r="JI10" s="50">
        <v>0</v>
      </c>
      <c r="JJ10" s="50">
        <v>150.11383900000001</v>
      </c>
      <c r="JK10" s="44">
        <v>130.79862</v>
      </c>
      <c r="JL10" s="50">
        <v>0</v>
      </c>
      <c r="JM10" s="50">
        <v>130.79862</v>
      </c>
      <c r="JN10" s="44">
        <v>146.21681599999999</v>
      </c>
      <c r="JO10" s="50">
        <v>0</v>
      </c>
      <c r="JP10" s="50">
        <v>146.21681599999999</v>
      </c>
      <c r="JQ10" s="44">
        <v>158.29861399999999</v>
      </c>
      <c r="JR10" s="50">
        <v>0</v>
      </c>
      <c r="JS10" s="50">
        <v>158.29861399999999</v>
      </c>
      <c r="JT10" s="44">
        <v>149.23119199999999</v>
      </c>
      <c r="JU10" s="50">
        <v>0</v>
      </c>
      <c r="JV10" s="50">
        <v>149.23119199999999</v>
      </c>
      <c r="JW10" s="44">
        <v>143.28031200000001</v>
      </c>
      <c r="JX10" s="50">
        <v>0</v>
      </c>
      <c r="JY10" s="50">
        <v>143.28031200000001</v>
      </c>
      <c r="JZ10" s="44">
        <v>167.71744000000001</v>
      </c>
      <c r="KA10" s="50">
        <v>0</v>
      </c>
      <c r="KB10" s="50">
        <v>167.71744000000001</v>
      </c>
      <c r="KC10" s="44">
        <v>184.24843999999999</v>
      </c>
      <c r="KD10" s="50">
        <v>0</v>
      </c>
      <c r="KE10" s="50">
        <v>184.24843999999999</v>
      </c>
      <c r="KF10" s="44">
        <f t="shared" ref="KF10:KF26" si="37">IV10+IY10+JB10+JE10+JH10+JK10+JN10+JQ10+JT10+JW10+JZ10+KC10</f>
        <v>1766.830897</v>
      </c>
      <c r="KG10" s="50">
        <f t="shared" si="3"/>
        <v>0</v>
      </c>
      <c r="KH10" s="50">
        <f t="shared" si="4"/>
        <v>1766.830897</v>
      </c>
      <c r="KI10" s="50">
        <f>KI11+KI12</f>
        <v>1766.8228589999999</v>
      </c>
      <c r="KJ10" s="44">
        <v>174.169329</v>
      </c>
      <c r="KK10" s="50">
        <v>0</v>
      </c>
      <c r="KL10" s="50">
        <v>174.169329</v>
      </c>
      <c r="KM10" s="44">
        <v>158.54862800000001</v>
      </c>
      <c r="KN10" s="50">
        <v>0</v>
      </c>
      <c r="KO10" s="50">
        <v>158.54862800000001</v>
      </c>
      <c r="KP10" s="44">
        <v>115.863613</v>
      </c>
      <c r="KQ10" s="50">
        <v>0</v>
      </c>
      <c r="KR10" s="50">
        <v>115.863613</v>
      </c>
      <c r="KS10" s="44">
        <v>113.603995</v>
      </c>
      <c r="KT10" s="50">
        <v>0</v>
      </c>
      <c r="KU10" s="44">
        <v>113.603995</v>
      </c>
      <c r="KV10" s="44">
        <v>119.092125</v>
      </c>
      <c r="KW10" s="50">
        <v>0</v>
      </c>
      <c r="KX10" s="44">
        <v>119.092125</v>
      </c>
      <c r="KY10" s="50">
        <v>117.226851</v>
      </c>
      <c r="KZ10" s="50">
        <v>0</v>
      </c>
      <c r="LA10" s="50">
        <v>117.226851</v>
      </c>
      <c r="LB10" s="44">
        <v>142.53048100000001</v>
      </c>
      <c r="LC10" s="50">
        <v>0</v>
      </c>
      <c r="LD10" s="50">
        <v>142.53048100000001</v>
      </c>
      <c r="LE10" s="44">
        <v>153.49524400000001</v>
      </c>
      <c r="LF10" s="44"/>
      <c r="LG10" s="44">
        <v>153.49524400000001</v>
      </c>
      <c r="LH10" s="44">
        <v>131.714404</v>
      </c>
      <c r="LI10" s="50">
        <v>0</v>
      </c>
      <c r="LJ10" s="50">
        <v>131.714404</v>
      </c>
      <c r="LK10" s="44">
        <v>144.64346399999999</v>
      </c>
      <c r="LL10" s="50">
        <v>0</v>
      </c>
      <c r="LM10" s="50">
        <v>144.64346399999999</v>
      </c>
      <c r="LN10" s="44">
        <v>155.809336</v>
      </c>
      <c r="LO10" s="50">
        <v>0</v>
      </c>
      <c r="LP10" s="50">
        <v>155.809336</v>
      </c>
      <c r="LQ10" s="44">
        <v>151.82711800000001</v>
      </c>
      <c r="LR10" s="50">
        <v>0</v>
      </c>
      <c r="LS10" s="50">
        <v>151.82711800000001</v>
      </c>
      <c r="LT10" s="44">
        <f>KJ10+KM10+KP10+KS10+KV10+KY10+LB10+LE10+LH10+LK10+LN10+LQ10</f>
        <v>1678.524588</v>
      </c>
      <c r="LU10" s="50">
        <f t="shared" si="5"/>
        <v>0</v>
      </c>
      <c r="LV10" s="50">
        <f t="shared" si="5"/>
        <v>1678.524588</v>
      </c>
      <c r="LW10" s="50">
        <f>LW11+LW12</f>
        <v>1678.5245669999999</v>
      </c>
      <c r="LX10" s="44">
        <v>123.189111</v>
      </c>
      <c r="LY10" s="50">
        <v>0</v>
      </c>
      <c r="LZ10" s="50">
        <v>123.189111</v>
      </c>
      <c r="MA10" s="44">
        <v>158.74625900000001</v>
      </c>
      <c r="MB10" s="50">
        <v>0</v>
      </c>
      <c r="MC10" s="50">
        <v>158.74625900000001</v>
      </c>
      <c r="MD10" s="44">
        <v>153.87679399999999</v>
      </c>
      <c r="ME10" s="50">
        <v>0</v>
      </c>
      <c r="MF10" s="50">
        <v>153.87679399999999</v>
      </c>
      <c r="MG10" s="44">
        <v>58.936982</v>
      </c>
      <c r="MH10" s="50">
        <v>0</v>
      </c>
      <c r="MI10" s="50">
        <v>58.936982</v>
      </c>
      <c r="MJ10" s="44">
        <v>151.95533900000001</v>
      </c>
      <c r="MK10" s="50">
        <v>0</v>
      </c>
      <c r="ML10" s="50">
        <v>151.95533900000001</v>
      </c>
      <c r="MM10" s="44">
        <v>112.77572600000001</v>
      </c>
      <c r="MN10" s="50">
        <v>0</v>
      </c>
      <c r="MO10" s="50">
        <v>112.77572600000001</v>
      </c>
      <c r="MP10" s="44">
        <v>133.60673747999999</v>
      </c>
      <c r="MQ10" s="50">
        <v>0</v>
      </c>
      <c r="MR10" s="50">
        <v>133.60673747999999</v>
      </c>
      <c r="MS10" s="44">
        <v>148.79624999999999</v>
      </c>
      <c r="MT10" s="50">
        <v>0</v>
      </c>
      <c r="MU10" s="50">
        <v>148.79624999999999</v>
      </c>
      <c r="MV10" s="44">
        <v>122.769764</v>
      </c>
      <c r="MW10" s="50">
        <v>0</v>
      </c>
      <c r="MX10" s="50">
        <v>122.769764</v>
      </c>
      <c r="MY10" s="44">
        <v>187.05757</v>
      </c>
      <c r="MZ10" s="50">
        <v>0</v>
      </c>
      <c r="NA10" s="50">
        <v>187.05757</v>
      </c>
      <c r="NB10" s="44">
        <v>152.27321699999999</v>
      </c>
      <c r="NC10" s="50">
        <v>0</v>
      </c>
      <c r="ND10" s="50">
        <v>152.27321699999999</v>
      </c>
      <c r="NE10" s="44">
        <v>172.21302800000001</v>
      </c>
      <c r="NF10" s="50">
        <v>0</v>
      </c>
      <c r="NG10" s="50">
        <v>172.21302800000001</v>
      </c>
      <c r="NH10" s="44">
        <f>LX10+MA10+MD10+MG10+MJ10+MM10+MP10+MS10+MV10+MY10+NB10+NE10</f>
        <v>1676.1967774799996</v>
      </c>
      <c r="NI10" s="50">
        <f t="shared" si="6"/>
        <v>0</v>
      </c>
      <c r="NJ10" s="50">
        <f t="shared" si="7"/>
        <v>1676.1967774799996</v>
      </c>
      <c r="NK10" s="50">
        <f>NK11+NK12</f>
        <v>1676.236093</v>
      </c>
      <c r="NL10" s="50">
        <v>176.20467600000001</v>
      </c>
      <c r="NM10" s="50">
        <v>0</v>
      </c>
      <c r="NN10" s="50">
        <v>176.20467600000001</v>
      </c>
      <c r="NO10" s="50">
        <v>177.37205499999999</v>
      </c>
      <c r="NP10" s="50"/>
      <c r="NQ10" s="50">
        <v>177.37205499999999</v>
      </c>
      <c r="NR10" s="50">
        <v>102.340684</v>
      </c>
      <c r="NS10" s="50"/>
      <c r="NT10" s="50">
        <v>102.340684</v>
      </c>
      <c r="NU10" s="50">
        <v>140.09589700000001</v>
      </c>
      <c r="NV10" s="50"/>
      <c r="NW10" s="50">
        <v>140.09589700000001</v>
      </c>
      <c r="NX10" s="50">
        <v>153.38657799999999</v>
      </c>
      <c r="NY10" s="50"/>
      <c r="NZ10" s="50">
        <v>153.38657799999999</v>
      </c>
      <c r="OA10" s="50">
        <v>153.64425299999999</v>
      </c>
      <c r="OB10" s="50"/>
      <c r="OC10" s="50">
        <v>153.64425299999999</v>
      </c>
      <c r="OD10" s="50">
        <v>174.75917899999999</v>
      </c>
      <c r="OE10" s="50"/>
      <c r="OF10" s="50">
        <v>174.75917899999999</v>
      </c>
      <c r="OG10" s="94">
        <v>183.24855299999999</v>
      </c>
      <c r="OH10" s="50"/>
      <c r="OI10" s="94">
        <v>183.24855299999999</v>
      </c>
      <c r="OJ10" s="50">
        <v>163.27407700000001</v>
      </c>
      <c r="OK10" s="50"/>
      <c r="OL10" s="50">
        <v>163.27407700000001</v>
      </c>
      <c r="OM10" s="50">
        <v>171.18171799999999</v>
      </c>
      <c r="ON10" s="50"/>
      <c r="OO10" s="50">
        <v>171.18171799999999</v>
      </c>
      <c r="OP10" s="50">
        <v>175.88615200000001</v>
      </c>
      <c r="OQ10" s="50"/>
      <c r="OR10" s="50">
        <v>175.88615200000001</v>
      </c>
      <c r="OS10" s="50">
        <v>157.03197800000001</v>
      </c>
      <c r="OT10" s="50"/>
      <c r="OU10" s="50">
        <v>157.03197800000001</v>
      </c>
      <c r="OV10" s="44">
        <f>NL10+NO10+NR10+NU10+NX10+OA10+OD10+OG10+OJ10+OM10+OP10+OS10</f>
        <v>1928.4258</v>
      </c>
      <c r="OW10" s="50">
        <f t="shared" si="8"/>
        <v>0</v>
      </c>
      <c r="OX10" s="50">
        <f t="shared" si="9"/>
        <v>1928.4258</v>
      </c>
      <c r="OY10" s="50">
        <f>OY11+OY12</f>
        <v>1928.4248359999999</v>
      </c>
      <c r="OZ10" s="85">
        <v>187.293385</v>
      </c>
      <c r="PA10" s="50"/>
      <c r="PB10" s="50">
        <v>187.293385</v>
      </c>
      <c r="PC10" s="50">
        <v>194.76639</v>
      </c>
      <c r="PD10" s="50"/>
      <c r="PE10" s="50">
        <v>194.76639</v>
      </c>
      <c r="PF10" s="85">
        <v>122.058964</v>
      </c>
      <c r="PG10" s="50"/>
      <c r="PH10" s="50">
        <v>122.058964</v>
      </c>
      <c r="PI10" s="85">
        <v>132.93999299999999</v>
      </c>
      <c r="PJ10" s="50"/>
      <c r="PK10" s="50">
        <v>132.93999299999999</v>
      </c>
      <c r="PL10" s="50">
        <v>194.07391999999999</v>
      </c>
      <c r="PM10" s="50"/>
      <c r="PN10" s="50">
        <v>194.07391999999999</v>
      </c>
      <c r="PO10" s="50">
        <v>171.57473700000003</v>
      </c>
      <c r="PP10" s="50"/>
      <c r="PQ10" s="50">
        <v>171.57473700000003</v>
      </c>
      <c r="PR10" s="50">
        <v>199.62243599999999</v>
      </c>
      <c r="PS10" s="50"/>
      <c r="PT10" s="50">
        <v>199.62243599999999</v>
      </c>
      <c r="PU10" s="50">
        <v>204.28553400000001</v>
      </c>
      <c r="PV10" s="50"/>
      <c r="PW10" s="50">
        <v>204.28553400000001</v>
      </c>
      <c r="PX10" s="50">
        <v>153.69360599999999</v>
      </c>
      <c r="PY10" s="50"/>
      <c r="PZ10" s="50">
        <v>153.69360599999999</v>
      </c>
      <c r="QA10" s="50">
        <v>172.37754699999999</v>
      </c>
      <c r="QB10" s="50"/>
      <c r="QC10" s="50">
        <v>172.37754699999999</v>
      </c>
      <c r="QD10" s="50">
        <v>199.39279300000001</v>
      </c>
      <c r="QE10" s="50"/>
      <c r="QF10" s="50">
        <v>199.39279300000001</v>
      </c>
      <c r="QG10" s="50">
        <v>180.152512</v>
      </c>
      <c r="QH10" s="50"/>
      <c r="QI10" s="50">
        <v>180.152512</v>
      </c>
      <c r="QJ10" s="44">
        <f t="shared" ref="QJ10:QJ57" si="38">OZ10+PC10+PF10+PI10+PL10+PO10+PR10+PU10+PX10+QA10+QD10+QG10</f>
        <v>2112.2318170000003</v>
      </c>
      <c r="QK10" s="50">
        <f t="shared" ref="QK10:QK57" si="39">PA10+PD10+PG10+PJ10+PM10+PP10+PS10+PV10+PY10+QB10+QE10+QH10</f>
        <v>0</v>
      </c>
      <c r="QL10" s="50">
        <f t="shared" ref="QL10:QL57" si="40">PB10+PE10+PH10+PK10+PN10+PQ10+PT10+PW10+PZ10+QC10+QF10+QI10</f>
        <v>2112.2318170000003</v>
      </c>
      <c r="QM10" s="50">
        <f>QM11+QM12</f>
        <v>2112.2281739999999</v>
      </c>
      <c r="QN10" s="50">
        <v>211.75598299999999</v>
      </c>
      <c r="QO10" s="50"/>
      <c r="QP10" s="50">
        <v>211.75598299999999</v>
      </c>
      <c r="QQ10" s="50">
        <v>221.80064300000001</v>
      </c>
      <c r="QR10" s="50"/>
      <c r="QS10" s="50">
        <v>221.80064300000001</v>
      </c>
      <c r="QT10" s="50">
        <v>108.088117</v>
      </c>
      <c r="QU10" s="50"/>
      <c r="QV10" s="50">
        <v>108.088117</v>
      </c>
      <c r="QW10" s="50">
        <v>172.82191</v>
      </c>
      <c r="QX10" s="50"/>
      <c r="QY10" s="50">
        <v>172.82191</v>
      </c>
      <c r="QZ10" s="50">
        <v>192.81894</v>
      </c>
      <c r="RA10" s="50"/>
      <c r="RB10" s="50">
        <v>192.81894</v>
      </c>
      <c r="RC10" s="50">
        <v>182.68839800000001</v>
      </c>
      <c r="RD10" s="50"/>
      <c r="RE10" s="50">
        <v>182.68839800000001</v>
      </c>
      <c r="RF10" s="50">
        <v>213.39274900000001</v>
      </c>
      <c r="RG10" s="50"/>
      <c r="RH10" s="50">
        <v>213.39274900000001</v>
      </c>
      <c r="RI10" s="50">
        <v>227.673778</v>
      </c>
      <c r="RJ10" s="50"/>
      <c r="RK10" s="50">
        <v>227.673778</v>
      </c>
      <c r="RL10" s="50">
        <v>192.27218500000001</v>
      </c>
      <c r="RM10" s="50"/>
      <c r="RN10" s="50">
        <v>192.27218500000001</v>
      </c>
      <c r="RO10" s="50">
        <v>204.30715900000001</v>
      </c>
      <c r="RP10" s="50"/>
      <c r="RQ10" s="50">
        <v>204.30715900000001</v>
      </c>
      <c r="RR10" s="50">
        <v>218.269474</v>
      </c>
      <c r="RS10" s="50"/>
      <c r="RT10" s="50">
        <v>218.269474</v>
      </c>
      <c r="RU10" s="50">
        <v>199.66739799999999</v>
      </c>
      <c r="RV10" s="50"/>
      <c r="RW10" s="50">
        <v>199.66739799999999</v>
      </c>
      <c r="RX10" s="44">
        <f t="shared" ref="RX10:RX57" si="41">QN10+QQ10+QT10+QW10+QZ10+RC10+RF10+RI10+RL10+RO10+RR10+RU10</f>
        <v>2345.5567340000002</v>
      </c>
      <c r="RY10" s="50">
        <f t="shared" ref="RY10:RY57" si="42">QO10+QR10+QU10+QX10+RA10+RD10+RG10+RJ10+RM10+RP10+RS10+RV10</f>
        <v>0</v>
      </c>
      <c r="RZ10" s="50">
        <f t="shared" ref="RZ10:RZ57" si="43">QP10+QS10+QV10+QY10+RB10+RE10+RH10+RK10+RN10+RQ10+RT10+RW10</f>
        <v>2345.5567340000002</v>
      </c>
      <c r="SA10" s="50">
        <f>SA11+SA12</f>
        <v>2345.5556780000002</v>
      </c>
      <c r="SB10" s="50">
        <v>163.970812</v>
      </c>
      <c r="SC10" s="50"/>
      <c r="SD10" s="50">
        <v>163.970812</v>
      </c>
      <c r="SE10" s="50">
        <v>200.79475500000001</v>
      </c>
      <c r="SF10" s="50"/>
      <c r="SG10" s="50">
        <v>200.79475500000001</v>
      </c>
      <c r="SH10" s="50">
        <v>214.743245</v>
      </c>
      <c r="SI10" s="50"/>
      <c r="SJ10" s="50">
        <v>214.743245</v>
      </c>
      <c r="SK10" s="50">
        <v>176.986705</v>
      </c>
      <c r="SL10" s="50"/>
      <c r="SM10" s="50">
        <v>176.986705</v>
      </c>
      <c r="SN10" s="50">
        <f t="shared" ref="SN10:SN26" si="44">SP10-SO10</f>
        <v>195.358225</v>
      </c>
      <c r="SO10" s="50"/>
      <c r="SP10" s="50">
        <v>195.358225</v>
      </c>
      <c r="SQ10" s="50">
        <v>169.42816500000001</v>
      </c>
      <c r="SR10" s="50"/>
      <c r="SS10" s="50">
        <v>169.42816500000001</v>
      </c>
      <c r="ST10" s="50">
        <v>198.866086</v>
      </c>
      <c r="SU10" s="50"/>
      <c r="SV10" s="50">
        <v>198.866086</v>
      </c>
      <c r="SW10" s="50">
        <v>221.41576000000001</v>
      </c>
      <c r="SX10" s="50"/>
      <c r="SY10" s="50">
        <v>221.41576000000001</v>
      </c>
      <c r="SZ10" s="50">
        <v>196.90329600000001</v>
      </c>
      <c r="TA10" s="50"/>
      <c r="TB10" s="50">
        <v>196.90329600000001</v>
      </c>
      <c r="TC10" s="50">
        <v>206.81620699999999</v>
      </c>
      <c r="TD10" s="50"/>
      <c r="TE10" s="50">
        <v>206.81620699999999</v>
      </c>
      <c r="TF10" s="50">
        <v>225.456401</v>
      </c>
      <c r="TG10" s="50"/>
      <c r="TH10" s="50">
        <v>225.456401</v>
      </c>
      <c r="TI10" s="50">
        <v>229.571933</v>
      </c>
      <c r="TJ10" s="50"/>
      <c r="TK10" s="50">
        <v>229.571933</v>
      </c>
      <c r="TL10" s="44">
        <f t="shared" ref="TL10:TL57" si="45">SB10+SE10+SH10+SK10+SN10+SQ10+ST10+SW10+SZ10+TC10+TF10+TI10</f>
        <v>2400.3115900000003</v>
      </c>
      <c r="TM10" s="50">
        <f t="shared" ref="TM10:TM57" si="46">SC10+SF10+SI10+SL10+SO10+SR10+SU10+SX10+TA10+TD10+TG10+TJ10</f>
        <v>0</v>
      </c>
      <c r="TN10" s="50">
        <f t="shared" ref="TN10:TN57" si="47">SD10+SG10+SJ10+SM10+SP10+SS10+SV10+SY10+TB10+TE10+TH10+TK10</f>
        <v>2400.3115900000003</v>
      </c>
      <c r="TO10" s="50">
        <v>172.76165700000001</v>
      </c>
      <c r="TP10" s="50"/>
      <c r="TQ10" s="50">
        <v>172.76165700000001</v>
      </c>
      <c r="TR10" s="50">
        <f t="shared" ref="TR10:TR23" si="48">TT10-TS10</f>
        <v>210.007498</v>
      </c>
      <c r="TS10" s="50"/>
      <c r="TT10" s="50">
        <v>210.007498</v>
      </c>
      <c r="TU10" s="50">
        <v>225.120755</v>
      </c>
      <c r="TV10" s="50"/>
      <c r="TW10" s="50">
        <v>225.120755</v>
      </c>
      <c r="TX10" s="50">
        <f t="shared" ref="TX10:TX57" si="49">TZ10-TY10</f>
        <v>187.38427200000001</v>
      </c>
      <c r="TY10" s="50"/>
      <c r="TZ10" s="50">
        <v>187.38427200000001</v>
      </c>
      <c r="UA10" s="50"/>
      <c r="UB10" s="50"/>
      <c r="UC10" s="50"/>
      <c r="UD10" s="50"/>
      <c r="UE10" s="50"/>
      <c r="UF10" s="50"/>
      <c r="UG10" s="50"/>
      <c r="UH10" s="50"/>
      <c r="UI10" s="50"/>
      <c r="UJ10" s="50"/>
      <c r="UK10" s="50"/>
      <c r="UL10" s="50"/>
      <c r="UM10" s="50"/>
      <c r="UN10" s="50"/>
      <c r="UO10" s="50"/>
      <c r="UP10" s="50"/>
      <c r="UQ10" s="50"/>
      <c r="UR10" s="50"/>
      <c r="US10" s="50"/>
      <c r="UT10" s="50"/>
      <c r="UU10" s="50"/>
      <c r="UV10" s="50"/>
      <c r="UW10" s="50"/>
      <c r="UX10" s="50"/>
      <c r="UY10" s="292">
        <f t="shared" ref="UY10:UY57" si="50">ROUND(SUM(SB10+SE10+SH10+SK10),6)</f>
        <v>756.49551699999995</v>
      </c>
      <c r="UZ10" s="276">
        <f t="shared" ref="UZ10:UZ57" si="51">ROUND(SUM(SC10+SF10+SI10+SL10),6)</f>
        <v>0</v>
      </c>
      <c r="VA10" s="276">
        <f t="shared" ref="VA10:VA57" si="52">ROUND(SUM(SD10+SG10+SJ10+SM10),6)</f>
        <v>756.49551699999995</v>
      </c>
      <c r="VB10" s="292">
        <f t="shared" ref="VB10:VB57" si="53">ROUND(SUM(TO10+TR10+TU10+TX10),6)</f>
        <v>795.274182</v>
      </c>
      <c r="VC10" s="276">
        <f t="shared" ref="VC10:VC57" si="54">ROUND(SUM(TP10+TS10+TV10+TY10),6)</f>
        <v>0</v>
      </c>
      <c r="VD10" s="276">
        <f t="shared" ref="VD10:VD57" si="55">ROUND(SUM(TQ10+TT10+TW10+TZ10),6)</f>
        <v>795.274182</v>
      </c>
      <c r="VE10" s="277">
        <f t="shared" ref="VE10:VE57" si="56">VD10-VA10</f>
        <v>38.778665000000046</v>
      </c>
      <c r="VF10" s="277">
        <f t="shared" ref="VF10:VF57" si="57">VD10/VA10*100-100</f>
        <v>5.1260931662599774</v>
      </c>
    </row>
    <row r="11" spans="1:578" s="12" customFormat="1" ht="20.5">
      <c r="A11" s="47" t="s">
        <v>37</v>
      </c>
      <c r="B11" s="13" t="s">
        <v>38</v>
      </c>
      <c r="C11" s="47" t="s">
        <v>39</v>
      </c>
      <c r="D11" s="42">
        <v>997.57061997370533</v>
      </c>
      <c r="E11" s="42">
        <v>1181.8965913682905</v>
      </c>
      <c r="F11" s="42">
        <v>853.17489798009126</v>
      </c>
      <c r="G11" s="42">
        <v>904.35865618294713</v>
      </c>
      <c r="H11" s="42">
        <v>70.994011132549048</v>
      </c>
      <c r="I11" s="42">
        <v>69.816842249048108</v>
      </c>
      <c r="J11" s="42">
        <v>72.571985930643535</v>
      </c>
      <c r="K11" s="42">
        <v>79.469258854531276</v>
      </c>
      <c r="L11" s="42">
        <v>76.581903347163646</v>
      </c>
      <c r="M11" s="42">
        <v>76.817629097159383</v>
      </c>
      <c r="N11" s="42">
        <v>84.762427362394064</v>
      </c>
      <c r="O11" s="42">
        <v>75.819680878310308</v>
      </c>
      <c r="P11" s="42">
        <v>73.083220926460299</v>
      </c>
      <c r="Q11" s="42">
        <v>75.343639193857754</v>
      </c>
      <c r="R11" s="42">
        <v>78.361002498562897</v>
      </c>
      <c r="S11" s="42">
        <v>90.457090454806746</v>
      </c>
      <c r="T11" s="42">
        <v>924.07869192548708</v>
      </c>
      <c r="U11" s="42">
        <v>0</v>
      </c>
      <c r="V11" s="42">
        <v>924.07869192548708</v>
      </c>
      <c r="W11" s="42">
        <v>924.07869050261525</v>
      </c>
      <c r="X11" s="42">
        <v>76.652752403230494</v>
      </c>
      <c r="Y11" s="42">
        <v>80.053208291358615</v>
      </c>
      <c r="Z11" s="42">
        <v>78.404198040990096</v>
      </c>
      <c r="AA11" s="42">
        <v>80.979090898742754</v>
      </c>
      <c r="AB11" s="42">
        <v>80.175324841634364</v>
      </c>
      <c r="AC11" s="42">
        <v>88.315378113954964</v>
      </c>
      <c r="AD11" s="42">
        <v>86.527487037637812</v>
      </c>
      <c r="AE11" s="42">
        <v>85.00949909220779</v>
      </c>
      <c r="AF11" s="42">
        <v>75.84202850296812</v>
      </c>
      <c r="AG11" s="42">
        <v>83.874723251432826</v>
      </c>
      <c r="AH11" s="42">
        <v>86.825366674065606</v>
      </c>
      <c r="AI11" s="42">
        <v>89.381156054888706</v>
      </c>
      <c r="AJ11" s="42">
        <v>992.0402132031121</v>
      </c>
      <c r="AK11" s="42">
        <v>0</v>
      </c>
      <c r="AL11" s="42">
        <v>992.0402132031121</v>
      </c>
      <c r="AM11" s="42">
        <v>992.04021178024038</v>
      </c>
      <c r="AN11" s="42">
        <v>90.698494886198716</v>
      </c>
      <c r="AO11" s="42">
        <v>79.277464271688828</v>
      </c>
      <c r="AP11" s="42">
        <v>84.548895566900583</v>
      </c>
      <c r="AQ11" s="42">
        <v>85.500240465336006</v>
      </c>
      <c r="AR11" s="42">
        <v>93.785028258234163</v>
      </c>
      <c r="AS11" s="42">
        <v>87.588677639854069</v>
      </c>
      <c r="AT11" s="42">
        <v>93.851225946352045</v>
      </c>
      <c r="AU11" s="42">
        <v>86.836332747110148</v>
      </c>
      <c r="AV11" s="42">
        <v>80.097929152366817</v>
      </c>
      <c r="AW11" s="42">
        <v>87.212834588306265</v>
      </c>
      <c r="AX11" s="42">
        <v>88.767583849835802</v>
      </c>
      <c r="AY11" s="42">
        <v>108.87553286549307</v>
      </c>
      <c r="AZ11" s="42">
        <v>1067.0402402376765</v>
      </c>
      <c r="BA11" s="42">
        <v>0</v>
      </c>
      <c r="BB11" s="42">
        <v>1067.0402402376765</v>
      </c>
      <c r="BC11" s="42">
        <v>1067.040237391933</v>
      </c>
      <c r="BD11" s="49">
        <v>79.961561000000003</v>
      </c>
      <c r="BE11" s="42"/>
      <c r="BF11" s="49">
        <f>BD11+BE11</f>
        <v>79.961561000000003</v>
      </c>
      <c r="BG11" s="44">
        <v>83.063231000000002</v>
      </c>
      <c r="BH11" s="42"/>
      <c r="BI11" s="44">
        <f>BG11+BH11</f>
        <v>83.063231000000002</v>
      </c>
      <c r="BJ11" s="44">
        <v>84.086021000000002</v>
      </c>
      <c r="BK11" s="42"/>
      <c r="BL11" s="44">
        <f>BJ11+BK11</f>
        <v>84.086021000000002</v>
      </c>
      <c r="BM11" s="44">
        <v>94.734397999999999</v>
      </c>
      <c r="BN11" s="42"/>
      <c r="BO11" s="44">
        <f>BM11+BN11</f>
        <v>94.734397999999999</v>
      </c>
      <c r="BP11" s="44">
        <v>90.410593000000006</v>
      </c>
      <c r="BQ11" s="42"/>
      <c r="BR11" s="44">
        <f>BP11+BQ11</f>
        <v>90.410593000000006</v>
      </c>
      <c r="BS11" s="44">
        <v>93.339303999999998</v>
      </c>
      <c r="BT11" s="42"/>
      <c r="BU11" s="44">
        <f>BS11+BT11</f>
        <v>93.339303999999998</v>
      </c>
      <c r="BV11" s="44">
        <v>103.03165300000001</v>
      </c>
      <c r="BW11" s="42"/>
      <c r="BX11" s="44">
        <f>BV11+BW11</f>
        <v>103.03165300000001</v>
      </c>
      <c r="BY11" s="44">
        <v>93.057760000000002</v>
      </c>
      <c r="BZ11" s="42"/>
      <c r="CA11" s="44">
        <f>BY11+BZ11</f>
        <v>93.057760000000002</v>
      </c>
      <c r="CB11" s="44">
        <v>84.787672999999998</v>
      </c>
      <c r="CC11" s="42"/>
      <c r="CD11" s="44">
        <f>CB11+CC11</f>
        <v>84.787672999999998</v>
      </c>
      <c r="CE11" s="44">
        <v>99.727879000000001</v>
      </c>
      <c r="CF11" s="42"/>
      <c r="CG11" s="44">
        <f>CE11+CF11</f>
        <v>99.727879000000001</v>
      </c>
      <c r="CH11" s="44">
        <v>89.687014000000005</v>
      </c>
      <c r="CI11" s="42"/>
      <c r="CJ11" s="44">
        <f>CH11+CI11</f>
        <v>89.687014000000005</v>
      </c>
      <c r="CK11" s="44">
        <v>112.20083099999999</v>
      </c>
      <c r="CL11" s="42"/>
      <c r="CM11" s="44">
        <f>CK11+CL11</f>
        <v>112.20083099999999</v>
      </c>
      <c r="CN11" s="50">
        <f t="shared" si="20"/>
        <v>1108.0879180000002</v>
      </c>
      <c r="CO11" s="50"/>
      <c r="CP11" s="50">
        <f t="shared" si="21"/>
        <v>1108.0879180000002</v>
      </c>
      <c r="CQ11" s="50">
        <v>1108.0879190000001</v>
      </c>
      <c r="CR11" s="44">
        <v>89.693566000000004</v>
      </c>
      <c r="CS11" s="42"/>
      <c r="CT11" s="44">
        <f>CR11+CS11</f>
        <v>89.693566000000004</v>
      </c>
      <c r="CU11" s="44">
        <v>84.024947999999995</v>
      </c>
      <c r="CV11" s="44"/>
      <c r="CW11" s="44">
        <v>84.024947999999995</v>
      </c>
      <c r="CX11" s="44">
        <v>85.725476</v>
      </c>
      <c r="CY11" s="44"/>
      <c r="CZ11" s="44">
        <v>85.725476</v>
      </c>
      <c r="DA11" s="44">
        <v>93.532387999999997</v>
      </c>
      <c r="DB11" s="44"/>
      <c r="DC11" s="44">
        <v>93.532387999999997</v>
      </c>
      <c r="DD11" s="44">
        <v>100.644696</v>
      </c>
      <c r="DE11" s="44"/>
      <c r="DF11" s="44">
        <v>100.644696</v>
      </c>
      <c r="DG11" s="44">
        <v>94.334593999999996</v>
      </c>
      <c r="DH11" s="44"/>
      <c r="DI11" s="44">
        <v>94.334593999999996</v>
      </c>
      <c r="DJ11" s="44">
        <v>107.18071999999999</v>
      </c>
      <c r="DK11" s="44"/>
      <c r="DL11" s="44">
        <v>107.18071999999999</v>
      </c>
      <c r="DM11" s="44">
        <v>97.349892999999994</v>
      </c>
      <c r="DN11" s="44"/>
      <c r="DO11" s="44">
        <v>97.349892999999994</v>
      </c>
      <c r="DP11" s="44">
        <v>89.118943000000002</v>
      </c>
      <c r="DQ11" s="44"/>
      <c r="DR11" s="44">
        <v>89.118943000000002</v>
      </c>
      <c r="DS11" s="44">
        <v>96.520438999999996</v>
      </c>
      <c r="DT11" s="44"/>
      <c r="DU11" s="44">
        <v>96.520438999999996</v>
      </c>
      <c r="DV11" s="44">
        <v>95.151610000000005</v>
      </c>
      <c r="DW11" s="44"/>
      <c r="DX11" s="44">
        <v>95.151610000000005</v>
      </c>
      <c r="DY11" s="44">
        <v>114.859921</v>
      </c>
      <c r="DZ11" s="44"/>
      <c r="EA11" s="44">
        <v>114.859921</v>
      </c>
      <c r="EB11" s="44">
        <f t="shared" si="22"/>
        <v>1148.1371939999999</v>
      </c>
      <c r="EC11" s="50">
        <f t="shared" si="23"/>
        <v>0</v>
      </c>
      <c r="ED11" s="50">
        <f t="shared" si="24"/>
        <v>1148.1371939999999</v>
      </c>
      <c r="EE11" s="140">
        <v>1148.1371939999999</v>
      </c>
      <c r="EF11" s="50">
        <v>97.085406000000006</v>
      </c>
      <c r="EG11" s="50"/>
      <c r="EH11" s="50">
        <v>97.085406000000006</v>
      </c>
      <c r="EI11" s="50">
        <v>91.006968000000001</v>
      </c>
      <c r="EJ11" s="50"/>
      <c r="EK11" s="50">
        <v>91.006968000000001</v>
      </c>
      <c r="EL11" s="50">
        <v>90.754022000000006</v>
      </c>
      <c r="EM11" s="50"/>
      <c r="EN11" s="50">
        <v>90.754022000000006</v>
      </c>
      <c r="EO11" s="50">
        <v>101.163856</v>
      </c>
      <c r="EP11" s="50"/>
      <c r="EQ11" s="50">
        <v>101.163856</v>
      </c>
      <c r="ER11" s="50">
        <v>93.965574000000004</v>
      </c>
      <c r="ES11" s="50"/>
      <c r="ET11" s="50">
        <v>93.965574000000004</v>
      </c>
      <c r="EU11" s="50">
        <v>104.25132600000001</v>
      </c>
      <c r="EV11" s="50"/>
      <c r="EW11" s="50">
        <v>104.25132600000001</v>
      </c>
      <c r="EX11" s="50">
        <v>110.916147</v>
      </c>
      <c r="EY11" s="50"/>
      <c r="EZ11" s="50">
        <v>110.916147</v>
      </c>
      <c r="FA11" s="50">
        <v>101.328467</v>
      </c>
      <c r="FB11" s="50"/>
      <c r="FC11" s="50">
        <v>101.328467</v>
      </c>
      <c r="FD11" s="50">
        <v>100.211185</v>
      </c>
      <c r="FE11" s="50"/>
      <c r="FF11" s="50">
        <v>100.211185</v>
      </c>
      <c r="FG11" s="50">
        <v>105.63443100000001</v>
      </c>
      <c r="FH11" s="50"/>
      <c r="FI11" s="50">
        <v>105.63443100000001</v>
      </c>
      <c r="FJ11" s="50">
        <v>107.702468</v>
      </c>
      <c r="FK11" s="50"/>
      <c r="FL11" s="50">
        <v>107.702468</v>
      </c>
      <c r="FM11" s="50">
        <v>129.17362900000001</v>
      </c>
      <c r="FN11" s="50"/>
      <c r="FO11" s="50">
        <v>129.17362900000001</v>
      </c>
      <c r="FP11" s="50">
        <f t="shared" si="25"/>
        <v>1233.193479</v>
      </c>
      <c r="FQ11" s="50">
        <f t="shared" si="26"/>
        <v>0</v>
      </c>
      <c r="FR11" s="50">
        <f t="shared" si="27"/>
        <v>1233.193479</v>
      </c>
      <c r="FS11" s="94">
        <v>1233.193479</v>
      </c>
      <c r="FT11" s="50">
        <v>98.002229999999997</v>
      </c>
      <c r="FU11" s="50"/>
      <c r="FV11" s="50">
        <v>98.002229999999997</v>
      </c>
      <c r="FW11" s="50">
        <v>97.771570999999994</v>
      </c>
      <c r="FX11" s="50"/>
      <c r="FY11" s="50">
        <v>97.771570999999994</v>
      </c>
      <c r="FZ11" s="50">
        <v>96.890110000000007</v>
      </c>
      <c r="GA11" s="50"/>
      <c r="GB11" s="50">
        <v>96.890110000000007</v>
      </c>
      <c r="GC11" s="50">
        <v>107.183004</v>
      </c>
      <c r="GD11" s="50"/>
      <c r="GE11" s="50">
        <v>107.183004</v>
      </c>
      <c r="GF11" s="50">
        <v>109.771598</v>
      </c>
      <c r="GG11" s="50"/>
      <c r="GH11" s="50">
        <v>109.771598</v>
      </c>
      <c r="GI11" s="50">
        <v>116.0929</v>
      </c>
      <c r="GJ11" s="50"/>
      <c r="GK11" s="50">
        <v>116.0929</v>
      </c>
      <c r="GL11" s="50">
        <v>126.79255000000001</v>
      </c>
      <c r="GM11" s="50"/>
      <c r="GN11" s="50">
        <v>126.79255000000001</v>
      </c>
      <c r="GO11" s="50">
        <v>112.295321</v>
      </c>
      <c r="GP11" s="50"/>
      <c r="GQ11" s="50">
        <v>112.295321</v>
      </c>
      <c r="GR11" s="50">
        <v>110.60114</v>
      </c>
      <c r="GS11" s="50">
        <v>0</v>
      </c>
      <c r="GT11" s="50">
        <v>110.60114</v>
      </c>
      <c r="GU11" s="50">
        <v>114.420714</v>
      </c>
      <c r="GV11" s="50">
        <v>0</v>
      </c>
      <c r="GW11" s="50">
        <v>114.420714</v>
      </c>
      <c r="GX11" s="50">
        <v>116.726615</v>
      </c>
      <c r="GY11" s="50">
        <v>0</v>
      </c>
      <c r="GZ11" s="50">
        <v>116.726615</v>
      </c>
      <c r="HA11" s="50">
        <v>145.124449</v>
      </c>
      <c r="HB11" s="50">
        <v>0</v>
      </c>
      <c r="HC11" s="50">
        <v>145.124449</v>
      </c>
      <c r="HD11" s="50">
        <f t="shared" si="28"/>
        <v>1351.672202</v>
      </c>
      <c r="HE11" s="50">
        <f t="shared" si="29"/>
        <v>0</v>
      </c>
      <c r="HF11" s="50">
        <f t="shared" si="30"/>
        <v>1351.672202</v>
      </c>
      <c r="HG11" s="50">
        <v>1351.672202</v>
      </c>
      <c r="HH11" s="50">
        <v>115.73167100000001</v>
      </c>
      <c r="HI11" s="50">
        <v>0</v>
      </c>
      <c r="HJ11" s="50">
        <v>115.73167100000001</v>
      </c>
      <c r="HK11" s="50">
        <v>106.38451499999999</v>
      </c>
      <c r="HL11" s="50">
        <v>0</v>
      </c>
      <c r="HM11" s="50">
        <v>106.38451499999999</v>
      </c>
      <c r="HN11" s="50">
        <v>90.435056000000003</v>
      </c>
      <c r="HO11" s="50">
        <v>0</v>
      </c>
      <c r="HP11" s="50">
        <v>90.435056000000003</v>
      </c>
      <c r="HQ11" s="50">
        <v>93.254923000000005</v>
      </c>
      <c r="HR11" s="50">
        <v>0</v>
      </c>
      <c r="HS11" s="50">
        <v>93.254923000000005</v>
      </c>
      <c r="HT11" s="50">
        <v>103.674674</v>
      </c>
      <c r="HU11" s="50">
        <v>0</v>
      </c>
      <c r="HV11" s="50">
        <v>103.674674</v>
      </c>
      <c r="HW11" s="50">
        <v>123.37807599999999</v>
      </c>
      <c r="HX11" s="50">
        <v>0</v>
      </c>
      <c r="HY11" s="50">
        <v>123.37807599999999</v>
      </c>
      <c r="HZ11" s="50">
        <v>134.16996499999999</v>
      </c>
      <c r="IA11" s="50">
        <v>0</v>
      </c>
      <c r="IB11" s="50">
        <v>134.16996499999999</v>
      </c>
      <c r="IC11" s="50">
        <v>120.250175</v>
      </c>
      <c r="ID11" s="50">
        <v>0</v>
      </c>
      <c r="IE11" s="50">
        <v>120.250175</v>
      </c>
      <c r="IF11" s="50">
        <v>107.083654</v>
      </c>
      <c r="IG11" s="50">
        <v>0</v>
      </c>
      <c r="IH11" s="50">
        <v>107.083654</v>
      </c>
      <c r="II11" s="50">
        <v>127.581835</v>
      </c>
      <c r="IJ11" s="50">
        <v>0</v>
      </c>
      <c r="IK11" s="50">
        <v>127.581835</v>
      </c>
      <c r="IL11" s="50">
        <v>122.899309</v>
      </c>
      <c r="IM11" s="50">
        <v>0</v>
      </c>
      <c r="IN11" s="50">
        <v>122.899309</v>
      </c>
      <c r="IO11" s="50">
        <v>142.97756899999999</v>
      </c>
      <c r="IP11" s="50">
        <v>0</v>
      </c>
      <c r="IQ11" s="50">
        <v>142.97756899999999</v>
      </c>
      <c r="IR11" s="44">
        <f t="shared" si="34"/>
        <v>1387.821422</v>
      </c>
      <c r="IS11" s="50">
        <f t="shared" si="35"/>
        <v>0</v>
      </c>
      <c r="IT11" s="50">
        <f t="shared" si="36"/>
        <v>1387.821422</v>
      </c>
      <c r="IU11" s="50">
        <v>1387.8214210000001</v>
      </c>
      <c r="IV11" s="44">
        <v>117.68862300000001</v>
      </c>
      <c r="IW11" s="50">
        <v>0</v>
      </c>
      <c r="IX11" s="50">
        <v>117.68862300000001</v>
      </c>
      <c r="IY11" s="44">
        <v>115.872754</v>
      </c>
      <c r="IZ11" s="50">
        <v>0</v>
      </c>
      <c r="JA11" s="50">
        <v>115.872754</v>
      </c>
      <c r="JB11" s="44">
        <v>89.710254000000006</v>
      </c>
      <c r="JC11" s="50">
        <v>0</v>
      </c>
      <c r="JD11" s="50">
        <v>89.710254000000006</v>
      </c>
      <c r="JE11" s="44">
        <v>107.438275</v>
      </c>
      <c r="JF11" s="50">
        <v>0</v>
      </c>
      <c r="JG11" s="50">
        <v>107.438275</v>
      </c>
      <c r="JH11" s="44">
        <v>118.65284</v>
      </c>
      <c r="JI11" s="50">
        <v>0</v>
      </c>
      <c r="JJ11" s="50">
        <v>118.65284</v>
      </c>
      <c r="JK11" s="44">
        <v>124.832482</v>
      </c>
      <c r="JL11" s="50">
        <v>0</v>
      </c>
      <c r="JM11" s="50">
        <v>124.832482</v>
      </c>
      <c r="JN11" s="44">
        <v>138.559091</v>
      </c>
      <c r="JO11" s="50">
        <v>0</v>
      </c>
      <c r="JP11" s="50">
        <v>138.559091</v>
      </c>
      <c r="JQ11" s="44">
        <v>129.14413400000001</v>
      </c>
      <c r="JR11" s="50">
        <v>0</v>
      </c>
      <c r="JS11" s="50">
        <v>129.14413400000001</v>
      </c>
      <c r="JT11" s="44">
        <v>143.71263200000001</v>
      </c>
      <c r="JU11" s="50">
        <v>0</v>
      </c>
      <c r="JV11" s="50">
        <v>143.71263200000001</v>
      </c>
      <c r="JW11" s="44">
        <v>135.604344</v>
      </c>
      <c r="JX11" s="50">
        <v>0</v>
      </c>
      <c r="JY11" s="50">
        <v>135.604344</v>
      </c>
      <c r="JZ11" s="44">
        <v>141.544217</v>
      </c>
      <c r="KA11" s="50">
        <v>0</v>
      </c>
      <c r="KB11" s="50">
        <v>141.544217</v>
      </c>
      <c r="KC11" s="44">
        <v>177.631474</v>
      </c>
      <c r="KD11" s="50">
        <v>0</v>
      </c>
      <c r="KE11" s="50">
        <v>177.631474</v>
      </c>
      <c r="KF11" s="44">
        <f t="shared" si="37"/>
        <v>1540.39112</v>
      </c>
      <c r="KG11" s="50">
        <f t="shared" si="3"/>
        <v>0</v>
      </c>
      <c r="KH11" s="50">
        <f t="shared" si="4"/>
        <v>1540.39112</v>
      </c>
      <c r="KI11" s="50">
        <v>1540.3911189999999</v>
      </c>
      <c r="KJ11" s="44">
        <v>159.55956599999999</v>
      </c>
      <c r="KK11" s="50">
        <v>0</v>
      </c>
      <c r="KL11" s="50">
        <v>159.55956599999999</v>
      </c>
      <c r="KM11" s="44">
        <v>126.235911</v>
      </c>
      <c r="KN11" s="50">
        <v>0</v>
      </c>
      <c r="KO11" s="50">
        <v>126.235911</v>
      </c>
      <c r="KP11" s="44">
        <v>76.168367000000003</v>
      </c>
      <c r="KQ11" s="50">
        <v>0</v>
      </c>
      <c r="KR11" s="50">
        <v>76.168367000000003</v>
      </c>
      <c r="KS11" s="50">
        <v>103.330609</v>
      </c>
      <c r="KT11" s="50"/>
      <c r="KU11" s="50">
        <v>103.330609</v>
      </c>
      <c r="KV11" s="50">
        <v>97.840258000000006</v>
      </c>
      <c r="KW11" s="50">
        <v>0</v>
      </c>
      <c r="KX11" s="50">
        <v>97.840258000000006</v>
      </c>
      <c r="KY11" s="50">
        <v>109.41395300000001</v>
      </c>
      <c r="KZ11" s="50">
        <v>0</v>
      </c>
      <c r="LA11" s="50">
        <v>109.41395300000001</v>
      </c>
      <c r="LB11" s="44">
        <v>131.52976000000001</v>
      </c>
      <c r="LC11" s="50">
        <v>0</v>
      </c>
      <c r="LD11" s="50">
        <v>131.52976000000001</v>
      </c>
      <c r="LE11" s="44">
        <v>121.996906</v>
      </c>
      <c r="LF11" s="44"/>
      <c r="LG11" s="44">
        <v>121.996906</v>
      </c>
      <c r="LH11" s="44">
        <v>122.455496</v>
      </c>
      <c r="LI11" s="50">
        <v>0</v>
      </c>
      <c r="LJ11" s="50">
        <v>122.455496</v>
      </c>
      <c r="LK11" s="44">
        <v>134.800918</v>
      </c>
      <c r="LL11" s="50">
        <v>0</v>
      </c>
      <c r="LM11" s="50">
        <v>134.800918</v>
      </c>
      <c r="LN11" s="44">
        <v>128.90581499999999</v>
      </c>
      <c r="LO11" s="50">
        <v>0</v>
      </c>
      <c r="LP11" s="50">
        <v>128.90581499999999</v>
      </c>
      <c r="LQ11" s="44">
        <v>144.123896</v>
      </c>
      <c r="LR11" s="50">
        <v>0</v>
      </c>
      <c r="LS11" s="50">
        <v>144.123896</v>
      </c>
      <c r="LT11" s="44">
        <f t="shared" ref="LT11:LV57" si="58">KJ11+KM11+KP11+KS11+KV11+KY11+LB11+LE11+LH11+LK11+LN11+LQ11</f>
        <v>1456.361455</v>
      </c>
      <c r="LU11" s="50">
        <f t="shared" si="5"/>
        <v>0</v>
      </c>
      <c r="LV11" s="50">
        <f t="shared" si="5"/>
        <v>1456.361455</v>
      </c>
      <c r="LW11" s="50">
        <v>1456.361453</v>
      </c>
      <c r="LX11" s="44">
        <v>117.03098199999999</v>
      </c>
      <c r="LY11" s="50">
        <v>0</v>
      </c>
      <c r="LZ11" s="50">
        <v>117.03098199999999</v>
      </c>
      <c r="MA11" s="44">
        <v>118.974334</v>
      </c>
      <c r="MB11" s="50">
        <v>0</v>
      </c>
      <c r="MC11" s="50">
        <v>118.974334</v>
      </c>
      <c r="MD11" s="44">
        <v>107.637855</v>
      </c>
      <c r="ME11" s="50">
        <v>0</v>
      </c>
      <c r="MF11" s="50">
        <v>107.637855</v>
      </c>
      <c r="MG11" s="44">
        <v>47.985653999999997</v>
      </c>
      <c r="MH11" s="50">
        <v>0</v>
      </c>
      <c r="MI11" s="50">
        <v>47.985653999999997</v>
      </c>
      <c r="MJ11" s="44">
        <v>128.628454</v>
      </c>
      <c r="MK11" s="50">
        <v>0</v>
      </c>
      <c r="ML11" s="50">
        <v>128.628454</v>
      </c>
      <c r="MM11" s="44">
        <v>98.617598000000001</v>
      </c>
      <c r="MN11" s="50">
        <v>0</v>
      </c>
      <c r="MO11" s="50">
        <v>98.617598000000001</v>
      </c>
      <c r="MP11" s="44">
        <v>125.74022248</v>
      </c>
      <c r="MQ11" s="50">
        <v>0</v>
      </c>
      <c r="MR11" s="50">
        <v>125.74022248</v>
      </c>
      <c r="MS11" s="44">
        <v>120.080782</v>
      </c>
      <c r="MT11" s="50">
        <v>0</v>
      </c>
      <c r="MU11" s="50">
        <v>120.080782</v>
      </c>
      <c r="MV11" s="44">
        <v>116.046762</v>
      </c>
      <c r="MW11" s="50">
        <v>0</v>
      </c>
      <c r="MX11" s="50">
        <v>116.046762</v>
      </c>
      <c r="MY11" s="44">
        <v>178.98926399999999</v>
      </c>
      <c r="MZ11" s="50">
        <v>0</v>
      </c>
      <c r="NA11" s="50">
        <v>178.98926399999999</v>
      </c>
      <c r="NB11" s="44">
        <v>125.556346</v>
      </c>
      <c r="NC11" s="50">
        <v>0</v>
      </c>
      <c r="ND11" s="50">
        <v>125.556346</v>
      </c>
      <c r="NE11" s="44">
        <v>164.730637</v>
      </c>
      <c r="NF11" s="50">
        <v>0</v>
      </c>
      <c r="NG11" s="50">
        <v>164.730637</v>
      </c>
      <c r="NH11" s="44">
        <f t="shared" ref="NH11:NH24" si="59">LX11+MA11+MD11+MG11+MJ11+MM11+MP11+MS11+MV11+MY11+NB11+NE11</f>
        <v>1450.0188904800002</v>
      </c>
      <c r="NI11" s="50">
        <f t="shared" si="6"/>
        <v>0</v>
      </c>
      <c r="NJ11" s="50">
        <f t="shared" si="7"/>
        <v>1450.0188904800002</v>
      </c>
      <c r="NK11" s="50">
        <v>1450.0188900000001</v>
      </c>
      <c r="NL11" s="50">
        <v>171.30583899999999</v>
      </c>
      <c r="NM11" s="50">
        <v>0</v>
      </c>
      <c r="NN11" s="50">
        <v>171.30583899999999</v>
      </c>
      <c r="NO11" s="50">
        <v>137.784415</v>
      </c>
      <c r="NP11" s="50"/>
      <c r="NQ11" s="50">
        <v>137.784415</v>
      </c>
      <c r="NR11" s="50">
        <v>52.031827</v>
      </c>
      <c r="NS11" s="50"/>
      <c r="NT11" s="50">
        <v>52.031827</v>
      </c>
      <c r="NU11" s="50">
        <v>127.339305</v>
      </c>
      <c r="NV11" s="50"/>
      <c r="NW11" s="50">
        <v>127.339305</v>
      </c>
      <c r="NX11" s="50">
        <v>128.93878699999999</v>
      </c>
      <c r="NY11" s="50"/>
      <c r="NZ11" s="50">
        <v>128.93878699999999</v>
      </c>
      <c r="OA11" s="50">
        <v>144.473851</v>
      </c>
      <c r="OB11" s="50"/>
      <c r="OC11" s="50">
        <v>144.473851</v>
      </c>
      <c r="OD11" s="50">
        <v>165.49798100000001</v>
      </c>
      <c r="OE11" s="50"/>
      <c r="OF11" s="50">
        <v>165.49798100000001</v>
      </c>
      <c r="OG11" s="94">
        <v>151.43115700000001</v>
      </c>
      <c r="OH11" s="50"/>
      <c r="OI11" s="94">
        <v>151.43115700000001</v>
      </c>
      <c r="OJ11" s="50">
        <v>156.17481599999999</v>
      </c>
      <c r="OK11" s="50"/>
      <c r="OL11" s="50">
        <v>156.17481599999999</v>
      </c>
      <c r="OM11" s="50">
        <v>162.88252900000001</v>
      </c>
      <c r="ON11" s="50"/>
      <c r="OO11" s="50">
        <v>162.88252900000001</v>
      </c>
      <c r="OP11" s="50">
        <v>150.21546900000001</v>
      </c>
      <c r="OQ11" s="50"/>
      <c r="OR11" s="50">
        <v>150.21546900000001</v>
      </c>
      <c r="OS11" s="50">
        <v>149.74230600000001</v>
      </c>
      <c r="OT11" s="50"/>
      <c r="OU11" s="50">
        <v>149.74230600000001</v>
      </c>
      <c r="OV11" s="44">
        <f t="shared" ref="OV11:OV24" si="60">NL11+NO11+NR11+NU11+NX11+OA11+OD11+OG11+OJ11+OM11+OP11+OS11</f>
        <v>1697.818282</v>
      </c>
      <c r="OW11" s="50">
        <f t="shared" si="8"/>
        <v>0</v>
      </c>
      <c r="OX11" s="50">
        <f t="shared" si="9"/>
        <v>1697.818282</v>
      </c>
      <c r="OY11" s="85">
        <v>1697.818282</v>
      </c>
      <c r="OZ11" s="85">
        <v>179.71793</v>
      </c>
      <c r="PA11" s="50"/>
      <c r="PB11" s="50">
        <v>179.71793</v>
      </c>
      <c r="PC11" s="50">
        <v>153.10017199999999</v>
      </c>
      <c r="PD11" s="50"/>
      <c r="PE11" s="50">
        <v>153.10017199999999</v>
      </c>
      <c r="PF11" s="85">
        <v>64.863361999999995</v>
      </c>
      <c r="PG11" s="50"/>
      <c r="PH11" s="50">
        <v>64.863361999999995</v>
      </c>
      <c r="PI11" s="85">
        <v>121.005199</v>
      </c>
      <c r="PJ11" s="50"/>
      <c r="PK11" s="50">
        <v>121.005199</v>
      </c>
      <c r="PL11" s="50">
        <v>162.79499899999999</v>
      </c>
      <c r="PM11" s="50"/>
      <c r="PN11" s="50">
        <v>162.79499899999999</v>
      </c>
      <c r="PO11" s="50">
        <v>165.075782</v>
      </c>
      <c r="PP11" s="50"/>
      <c r="PQ11" s="50">
        <v>165.075782</v>
      </c>
      <c r="PR11" s="50">
        <v>192.81986699999999</v>
      </c>
      <c r="PS11" s="50"/>
      <c r="PT11" s="50">
        <v>192.81986699999999</v>
      </c>
      <c r="PU11" s="50">
        <v>175.01431700000001</v>
      </c>
      <c r="PV11" s="50"/>
      <c r="PW11" s="50">
        <v>175.01431700000001</v>
      </c>
      <c r="PX11" s="50">
        <v>148.652749</v>
      </c>
      <c r="PY11" s="50"/>
      <c r="PZ11" s="50">
        <v>148.652749</v>
      </c>
      <c r="QA11" s="50">
        <v>165.91998599999999</v>
      </c>
      <c r="QB11" s="50"/>
      <c r="QC11" s="50">
        <v>165.91998599999999</v>
      </c>
      <c r="QD11" s="50">
        <v>172.51473200000001</v>
      </c>
      <c r="QE11" s="50"/>
      <c r="QF11" s="50">
        <v>172.51473200000001</v>
      </c>
      <c r="QG11" s="50">
        <v>174.231989</v>
      </c>
      <c r="QH11" s="50"/>
      <c r="QI11" s="50">
        <v>174.231989</v>
      </c>
      <c r="QJ11" s="44">
        <f t="shared" si="38"/>
        <v>1875.711084</v>
      </c>
      <c r="QK11" s="50">
        <f t="shared" si="39"/>
        <v>0</v>
      </c>
      <c r="QL11" s="50">
        <f t="shared" si="40"/>
        <v>1875.711084</v>
      </c>
      <c r="QM11" s="50">
        <v>1875.7110829999999</v>
      </c>
      <c r="QN11" s="50">
        <v>202.71742800000001</v>
      </c>
      <c r="QO11" s="50"/>
      <c r="QP11" s="50">
        <v>202.71742800000001</v>
      </c>
      <c r="QQ11" s="50">
        <v>181.062073</v>
      </c>
      <c r="QR11" s="50"/>
      <c r="QS11" s="50">
        <v>181.062073</v>
      </c>
      <c r="QT11" s="50">
        <v>64.121870000000001</v>
      </c>
      <c r="QU11" s="50"/>
      <c r="QV11" s="50">
        <v>64.121870000000001</v>
      </c>
      <c r="QW11" s="50">
        <v>147.922135</v>
      </c>
      <c r="QX11" s="50"/>
      <c r="QY11" s="50">
        <v>147.922135</v>
      </c>
      <c r="QZ11" s="50">
        <v>161.22831500000001</v>
      </c>
      <c r="RA11" s="50"/>
      <c r="RB11" s="50">
        <v>161.22831500000001</v>
      </c>
      <c r="RC11" s="50">
        <v>176.71428800000001</v>
      </c>
      <c r="RD11" s="50"/>
      <c r="RE11" s="50">
        <v>176.71428800000001</v>
      </c>
      <c r="RF11" s="50">
        <v>206.444976</v>
      </c>
      <c r="RG11" s="50"/>
      <c r="RH11" s="50">
        <v>206.444976</v>
      </c>
      <c r="RI11" s="50">
        <v>198.09085899999999</v>
      </c>
      <c r="RJ11" s="50"/>
      <c r="RK11" s="50">
        <v>198.09085899999999</v>
      </c>
      <c r="RL11" s="50">
        <v>186.997107</v>
      </c>
      <c r="RM11" s="50"/>
      <c r="RN11" s="50">
        <v>186.997107</v>
      </c>
      <c r="RO11" s="50">
        <v>197.04398</v>
      </c>
      <c r="RP11" s="50"/>
      <c r="RQ11" s="50">
        <v>197.04398</v>
      </c>
      <c r="RR11" s="50">
        <v>192.34477200000001</v>
      </c>
      <c r="RS11" s="50"/>
      <c r="RT11" s="50">
        <v>192.34477200000001</v>
      </c>
      <c r="RU11" s="50">
        <v>193.55946800000001</v>
      </c>
      <c r="RV11" s="50"/>
      <c r="RW11" s="50">
        <v>193.55946800000001</v>
      </c>
      <c r="RX11" s="44">
        <f t="shared" si="41"/>
        <v>2108.2472709999997</v>
      </c>
      <c r="RY11" s="50">
        <f t="shared" si="42"/>
        <v>0</v>
      </c>
      <c r="RZ11" s="50">
        <f t="shared" si="43"/>
        <v>2108.2472709999997</v>
      </c>
      <c r="SA11" s="50">
        <v>2108.2472710000002</v>
      </c>
      <c r="SB11" s="50">
        <v>156.49279100000001</v>
      </c>
      <c r="SC11" s="50"/>
      <c r="SD11" s="50">
        <v>156.49279100000001</v>
      </c>
      <c r="SE11" s="50">
        <v>156.492786</v>
      </c>
      <c r="SF11" s="50"/>
      <c r="SG11" s="50">
        <v>156.492786</v>
      </c>
      <c r="SH11" s="50">
        <v>156.492797</v>
      </c>
      <c r="SI11" s="50"/>
      <c r="SJ11" s="50">
        <v>156.492797</v>
      </c>
      <c r="SK11" s="50">
        <v>163.60609500000001</v>
      </c>
      <c r="SL11" s="50"/>
      <c r="SM11" s="50">
        <v>163.60609500000001</v>
      </c>
      <c r="SN11" s="50">
        <f t="shared" si="44"/>
        <v>163.606098</v>
      </c>
      <c r="SO11" s="50"/>
      <c r="SP11" s="50">
        <v>163.606098</v>
      </c>
      <c r="SQ11" s="50">
        <v>163.606099</v>
      </c>
      <c r="SR11" s="50"/>
      <c r="SS11" s="50">
        <v>163.606099</v>
      </c>
      <c r="ST11" s="50">
        <v>192.059327</v>
      </c>
      <c r="SU11" s="50"/>
      <c r="SV11" s="50">
        <v>192.059327</v>
      </c>
      <c r="SW11" s="50">
        <v>192.059336</v>
      </c>
      <c r="SX11" s="50"/>
      <c r="SY11" s="50">
        <v>192.059336</v>
      </c>
      <c r="SZ11" s="50">
        <v>192.05933400000001</v>
      </c>
      <c r="TA11" s="50"/>
      <c r="TB11" s="50">
        <v>192.05933400000001</v>
      </c>
      <c r="TC11" s="50">
        <v>199.17263800000001</v>
      </c>
      <c r="TD11" s="50"/>
      <c r="TE11" s="50">
        <v>199.17263800000001</v>
      </c>
      <c r="TF11" s="50">
        <v>199.172641</v>
      </c>
      <c r="TG11" s="50"/>
      <c r="TH11" s="50">
        <v>199.172641</v>
      </c>
      <c r="TI11" s="50">
        <v>224.42823999999999</v>
      </c>
      <c r="TJ11" s="50"/>
      <c r="TK11" s="50">
        <v>224.42823999999999</v>
      </c>
      <c r="TL11" s="44">
        <f t="shared" si="45"/>
        <v>2159.2481820000003</v>
      </c>
      <c r="TM11" s="50">
        <f t="shared" si="46"/>
        <v>0</v>
      </c>
      <c r="TN11" s="50">
        <f t="shared" si="47"/>
        <v>2159.2481820000003</v>
      </c>
      <c r="TO11" s="50">
        <v>167.03264100000001</v>
      </c>
      <c r="TP11" s="50"/>
      <c r="TQ11" s="50">
        <v>167.03264100000001</v>
      </c>
      <c r="TR11" s="50">
        <f t="shared" si="48"/>
        <v>167.032633</v>
      </c>
      <c r="TS11" s="50"/>
      <c r="TT11" s="50">
        <v>167.032633</v>
      </c>
      <c r="TU11" s="50">
        <v>167.032634</v>
      </c>
      <c r="TV11" s="50"/>
      <c r="TW11" s="50">
        <v>167.032634</v>
      </c>
      <c r="TX11" s="50">
        <f t="shared" si="49"/>
        <v>174.625032</v>
      </c>
      <c r="TY11" s="50"/>
      <c r="TZ11" s="50">
        <v>174.625032</v>
      </c>
      <c r="UA11" s="50"/>
      <c r="UB11" s="50"/>
      <c r="UC11" s="50"/>
      <c r="UD11" s="50"/>
      <c r="UE11" s="50"/>
      <c r="UF11" s="50"/>
      <c r="UG11" s="50"/>
      <c r="UH11" s="50"/>
      <c r="UI11" s="50"/>
      <c r="UJ11" s="50"/>
      <c r="UK11" s="50"/>
      <c r="UL11" s="50"/>
      <c r="UM11" s="50"/>
      <c r="UN11" s="50"/>
      <c r="UO11" s="50"/>
      <c r="UP11" s="50"/>
      <c r="UQ11" s="50"/>
      <c r="UR11" s="50"/>
      <c r="US11" s="50"/>
      <c r="UT11" s="50"/>
      <c r="UU11" s="50"/>
      <c r="UV11" s="50"/>
      <c r="UW11" s="50"/>
      <c r="UX11" s="50"/>
      <c r="UY11" s="292">
        <f t="shared" si="50"/>
        <v>633.08446900000001</v>
      </c>
      <c r="UZ11" s="276">
        <f t="shared" si="51"/>
        <v>0</v>
      </c>
      <c r="VA11" s="276">
        <f t="shared" si="52"/>
        <v>633.08446900000001</v>
      </c>
      <c r="VB11" s="292">
        <f t="shared" si="53"/>
        <v>675.72293999999999</v>
      </c>
      <c r="VC11" s="276">
        <f t="shared" si="54"/>
        <v>0</v>
      </c>
      <c r="VD11" s="276">
        <f t="shared" si="55"/>
        <v>675.72293999999999</v>
      </c>
      <c r="VE11" s="277">
        <f t="shared" si="56"/>
        <v>42.638470999999981</v>
      </c>
      <c r="VF11" s="277">
        <f t="shared" si="57"/>
        <v>6.7350366480085029</v>
      </c>
    </row>
    <row r="12" spans="1:578" s="12" customFormat="1" ht="20.5">
      <c r="A12" s="47" t="s">
        <v>49</v>
      </c>
      <c r="B12" s="13" t="s">
        <v>50</v>
      </c>
      <c r="C12" s="47" t="s">
        <v>234</v>
      </c>
      <c r="D12" s="42">
        <v>105.67766831150649</v>
      </c>
      <c r="E12" s="42">
        <v>100.57445176749137</v>
      </c>
      <c r="F12" s="42">
        <v>103.94152708294205</v>
      </c>
      <c r="G12" s="42">
        <v>127.57742983819102</v>
      </c>
      <c r="H12" s="42">
        <v>3.1348754418016971</v>
      </c>
      <c r="I12" s="42">
        <v>13.97823432991275</v>
      </c>
      <c r="J12" s="42">
        <v>35.951494299975522</v>
      </c>
      <c r="K12" s="42">
        <v>10.659422826278735</v>
      </c>
      <c r="L12" s="42">
        <v>22.208571664361614</v>
      </c>
      <c r="M12" s="42">
        <v>5.7630434658880718</v>
      </c>
      <c r="N12" s="42">
        <v>5.3420612290197553</v>
      </c>
      <c r="O12" s="42">
        <v>21.957868765687163</v>
      </c>
      <c r="P12" s="42">
        <v>4.5837758464664402</v>
      </c>
      <c r="Q12" s="42">
        <v>4.6589689301711426</v>
      </c>
      <c r="R12" s="42">
        <v>20.986851241597943</v>
      </c>
      <c r="S12" s="42">
        <v>7.5677742300840629</v>
      </c>
      <c r="T12" s="42">
        <v>156.79294227124493</v>
      </c>
      <c r="U12" s="42">
        <v>0</v>
      </c>
      <c r="V12" s="42">
        <v>156.79294227124493</v>
      </c>
      <c r="W12" s="42">
        <v>156.77573548243893</v>
      </c>
      <c r="X12" s="42">
        <v>3.6129603701743305</v>
      </c>
      <c r="Y12" s="42">
        <v>16.990284631277</v>
      </c>
      <c r="Z12" s="42">
        <v>29.596735362917684</v>
      </c>
      <c r="AA12" s="42">
        <v>21.119266538039057</v>
      </c>
      <c r="AB12" s="42">
        <v>24.045601618658974</v>
      </c>
      <c r="AC12" s="42">
        <v>6.1891978417880376</v>
      </c>
      <c r="AD12" s="42">
        <v>6.1216982259634269</v>
      </c>
      <c r="AE12" s="42">
        <v>22.723605727912762</v>
      </c>
      <c r="AF12" s="42">
        <v>4.236115616871845</v>
      </c>
      <c r="AG12" s="42">
        <v>5.9953628607691476</v>
      </c>
      <c r="AH12" s="42">
        <v>21.065214483696735</v>
      </c>
      <c r="AI12" s="42">
        <v>5.3560466360464654</v>
      </c>
      <c r="AJ12" s="42">
        <v>167.05208991411547</v>
      </c>
      <c r="AK12" s="42">
        <v>0</v>
      </c>
      <c r="AL12" s="42">
        <v>167.05208991411547</v>
      </c>
      <c r="AM12" s="42">
        <v>167.00477373492467</v>
      </c>
      <c r="AN12" s="42">
        <v>3.6808740416958359</v>
      </c>
      <c r="AO12" s="42">
        <v>19.10621453492012</v>
      </c>
      <c r="AP12" s="42">
        <v>31.891072048537005</v>
      </c>
      <c r="AQ12" s="42">
        <v>20.747337806842307</v>
      </c>
      <c r="AR12" s="42">
        <v>23.865966898310198</v>
      </c>
      <c r="AS12" s="42">
        <v>6.3096354033272437</v>
      </c>
      <c r="AT12" s="42">
        <v>7.1928603138286062</v>
      </c>
      <c r="AU12" s="42">
        <v>21.688408147933135</v>
      </c>
      <c r="AV12" s="42">
        <v>5.2232471642164819</v>
      </c>
      <c r="AW12" s="42">
        <v>6.878294659677521</v>
      </c>
      <c r="AX12" s="42">
        <v>19.854127181973922</v>
      </c>
      <c r="AY12" s="42">
        <v>6.270798117256021</v>
      </c>
      <c r="AZ12" s="42">
        <v>172.70883631851839</v>
      </c>
      <c r="BA12" s="42">
        <v>0</v>
      </c>
      <c r="BB12" s="42">
        <v>172.70883631851839</v>
      </c>
      <c r="BC12" s="42">
        <v>172.70610867325743</v>
      </c>
      <c r="BD12" s="49">
        <v>4.0550360000000003</v>
      </c>
      <c r="BE12" s="42"/>
      <c r="BF12" s="49">
        <f>BD12+BE12</f>
        <v>4.0550360000000003</v>
      </c>
      <c r="BG12" s="44">
        <v>25.579433999999999</v>
      </c>
      <c r="BH12" s="42"/>
      <c r="BI12" s="44">
        <f>BG12+BH12</f>
        <v>25.579433999999999</v>
      </c>
      <c r="BJ12" s="44">
        <v>43.415773999999999</v>
      </c>
      <c r="BK12" s="42"/>
      <c r="BL12" s="44">
        <f>BJ12+BK12</f>
        <v>43.415773999999999</v>
      </c>
      <c r="BM12" s="44">
        <v>12.063959000000001</v>
      </c>
      <c r="BN12" s="42"/>
      <c r="BO12" s="44">
        <f>BM12+BN12</f>
        <v>12.063959000000001</v>
      </c>
      <c r="BP12" s="44">
        <v>25.392818999999999</v>
      </c>
      <c r="BQ12" s="42"/>
      <c r="BR12" s="44">
        <f>BP12+BQ12</f>
        <v>25.392818999999999</v>
      </c>
      <c r="BS12" s="44">
        <v>6.4509819999999998</v>
      </c>
      <c r="BT12" s="42"/>
      <c r="BU12" s="44">
        <f>BS12+BT12</f>
        <v>6.4509819999999998</v>
      </c>
      <c r="BV12" s="44">
        <v>7.0207199999999998</v>
      </c>
      <c r="BW12" s="42"/>
      <c r="BX12" s="44">
        <f>BV12+BW12</f>
        <v>7.0207199999999998</v>
      </c>
      <c r="BY12" s="44">
        <v>23.694474</v>
      </c>
      <c r="BZ12" s="42"/>
      <c r="CA12" s="44">
        <f>BY12+BZ12</f>
        <v>23.694474</v>
      </c>
      <c r="CB12" s="44">
        <v>5.0737439999999996</v>
      </c>
      <c r="CC12" s="42"/>
      <c r="CD12" s="44">
        <f>CB12+CC12</f>
        <v>5.0737439999999996</v>
      </c>
      <c r="CE12" s="44">
        <v>7.3376549999999998</v>
      </c>
      <c r="CF12" s="42"/>
      <c r="CG12" s="44">
        <f>CE12+CF12</f>
        <v>7.3376549999999998</v>
      </c>
      <c r="CH12" s="44">
        <v>23.415497999999999</v>
      </c>
      <c r="CI12" s="42"/>
      <c r="CJ12" s="44">
        <f>CH12+CI12</f>
        <v>23.415497999999999</v>
      </c>
      <c r="CK12" s="44">
        <v>7.3989859999999998</v>
      </c>
      <c r="CL12" s="42"/>
      <c r="CM12" s="44">
        <f>CK12+CL12</f>
        <v>7.3989859999999998</v>
      </c>
      <c r="CN12" s="50">
        <f t="shared" si="20"/>
        <v>190.899081</v>
      </c>
      <c r="CO12" s="50"/>
      <c r="CP12" s="50">
        <f t="shared" si="21"/>
        <v>190.899081</v>
      </c>
      <c r="CQ12" s="50">
        <v>191.24964600000001</v>
      </c>
      <c r="CR12" s="44">
        <v>4.7886179999999996</v>
      </c>
      <c r="CS12" s="42"/>
      <c r="CT12" s="44">
        <f>CR12+CS12</f>
        <v>4.7886179999999996</v>
      </c>
      <c r="CU12" s="44">
        <v>28.565412999999999</v>
      </c>
      <c r="CV12" s="44"/>
      <c r="CW12" s="44">
        <v>28.565412999999999</v>
      </c>
      <c r="CX12" s="44">
        <v>45.153112</v>
      </c>
      <c r="CY12" s="44"/>
      <c r="CZ12" s="44">
        <v>45.153112</v>
      </c>
      <c r="DA12" s="44">
        <v>11.694807000000001</v>
      </c>
      <c r="DB12" s="44"/>
      <c r="DC12" s="44">
        <v>11.694807000000001</v>
      </c>
      <c r="DD12" s="44">
        <v>26.086065000000001</v>
      </c>
      <c r="DE12" s="44"/>
      <c r="DF12" s="44">
        <v>26.086065000000001</v>
      </c>
      <c r="DG12" s="44">
        <v>6.0001559999999996</v>
      </c>
      <c r="DH12" s="44"/>
      <c r="DI12" s="44">
        <v>6.0001559999999996</v>
      </c>
      <c r="DJ12" s="44">
        <v>7.051005</v>
      </c>
      <c r="DK12" s="44"/>
      <c r="DL12" s="44">
        <v>7.051005</v>
      </c>
      <c r="DM12" s="44">
        <v>24.455584999999999</v>
      </c>
      <c r="DN12" s="44"/>
      <c r="DO12" s="44">
        <v>24.455584999999999</v>
      </c>
      <c r="DP12" s="44">
        <v>5.5305150000000003</v>
      </c>
      <c r="DQ12" s="44"/>
      <c r="DR12" s="44">
        <v>5.5305150000000003</v>
      </c>
      <c r="DS12" s="44">
        <v>7.3822229999999998</v>
      </c>
      <c r="DT12" s="44"/>
      <c r="DU12" s="44">
        <v>7.3822229999999998</v>
      </c>
      <c r="DV12" s="44">
        <v>23.655939</v>
      </c>
      <c r="DW12" s="44"/>
      <c r="DX12" s="44">
        <v>23.655939</v>
      </c>
      <c r="DY12" s="44">
        <v>6.7271380000000001</v>
      </c>
      <c r="DZ12" s="44"/>
      <c r="EA12" s="44">
        <v>6.7271380000000001</v>
      </c>
      <c r="EB12" s="44">
        <f t="shared" si="22"/>
        <v>197.090576</v>
      </c>
      <c r="EC12" s="50">
        <f t="shared" si="23"/>
        <v>0</v>
      </c>
      <c r="ED12" s="50">
        <f t="shared" si="24"/>
        <v>197.090576</v>
      </c>
      <c r="EE12" s="140">
        <v>197.038668</v>
      </c>
      <c r="EF12" s="50">
        <v>4.4748070000000002</v>
      </c>
      <c r="EG12" s="50"/>
      <c r="EH12" s="50">
        <v>4.4748070000000002</v>
      </c>
      <c r="EI12" s="50">
        <v>29.509591</v>
      </c>
      <c r="EJ12" s="50"/>
      <c r="EK12" s="50">
        <v>29.509591</v>
      </c>
      <c r="EL12" s="50">
        <v>51.077643999999999</v>
      </c>
      <c r="EM12" s="50"/>
      <c r="EN12" s="50">
        <v>51.077643999999999</v>
      </c>
      <c r="EO12" s="50">
        <v>13.248222999999999</v>
      </c>
      <c r="EP12" s="50"/>
      <c r="EQ12" s="50">
        <v>13.248222999999999</v>
      </c>
      <c r="ER12" s="50">
        <v>31.310679</v>
      </c>
      <c r="ES12" s="50"/>
      <c r="ET12" s="50">
        <v>31.310679</v>
      </c>
      <c r="EU12" s="50">
        <v>6.6459409999999997</v>
      </c>
      <c r="EV12" s="50"/>
      <c r="EW12" s="50">
        <v>6.6459409999999997</v>
      </c>
      <c r="EX12" s="50">
        <v>7.0537799999999997</v>
      </c>
      <c r="EY12" s="50"/>
      <c r="EZ12" s="50">
        <v>7.0537799999999997</v>
      </c>
      <c r="FA12" s="50">
        <v>28.675729</v>
      </c>
      <c r="FB12" s="50"/>
      <c r="FC12" s="50">
        <v>28.675729</v>
      </c>
      <c r="FD12" s="50">
        <v>5.672148</v>
      </c>
      <c r="FE12" s="50"/>
      <c r="FF12" s="50">
        <v>5.672148</v>
      </c>
      <c r="FG12" s="50">
        <v>7.7820489999999998</v>
      </c>
      <c r="FH12" s="50"/>
      <c r="FI12" s="50">
        <v>7.7820489999999998</v>
      </c>
      <c r="FJ12" s="50">
        <v>27.787251000000001</v>
      </c>
      <c r="FK12" s="50"/>
      <c r="FL12" s="50">
        <v>27.787251000000001</v>
      </c>
      <c r="FM12" s="50">
        <v>6.6094499999999998</v>
      </c>
      <c r="FN12" s="50"/>
      <c r="FO12" s="50">
        <v>6.6094499999999998</v>
      </c>
      <c r="FP12" s="50">
        <f t="shared" si="25"/>
        <v>219.84729199999995</v>
      </c>
      <c r="FQ12" s="50">
        <f t="shared" si="26"/>
        <v>0</v>
      </c>
      <c r="FR12" s="50">
        <f t="shared" si="27"/>
        <v>219.84729199999995</v>
      </c>
      <c r="FS12" s="94">
        <v>219.87418600000001</v>
      </c>
      <c r="FT12" s="50">
        <v>6.0626290000000003</v>
      </c>
      <c r="FU12" s="50"/>
      <c r="FV12" s="50">
        <v>6.0626290000000003</v>
      </c>
      <c r="FW12" s="50">
        <v>31.506295999999999</v>
      </c>
      <c r="FX12" s="50"/>
      <c r="FY12" s="50">
        <v>31.506295999999999</v>
      </c>
      <c r="FZ12" s="50">
        <v>54.079510999999997</v>
      </c>
      <c r="GA12" s="50"/>
      <c r="GB12" s="50">
        <v>54.079510999999997</v>
      </c>
      <c r="GC12" s="50">
        <v>11.623670000000001</v>
      </c>
      <c r="GD12" s="50"/>
      <c r="GE12" s="50">
        <v>11.623670000000001</v>
      </c>
      <c r="GF12" s="50">
        <v>31.428075</v>
      </c>
      <c r="GG12" s="50"/>
      <c r="GH12" s="50">
        <v>31.428075</v>
      </c>
      <c r="GI12" s="50">
        <v>6.8424079999999998</v>
      </c>
      <c r="GJ12" s="50"/>
      <c r="GK12" s="50">
        <v>6.8424079999999998</v>
      </c>
      <c r="GL12" s="50">
        <v>7.5701520000000002</v>
      </c>
      <c r="GM12" s="50"/>
      <c r="GN12" s="50">
        <v>7.5701520000000002</v>
      </c>
      <c r="GO12" s="50">
        <v>29.985402000000001</v>
      </c>
      <c r="GP12" s="50"/>
      <c r="GQ12" s="50">
        <v>29.985402000000001</v>
      </c>
      <c r="GR12" s="50">
        <v>5.3143469999999997</v>
      </c>
      <c r="GS12" s="50">
        <v>0</v>
      </c>
      <c r="GT12" s="50">
        <v>5.3143469999999997</v>
      </c>
      <c r="GU12" s="50">
        <v>8.5019109999999998</v>
      </c>
      <c r="GV12" s="50">
        <v>0</v>
      </c>
      <c r="GW12" s="50">
        <v>8.5019109999999998</v>
      </c>
      <c r="GX12" s="50">
        <v>27.805133000000001</v>
      </c>
      <c r="GY12" s="50">
        <v>0</v>
      </c>
      <c r="GZ12" s="50">
        <v>27.805133000000001</v>
      </c>
      <c r="HA12" s="50">
        <v>7.4535980000000004</v>
      </c>
      <c r="HB12" s="50">
        <v>0</v>
      </c>
      <c r="HC12" s="50">
        <v>7.4535980000000004</v>
      </c>
      <c r="HD12" s="50">
        <f t="shared" si="28"/>
        <v>228.17313200000004</v>
      </c>
      <c r="HE12" s="50">
        <f t="shared" si="29"/>
        <v>0</v>
      </c>
      <c r="HF12" s="50">
        <f t="shared" si="30"/>
        <v>228.17313200000004</v>
      </c>
      <c r="HG12" s="50">
        <v>228.17187899999999</v>
      </c>
      <c r="HH12" s="50">
        <v>5.9222530000000004</v>
      </c>
      <c r="HI12" s="50">
        <v>0</v>
      </c>
      <c r="HJ12" s="50">
        <v>5.9222530000000004</v>
      </c>
      <c r="HK12" s="50">
        <v>32.504649000000001</v>
      </c>
      <c r="HL12" s="50">
        <v>0</v>
      </c>
      <c r="HM12" s="50">
        <v>32.504649000000001</v>
      </c>
      <c r="HN12" s="50">
        <v>39.786926000000001</v>
      </c>
      <c r="HO12" s="50">
        <v>0</v>
      </c>
      <c r="HP12" s="50">
        <v>39.786926000000001</v>
      </c>
      <c r="HQ12" s="50">
        <v>24.901619</v>
      </c>
      <c r="HR12" s="50">
        <v>0</v>
      </c>
      <c r="HS12" s="50">
        <v>24.901619</v>
      </c>
      <c r="HT12" s="50">
        <v>31.272884000000001</v>
      </c>
      <c r="HU12" s="50">
        <v>0</v>
      </c>
      <c r="HV12" s="50">
        <v>31.272884000000001</v>
      </c>
      <c r="HW12" s="50">
        <v>5.8552</v>
      </c>
      <c r="HX12" s="50">
        <v>0</v>
      </c>
      <c r="HY12" s="50">
        <v>5.8552</v>
      </c>
      <c r="HZ12" s="50">
        <v>7.3250039999999998</v>
      </c>
      <c r="IA12" s="50">
        <v>0</v>
      </c>
      <c r="IB12" s="50">
        <v>7.3250039999999998</v>
      </c>
      <c r="IC12" s="50">
        <v>29.459347999999999</v>
      </c>
      <c r="ID12" s="50">
        <v>0</v>
      </c>
      <c r="IE12" s="50">
        <v>29.459347999999999</v>
      </c>
      <c r="IF12" s="50">
        <v>4.7823130000000003</v>
      </c>
      <c r="IG12" s="50">
        <v>0</v>
      </c>
      <c r="IH12" s="50">
        <v>4.7823130000000003</v>
      </c>
      <c r="II12" s="50">
        <v>7.9282269999999997</v>
      </c>
      <c r="IJ12" s="50">
        <v>0</v>
      </c>
      <c r="IK12" s="50">
        <v>7.9282269999999997</v>
      </c>
      <c r="IL12" s="50">
        <v>27.051431000000001</v>
      </c>
      <c r="IM12" s="50">
        <v>0</v>
      </c>
      <c r="IN12" s="50">
        <v>27.051431000000001</v>
      </c>
      <c r="IO12" s="50">
        <v>6.353415</v>
      </c>
      <c r="IP12" s="50">
        <v>0</v>
      </c>
      <c r="IQ12" s="50">
        <v>6.353415</v>
      </c>
      <c r="IR12" s="44">
        <f t="shared" si="34"/>
        <v>223.143269</v>
      </c>
      <c r="IS12" s="50">
        <f t="shared" si="35"/>
        <v>0</v>
      </c>
      <c r="IT12" s="50">
        <f t="shared" si="36"/>
        <v>223.143269</v>
      </c>
      <c r="IU12" s="50">
        <v>223.14291600000001</v>
      </c>
      <c r="IV12" s="44">
        <v>5.9286909999999997</v>
      </c>
      <c r="IW12" s="50">
        <v>0</v>
      </c>
      <c r="IX12" s="50">
        <v>5.9286909999999997</v>
      </c>
      <c r="IY12" s="44">
        <v>33.922662000000003</v>
      </c>
      <c r="IZ12" s="50">
        <v>0</v>
      </c>
      <c r="JA12" s="50">
        <v>33.922662000000003</v>
      </c>
      <c r="JB12" s="44">
        <v>47.181928999999997</v>
      </c>
      <c r="JC12" s="50">
        <v>0</v>
      </c>
      <c r="JD12" s="50">
        <v>47.181928999999997</v>
      </c>
      <c r="JE12" s="44">
        <v>19.182435999999999</v>
      </c>
      <c r="JF12" s="50">
        <v>0</v>
      </c>
      <c r="JG12" s="50">
        <v>19.182435999999999</v>
      </c>
      <c r="JH12" s="44">
        <v>31.460999000000001</v>
      </c>
      <c r="JI12" s="50">
        <v>0</v>
      </c>
      <c r="JJ12" s="50">
        <v>31.460999000000001</v>
      </c>
      <c r="JK12" s="44">
        <v>5.9661379999999999</v>
      </c>
      <c r="JL12" s="50">
        <v>0</v>
      </c>
      <c r="JM12" s="50">
        <v>5.9661379999999999</v>
      </c>
      <c r="JN12" s="44">
        <v>7.6577250000000001</v>
      </c>
      <c r="JO12" s="50">
        <v>0</v>
      </c>
      <c r="JP12" s="50">
        <v>7.6577250000000001</v>
      </c>
      <c r="JQ12" s="44">
        <v>29.15448</v>
      </c>
      <c r="JR12" s="50">
        <v>0</v>
      </c>
      <c r="JS12" s="50">
        <v>29.15448</v>
      </c>
      <c r="JT12" s="44">
        <v>5.5185599999999999</v>
      </c>
      <c r="JU12" s="50">
        <v>0</v>
      </c>
      <c r="JV12" s="50">
        <v>5.5185599999999999</v>
      </c>
      <c r="JW12" s="44">
        <v>7.6759680000000001</v>
      </c>
      <c r="JX12" s="50">
        <v>0</v>
      </c>
      <c r="JY12" s="50">
        <v>7.6759680000000001</v>
      </c>
      <c r="JZ12" s="44">
        <v>26.173223</v>
      </c>
      <c r="KA12" s="50">
        <v>0</v>
      </c>
      <c r="KB12" s="50">
        <v>26.173223</v>
      </c>
      <c r="KC12" s="44">
        <v>6.6169659999999997</v>
      </c>
      <c r="KD12" s="50">
        <v>0</v>
      </c>
      <c r="KE12" s="50">
        <v>6.6169659999999997</v>
      </c>
      <c r="KF12" s="44">
        <f t="shared" si="37"/>
        <v>226.43977700000002</v>
      </c>
      <c r="KG12" s="50">
        <f t="shared" si="3"/>
        <v>0</v>
      </c>
      <c r="KH12" s="50">
        <f t="shared" si="4"/>
        <v>226.43977700000002</v>
      </c>
      <c r="KI12" s="50">
        <v>226.43173999999999</v>
      </c>
      <c r="KJ12" s="44">
        <v>14.609762999999999</v>
      </c>
      <c r="KK12" s="50">
        <v>0</v>
      </c>
      <c r="KL12" s="50">
        <v>14.609762999999999</v>
      </c>
      <c r="KM12" s="44">
        <v>32.312716999999999</v>
      </c>
      <c r="KN12" s="50">
        <v>0</v>
      </c>
      <c r="KO12" s="50">
        <v>32.312716999999999</v>
      </c>
      <c r="KP12" s="44">
        <v>39.695245999999997</v>
      </c>
      <c r="KQ12" s="50">
        <v>0</v>
      </c>
      <c r="KR12" s="50">
        <v>39.695245999999997</v>
      </c>
      <c r="KS12" s="50">
        <v>10.273386</v>
      </c>
      <c r="KT12" s="50"/>
      <c r="KU12" s="50">
        <v>10.273386</v>
      </c>
      <c r="KV12" s="50">
        <v>21.251867000000001</v>
      </c>
      <c r="KW12" s="50">
        <v>0</v>
      </c>
      <c r="KX12" s="50">
        <v>21.251867000000001</v>
      </c>
      <c r="KY12" s="50">
        <v>7.8128979999999997</v>
      </c>
      <c r="KZ12" s="50">
        <v>0</v>
      </c>
      <c r="LA12" s="50">
        <v>7.8128979999999997</v>
      </c>
      <c r="LB12" s="44">
        <v>11.000721</v>
      </c>
      <c r="LC12" s="50">
        <v>0</v>
      </c>
      <c r="LD12" s="50">
        <v>11.000721</v>
      </c>
      <c r="LE12" s="44">
        <v>31.498338</v>
      </c>
      <c r="LF12" s="44"/>
      <c r="LG12" s="44">
        <v>31.498338</v>
      </c>
      <c r="LH12" s="44">
        <v>9.2589079999999999</v>
      </c>
      <c r="LI12" s="50">
        <v>0</v>
      </c>
      <c r="LJ12" s="50">
        <v>9.2589079999999999</v>
      </c>
      <c r="LK12" s="44">
        <v>9.8425460000000005</v>
      </c>
      <c r="LL12" s="50">
        <v>0</v>
      </c>
      <c r="LM12" s="50">
        <v>9.8425460000000005</v>
      </c>
      <c r="LN12" s="44">
        <v>26.903521000000001</v>
      </c>
      <c r="LO12" s="50">
        <v>0</v>
      </c>
      <c r="LP12" s="50">
        <v>26.903521000000001</v>
      </c>
      <c r="LQ12" s="44">
        <v>7.7032220000000002</v>
      </c>
      <c r="LR12" s="50">
        <v>0</v>
      </c>
      <c r="LS12" s="50">
        <v>7.7032220000000002</v>
      </c>
      <c r="LT12" s="44">
        <f t="shared" si="58"/>
        <v>222.16313300000002</v>
      </c>
      <c r="LU12" s="50">
        <f t="shared" si="5"/>
        <v>0</v>
      </c>
      <c r="LV12" s="50">
        <f t="shared" si="5"/>
        <v>222.16313300000002</v>
      </c>
      <c r="LW12" s="50">
        <v>222.16311400000001</v>
      </c>
      <c r="LX12" s="44">
        <v>6.1581289999999997</v>
      </c>
      <c r="LY12" s="50">
        <v>0</v>
      </c>
      <c r="LZ12" s="50">
        <v>6.1581289999999997</v>
      </c>
      <c r="MA12" s="44">
        <v>39.771925000000003</v>
      </c>
      <c r="MB12" s="50">
        <v>0</v>
      </c>
      <c r="MC12" s="50">
        <v>39.771925000000003</v>
      </c>
      <c r="MD12" s="44">
        <v>46.238939000000002</v>
      </c>
      <c r="ME12" s="50">
        <v>0</v>
      </c>
      <c r="MF12" s="50">
        <v>46.238939000000002</v>
      </c>
      <c r="MG12" s="44">
        <v>10.951328</v>
      </c>
      <c r="MH12" s="50">
        <v>0</v>
      </c>
      <c r="MI12" s="50">
        <v>10.951328</v>
      </c>
      <c r="MJ12" s="44">
        <v>23.326885000000001</v>
      </c>
      <c r="MK12" s="50">
        <v>0</v>
      </c>
      <c r="ML12" s="50">
        <v>23.326885000000001</v>
      </c>
      <c r="MM12" s="44">
        <v>14.158128</v>
      </c>
      <c r="MN12" s="50">
        <v>0</v>
      </c>
      <c r="MO12" s="50">
        <v>14.158128</v>
      </c>
      <c r="MP12" s="44">
        <v>7.8665149999999997</v>
      </c>
      <c r="MQ12" s="50">
        <v>0</v>
      </c>
      <c r="MR12" s="50">
        <v>7.8665149999999997</v>
      </c>
      <c r="MS12" s="44">
        <v>28.715468000000001</v>
      </c>
      <c r="MT12" s="50">
        <v>0</v>
      </c>
      <c r="MU12" s="50">
        <v>28.715468000000001</v>
      </c>
      <c r="MV12" s="44">
        <v>6.7230020000000001</v>
      </c>
      <c r="MW12" s="50">
        <v>0</v>
      </c>
      <c r="MX12" s="50">
        <v>6.7230020000000001</v>
      </c>
      <c r="MY12" s="44">
        <v>8.0683059999999998</v>
      </c>
      <c r="MZ12" s="50">
        <v>0</v>
      </c>
      <c r="NA12" s="50">
        <v>8.0683059999999998</v>
      </c>
      <c r="NB12" s="44">
        <v>26.716871000000001</v>
      </c>
      <c r="NC12" s="50">
        <v>0</v>
      </c>
      <c r="ND12" s="50">
        <v>26.716871000000001</v>
      </c>
      <c r="NE12" s="44">
        <v>7.4823909999999998</v>
      </c>
      <c r="NF12" s="50">
        <v>0</v>
      </c>
      <c r="NG12" s="50">
        <v>7.4823909999999998</v>
      </c>
      <c r="NH12" s="44">
        <f t="shared" si="59"/>
        <v>226.17788700000003</v>
      </c>
      <c r="NI12" s="50">
        <f t="shared" si="6"/>
        <v>0</v>
      </c>
      <c r="NJ12" s="50">
        <f t="shared" si="7"/>
        <v>226.17788700000003</v>
      </c>
      <c r="NK12" s="50">
        <v>226.21720300000001</v>
      </c>
      <c r="NL12" s="50">
        <v>4.8988370000000003</v>
      </c>
      <c r="NM12" s="50">
        <v>0</v>
      </c>
      <c r="NN12" s="50">
        <v>4.8988370000000003</v>
      </c>
      <c r="NO12" s="50">
        <v>39.58764</v>
      </c>
      <c r="NP12" s="50"/>
      <c r="NQ12" s="50">
        <v>39.58764</v>
      </c>
      <c r="NR12" s="50">
        <v>50.308857000000003</v>
      </c>
      <c r="NS12" s="50"/>
      <c r="NT12" s="50">
        <v>50.308857000000003</v>
      </c>
      <c r="NU12" s="50">
        <v>12.756591999999999</v>
      </c>
      <c r="NV12" s="50"/>
      <c r="NW12" s="50">
        <v>12.756591999999999</v>
      </c>
      <c r="NX12" s="50">
        <v>24.447790999999999</v>
      </c>
      <c r="NY12" s="50"/>
      <c r="NZ12" s="50">
        <v>24.447790999999999</v>
      </c>
      <c r="OA12" s="50">
        <v>9.1704019999999993</v>
      </c>
      <c r="OB12" s="50"/>
      <c r="OC12" s="50">
        <v>9.1704019999999993</v>
      </c>
      <c r="OD12" s="50">
        <v>9.2611980000000003</v>
      </c>
      <c r="OE12" s="50"/>
      <c r="OF12" s="50">
        <v>9.2611980000000003</v>
      </c>
      <c r="OG12" s="94">
        <v>31.817395999999999</v>
      </c>
      <c r="OH12" s="50"/>
      <c r="OI12" s="94">
        <v>31.817395999999999</v>
      </c>
      <c r="OJ12" s="50">
        <v>7.0992610000000003</v>
      </c>
      <c r="OK12" s="50"/>
      <c r="OL12" s="50">
        <v>7.0992610000000003</v>
      </c>
      <c r="OM12" s="50">
        <v>8.2991890000000001</v>
      </c>
      <c r="ON12" s="50"/>
      <c r="OO12" s="50">
        <v>8.2991890000000001</v>
      </c>
      <c r="OP12" s="50">
        <v>25.670683</v>
      </c>
      <c r="OQ12" s="50"/>
      <c r="OR12" s="50">
        <v>25.670683</v>
      </c>
      <c r="OS12" s="50">
        <v>7.2896720000000004</v>
      </c>
      <c r="OT12" s="50"/>
      <c r="OU12" s="50">
        <v>7.2896720000000004</v>
      </c>
      <c r="OV12" s="44">
        <f t="shared" si="60"/>
        <v>230.60751800000003</v>
      </c>
      <c r="OW12" s="50">
        <f t="shared" si="8"/>
        <v>0</v>
      </c>
      <c r="OX12" s="50">
        <f t="shared" si="9"/>
        <v>230.60751800000003</v>
      </c>
      <c r="OY12" s="85">
        <v>230.60655399999999</v>
      </c>
      <c r="OZ12" s="85">
        <v>7.5754549999999998</v>
      </c>
      <c r="PA12" s="50"/>
      <c r="PB12" s="50">
        <v>7.5754549999999998</v>
      </c>
      <c r="PC12" s="50">
        <v>41.666218000000001</v>
      </c>
      <c r="PD12" s="50"/>
      <c r="PE12" s="50">
        <v>41.666218000000001</v>
      </c>
      <c r="PF12" s="85">
        <v>57.195602000000001</v>
      </c>
      <c r="PG12" s="50"/>
      <c r="PH12" s="50">
        <v>57.195602000000001</v>
      </c>
      <c r="PI12" s="85">
        <v>11.934794</v>
      </c>
      <c r="PJ12" s="50"/>
      <c r="PK12" s="50">
        <v>11.934794</v>
      </c>
      <c r="PL12" s="50">
        <v>31.278921</v>
      </c>
      <c r="PM12" s="50"/>
      <c r="PN12" s="50">
        <v>31.278921</v>
      </c>
      <c r="PO12" s="50">
        <v>6.4989550000000014</v>
      </c>
      <c r="PP12" s="50"/>
      <c r="PQ12" s="50">
        <v>6.4989550000000014</v>
      </c>
      <c r="PR12" s="50">
        <v>6.8025690000000001</v>
      </c>
      <c r="PS12" s="50"/>
      <c r="PT12" s="50">
        <v>6.8025690000000001</v>
      </c>
      <c r="PU12" s="50">
        <v>29.271217</v>
      </c>
      <c r="PV12" s="50"/>
      <c r="PW12" s="50">
        <v>29.271217</v>
      </c>
      <c r="PX12" s="50">
        <v>5.0408569999999999</v>
      </c>
      <c r="PY12" s="50"/>
      <c r="PZ12" s="50">
        <v>5.0408569999999999</v>
      </c>
      <c r="QA12" s="50">
        <v>6.4575610000000001</v>
      </c>
      <c r="QB12" s="50"/>
      <c r="QC12" s="50">
        <v>6.4575610000000001</v>
      </c>
      <c r="QD12" s="50">
        <v>26.878060999999999</v>
      </c>
      <c r="QE12" s="50"/>
      <c r="QF12" s="50">
        <v>26.878060999999999</v>
      </c>
      <c r="QG12" s="50">
        <v>5.9205230000000002</v>
      </c>
      <c r="QH12" s="50"/>
      <c r="QI12" s="50">
        <v>5.9205230000000002</v>
      </c>
      <c r="QJ12" s="44">
        <f t="shared" si="38"/>
        <v>236.52073300000001</v>
      </c>
      <c r="QK12" s="50">
        <f t="shared" si="39"/>
        <v>0</v>
      </c>
      <c r="QL12" s="50">
        <f t="shared" si="40"/>
        <v>236.52073300000001</v>
      </c>
      <c r="QM12" s="50">
        <v>236.51709099999999</v>
      </c>
      <c r="QN12" s="50">
        <v>9.0385550000000006</v>
      </c>
      <c r="QO12" s="50"/>
      <c r="QP12" s="50">
        <v>9.0385550000000006</v>
      </c>
      <c r="QQ12" s="50">
        <v>40.738570000000003</v>
      </c>
      <c r="QR12" s="50"/>
      <c r="QS12" s="50">
        <v>40.738570000000003</v>
      </c>
      <c r="QT12" s="50">
        <v>43.966247000000003</v>
      </c>
      <c r="QU12" s="50"/>
      <c r="QV12" s="50">
        <v>43.966247000000003</v>
      </c>
      <c r="QW12" s="50">
        <v>24.899775000000002</v>
      </c>
      <c r="QX12" s="50"/>
      <c r="QY12" s="50">
        <v>24.899775000000002</v>
      </c>
      <c r="QZ12" s="50">
        <v>31.590624999999999</v>
      </c>
      <c r="RA12" s="50"/>
      <c r="RB12" s="50">
        <v>31.590624999999999</v>
      </c>
      <c r="RC12" s="50">
        <v>5.9741099999999996</v>
      </c>
      <c r="RD12" s="50"/>
      <c r="RE12" s="50">
        <v>5.9741099999999996</v>
      </c>
      <c r="RF12" s="50">
        <v>6.9477729999999998</v>
      </c>
      <c r="RG12" s="50"/>
      <c r="RH12" s="50">
        <v>6.9477729999999998</v>
      </c>
      <c r="RI12" s="50">
        <v>29.582919</v>
      </c>
      <c r="RJ12" s="50"/>
      <c r="RK12" s="50">
        <v>29.582919</v>
      </c>
      <c r="RL12" s="50">
        <v>5.2750779999999997</v>
      </c>
      <c r="RM12" s="50"/>
      <c r="RN12" s="50">
        <v>5.2750779999999997</v>
      </c>
      <c r="RO12" s="50">
        <v>7.2631790000000001</v>
      </c>
      <c r="RP12" s="50"/>
      <c r="RQ12" s="50">
        <v>7.2631790000000001</v>
      </c>
      <c r="RR12" s="50">
        <v>25.924702</v>
      </c>
      <c r="RS12" s="50"/>
      <c r="RT12" s="50">
        <v>25.924702</v>
      </c>
      <c r="RU12" s="50">
        <v>6.1079299999999996</v>
      </c>
      <c r="RV12" s="50"/>
      <c r="RW12" s="50">
        <v>6.1079299999999996</v>
      </c>
      <c r="RX12" s="44">
        <f t="shared" si="41"/>
        <v>237.30946300000005</v>
      </c>
      <c r="RY12" s="50">
        <f t="shared" si="42"/>
        <v>0</v>
      </c>
      <c r="RZ12" s="50">
        <f t="shared" si="43"/>
        <v>237.30946300000005</v>
      </c>
      <c r="SA12" s="50">
        <v>237.30840699999999</v>
      </c>
      <c r="SB12" s="50">
        <v>7.478021</v>
      </c>
      <c r="SC12" s="50"/>
      <c r="SD12" s="50">
        <v>7.478021</v>
      </c>
      <c r="SE12" s="50">
        <v>44.301969</v>
      </c>
      <c r="SF12" s="50"/>
      <c r="SG12" s="50">
        <v>44.301969</v>
      </c>
      <c r="SH12" s="50">
        <v>58.250447999999999</v>
      </c>
      <c r="SI12" s="50"/>
      <c r="SJ12" s="50">
        <v>58.250447999999999</v>
      </c>
      <c r="SK12" s="50">
        <v>13.380610000000001</v>
      </c>
      <c r="SL12" s="50"/>
      <c r="SM12" s="50">
        <v>13.380610000000001</v>
      </c>
      <c r="SN12" s="50">
        <f t="shared" si="44"/>
        <v>31.752127000000002</v>
      </c>
      <c r="SO12" s="50"/>
      <c r="SP12" s="50">
        <v>31.752127000000002</v>
      </c>
      <c r="SQ12" s="50">
        <v>5.8220660000000004</v>
      </c>
      <c r="SR12" s="50"/>
      <c r="SS12" s="50">
        <v>5.8220660000000004</v>
      </c>
      <c r="ST12" s="50">
        <v>6.8067589999999996</v>
      </c>
      <c r="SU12" s="50"/>
      <c r="SV12" s="50">
        <v>6.8067589999999996</v>
      </c>
      <c r="SW12" s="50">
        <v>29.356424000000001</v>
      </c>
      <c r="SX12" s="50"/>
      <c r="SY12" s="50">
        <v>29.356424000000001</v>
      </c>
      <c r="SZ12" s="50">
        <v>4.8439620000000003</v>
      </c>
      <c r="TA12" s="50"/>
      <c r="TB12" s="50">
        <v>4.8439620000000003</v>
      </c>
      <c r="TC12" s="50">
        <v>7.6435690000000003</v>
      </c>
      <c r="TD12" s="50"/>
      <c r="TE12" s="50">
        <v>7.6435690000000003</v>
      </c>
      <c r="TF12" s="50">
        <v>26.283760000000001</v>
      </c>
      <c r="TG12" s="50"/>
      <c r="TH12" s="50">
        <v>26.283760000000001</v>
      </c>
      <c r="TI12" s="50">
        <v>5.1436930000000007</v>
      </c>
      <c r="TJ12" s="50"/>
      <c r="TK12" s="50">
        <v>5.1436930000000007</v>
      </c>
      <c r="TL12" s="44">
        <f t="shared" si="45"/>
        <v>241.06340800000007</v>
      </c>
      <c r="TM12" s="50">
        <f t="shared" si="46"/>
        <v>0</v>
      </c>
      <c r="TN12" s="50">
        <f t="shared" si="47"/>
        <v>241.06340800000007</v>
      </c>
      <c r="TO12" s="50">
        <v>5.7290160000000006</v>
      </c>
      <c r="TP12" s="50"/>
      <c r="TQ12" s="50">
        <v>5.7290160000000006</v>
      </c>
      <c r="TR12" s="50">
        <f t="shared" si="48"/>
        <v>42.974865000000001</v>
      </c>
      <c r="TS12" s="50"/>
      <c r="TT12" s="50">
        <v>42.974865000000001</v>
      </c>
      <c r="TU12" s="50">
        <v>58.088121000000001</v>
      </c>
      <c r="TV12" s="50"/>
      <c r="TW12" s="50">
        <v>58.088121000000001</v>
      </c>
      <c r="TX12" s="50">
        <f t="shared" si="49"/>
        <v>12.75924</v>
      </c>
      <c r="TY12" s="50"/>
      <c r="TZ12" s="50">
        <v>12.75924</v>
      </c>
      <c r="UA12" s="50"/>
      <c r="UB12" s="50"/>
      <c r="UC12" s="50"/>
      <c r="UD12" s="50"/>
      <c r="UE12" s="50"/>
      <c r="UF12" s="50"/>
      <c r="UG12" s="50"/>
      <c r="UH12" s="50"/>
      <c r="UI12" s="50"/>
      <c r="UJ12" s="50"/>
      <c r="UK12" s="50"/>
      <c r="UL12" s="50"/>
      <c r="UM12" s="50"/>
      <c r="UN12" s="50"/>
      <c r="UO12" s="50"/>
      <c r="UP12" s="50"/>
      <c r="UQ12" s="50"/>
      <c r="UR12" s="50"/>
      <c r="US12" s="50"/>
      <c r="UT12" s="50"/>
      <c r="UU12" s="50"/>
      <c r="UV12" s="50"/>
      <c r="UW12" s="50"/>
      <c r="UX12" s="50"/>
      <c r="UY12" s="292">
        <f t="shared" si="50"/>
        <v>123.41104799999999</v>
      </c>
      <c r="UZ12" s="276">
        <f t="shared" si="51"/>
        <v>0</v>
      </c>
      <c r="VA12" s="276">
        <f t="shared" si="52"/>
        <v>123.41104799999999</v>
      </c>
      <c r="VB12" s="292">
        <f t="shared" si="53"/>
        <v>119.551242</v>
      </c>
      <c r="VC12" s="276">
        <f t="shared" si="54"/>
        <v>0</v>
      </c>
      <c r="VD12" s="276">
        <f t="shared" si="55"/>
        <v>119.551242</v>
      </c>
      <c r="VE12" s="277">
        <f t="shared" si="56"/>
        <v>-3.8598059999999919</v>
      </c>
      <c r="VF12" s="277">
        <f t="shared" si="57"/>
        <v>-3.127601671448403</v>
      </c>
    </row>
    <row r="13" spans="1:578" s="12" customFormat="1" ht="20.5">
      <c r="A13" s="46" t="s">
        <v>52</v>
      </c>
      <c r="B13" s="13"/>
      <c r="C13" s="46" t="s">
        <v>53</v>
      </c>
      <c r="D13" s="42">
        <v>14.329807456986584</v>
      </c>
      <c r="E13" s="42">
        <v>14.416343674765654</v>
      </c>
      <c r="F13" s="42">
        <v>10.532316264563093</v>
      </c>
      <c r="G13" s="42">
        <v>10.012697708038086</v>
      </c>
      <c r="H13" s="42">
        <v>0.42884218075025182</v>
      </c>
      <c r="I13" s="42">
        <v>1.5990318780200456</v>
      </c>
      <c r="J13" s="42">
        <v>0.63296594783182791</v>
      </c>
      <c r="K13" s="42">
        <v>0.66595096214591831</v>
      </c>
      <c r="L13" s="42">
        <v>1.5084817388631822</v>
      </c>
      <c r="M13" s="42">
        <v>0.33093152571698509</v>
      </c>
      <c r="N13" s="42">
        <v>0.59935629279286973</v>
      </c>
      <c r="O13" s="42">
        <v>2.2125329394824162</v>
      </c>
      <c r="P13" s="42">
        <v>0.60502643695824154</v>
      </c>
      <c r="Q13" s="42">
        <v>0.75511664703103576</v>
      </c>
      <c r="R13" s="42">
        <v>2.2805533263897186</v>
      </c>
      <c r="S13" s="42">
        <v>0.55776717263988262</v>
      </c>
      <c r="T13" s="42">
        <v>12.176557048622374</v>
      </c>
      <c r="U13" s="42">
        <v>0</v>
      </c>
      <c r="V13" s="42">
        <v>12.176557048622374</v>
      </c>
      <c r="W13" s="42">
        <v>12.176552780006944</v>
      </c>
      <c r="X13" s="42">
        <v>0.67898019931588327</v>
      </c>
      <c r="Y13" s="42">
        <v>2.4420265109475761</v>
      </c>
      <c r="Z13" s="42">
        <v>0.60608078496992046</v>
      </c>
      <c r="AA13" s="42">
        <v>0.78882732596854899</v>
      </c>
      <c r="AB13" s="42">
        <v>2.0907194609023283</v>
      </c>
      <c r="AC13" s="42">
        <v>0.65871850473247173</v>
      </c>
      <c r="AD13" s="42">
        <v>0.85823928150665052</v>
      </c>
      <c r="AE13" s="42">
        <v>2.2674927860399201</v>
      </c>
      <c r="AF13" s="42">
        <v>0.74814457515893484</v>
      </c>
      <c r="AG13" s="42">
        <v>1.0573829972510118</v>
      </c>
      <c r="AH13" s="42">
        <v>2.4195650565449256</v>
      </c>
      <c r="AI13" s="42">
        <v>0.70201507105821825</v>
      </c>
      <c r="AJ13" s="42">
        <v>15.31819255439639</v>
      </c>
      <c r="AK13" s="42">
        <v>0</v>
      </c>
      <c r="AL13" s="42">
        <v>15.31819255439639</v>
      </c>
      <c r="AM13" s="42">
        <v>15.319145878509513</v>
      </c>
      <c r="AN13" s="42">
        <v>1.2930930956568261</v>
      </c>
      <c r="AO13" s="42">
        <v>2.142564641066357</v>
      </c>
      <c r="AP13" s="42">
        <v>0.98238200124074437</v>
      </c>
      <c r="AQ13" s="42">
        <v>1.1453008235582041</v>
      </c>
      <c r="AR13" s="42">
        <v>1.8643647446514251</v>
      </c>
      <c r="AS13" s="42">
        <v>0.63656865925635031</v>
      </c>
      <c r="AT13" s="42">
        <v>1.3648157950153954</v>
      </c>
      <c r="AU13" s="42">
        <v>2.0541018548556922</v>
      </c>
      <c r="AV13" s="42">
        <v>0.79630309446161374</v>
      </c>
      <c r="AW13" s="42">
        <v>2.5838441443133502</v>
      </c>
      <c r="AX13" s="42">
        <v>0.95408250379906778</v>
      </c>
      <c r="AY13" s="42">
        <v>0.64166823182565835</v>
      </c>
      <c r="AZ13" s="42">
        <v>16.459089589700689</v>
      </c>
      <c r="BA13" s="42">
        <v>0</v>
      </c>
      <c r="BB13" s="42">
        <v>16.459089589700689</v>
      </c>
      <c r="BC13" s="42">
        <v>16.462239827889427</v>
      </c>
      <c r="BD13" s="49">
        <f t="shared" ref="BD13:CG13" si="61">BD14+BD15</f>
        <v>0.73677300000000001</v>
      </c>
      <c r="BE13" s="42">
        <f t="shared" si="61"/>
        <v>0</v>
      </c>
      <c r="BF13" s="49">
        <f t="shared" si="61"/>
        <v>0.73677300000000001</v>
      </c>
      <c r="BG13" s="49">
        <f t="shared" si="61"/>
        <v>1.1809229999999999</v>
      </c>
      <c r="BH13" s="42">
        <f t="shared" si="61"/>
        <v>0</v>
      </c>
      <c r="BI13" s="44">
        <f t="shared" si="61"/>
        <v>1.1809229999999999</v>
      </c>
      <c r="BJ13" s="49">
        <f t="shared" si="61"/>
        <v>1.1055329999999999</v>
      </c>
      <c r="BK13" s="42">
        <f t="shared" si="61"/>
        <v>0</v>
      </c>
      <c r="BL13" s="44">
        <f t="shared" si="61"/>
        <v>1.1055329999999999</v>
      </c>
      <c r="BM13" s="49">
        <f t="shared" si="61"/>
        <v>0.92327899999999996</v>
      </c>
      <c r="BN13" s="42">
        <f t="shared" si="61"/>
        <v>0</v>
      </c>
      <c r="BO13" s="44">
        <f t="shared" si="61"/>
        <v>0.92327899999999996</v>
      </c>
      <c r="BP13" s="49">
        <f t="shared" si="61"/>
        <v>0.85360199999999997</v>
      </c>
      <c r="BQ13" s="42">
        <f t="shared" si="61"/>
        <v>0</v>
      </c>
      <c r="BR13" s="44">
        <f t="shared" si="61"/>
        <v>0.85360199999999997</v>
      </c>
      <c r="BS13" s="49">
        <f t="shared" si="61"/>
        <v>0.76672099999999999</v>
      </c>
      <c r="BT13" s="42">
        <f t="shared" si="61"/>
        <v>0</v>
      </c>
      <c r="BU13" s="44">
        <f t="shared" si="61"/>
        <v>0.76672099999999999</v>
      </c>
      <c r="BV13" s="49">
        <f t="shared" si="61"/>
        <v>1.8639840000000001</v>
      </c>
      <c r="BW13" s="42">
        <f t="shared" si="61"/>
        <v>0</v>
      </c>
      <c r="BX13" s="44">
        <f t="shared" si="61"/>
        <v>1.8639840000000001</v>
      </c>
      <c r="BY13" s="49">
        <f t="shared" si="61"/>
        <v>2.450307</v>
      </c>
      <c r="BZ13" s="42">
        <f t="shared" si="61"/>
        <v>0</v>
      </c>
      <c r="CA13" s="44">
        <f t="shared" si="61"/>
        <v>2.450307</v>
      </c>
      <c r="CB13" s="49">
        <f t="shared" si="61"/>
        <v>0.649698</v>
      </c>
      <c r="CC13" s="42">
        <f t="shared" si="61"/>
        <v>0</v>
      </c>
      <c r="CD13" s="44">
        <f t="shared" si="61"/>
        <v>0.649698</v>
      </c>
      <c r="CE13" s="49">
        <f t="shared" si="61"/>
        <v>5.1487239999999996</v>
      </c>
      <c r="CF13" s="42">
        <f t="shared" si="61"/>
        <v>0</v>
      </c>
      <c r="CG13" s="44">
        <f t="shared" si="61"/>
        <v>5.1487239999999996</v>
      </c>
      <c r="CH13" s="49">
        <f t="shared" ref="CH13:CM13" si="62">CH14+CH15</f>
        <v>0.66574500000000003</v>
      </c>
      <c r="CI13" s="42">
        <f t="shared" si="62"/>
        <v>0</v>
      </c>
      <c r="CJ13" s="44">
        <f t="shared" si="62"/>
        <v>0.66574500000000003</v>
      </c>
      <c r="CK13" s="49">
        <f t="shared" si="62"/>
        <v>0.67689899999999992</v>
      </c>
      <c r="CL13" s="42">
        <f t="shared" si="62"/>
        <v>0</v>
      </c>
      <c r="CM13" s="44">
        <f t="shared" si="62"/>
        <v>0.67689899999999992</v>
      </c>
      <c r="CN13" s="50">
        <f t="shared" si="20"/>
        <v>17.022188</v>
      </c>
      <c r="CO13" s="50"/>
      <c r="CP13" s="50">
        <f t="shared" si="21"/>
        <v>17.022188</v>
      </c>
      <c r="CQ13" s="52">
        <f>CQ14+CQ15</f>
        <v>17.089116000000001</v>
      </c>
      <c r="CR13" s="49">
        <f>CR14+CR15</f>
        <v>0.63575700000000002</v>
      </c>
      <c r="CS13" s="42">
        <f>CS14+CS15</f>
        <v>0</v>
      </c>
      <c r="CT13" s="44">
        <f>CT14+CT15</f>
        <v>0.63575700000000002</v>
      </c>
      <c r="CU13" s="49">
        <v>3.2716189999999998</v>
      </c>
      <c r="CV13" s="42">
        <v>0</v>
      </c>
      <c r="CW13" s="44">
        <v>3.2716189999999998</v>
      </c>
      <c r="CX13" s="49">
        <v>0.83237899999999998</v>
      </c>
      <c r="CY13" s="42">
        <v>0</v>
      </c>
      <c r="CZ13" s="44">
        <v>0.83237899999999998</v>
      </c>
      <c r="DA13" s="49">
        <v>0.70584199999999997</v>
      </c>
      <c r="DB13" s="42">
        <v>0</v>
      </c>
      <c r="DC13" s="44">
        <v>0.70584199999999997</v>
      </c>
      <c r="DD13" s="49">
        <v>2.4674149999999999</v>
      </c>
      <c r="DE13" s="42">
        <v>0</v>
      </c>
      <c r="DF13" s="44">
        <v>2.4674149999999999</v>
      </c>
      <c r="DG13" s="49">
        <v>0.63336100000000006</v>
      </c>
      <c r="DH13" s="42">
        <v>0</v>
      </c>
      <c r="DI13" s="44">
        <v>0.63336100000000006</v>
      </c>
      <c r="DJ13" s="49">
        <v>0.60789899999999997</v>
      </c>
      <c r="DK13" s="42">
        <v>0</v>
      </c>
      <c r="DL13" s="44">
        <v>0.60789899999999997</v>
      </c>
      <c r="DM13" s="49">
        <v>2.642042</v>
      </c>
      <c r="DN13" s="42">
        <v>0</v>
      </c>
      <c r="DO13" s="44">
        <v>2.642042</v>
      </c>
      <c r="DP13" s="49">
        <v>0.760548</v>
      </c>
      <c r="DQ13" s="42">
        <v>0</v>
      </c>
      <c r="DR13" s="44">
        <v>0.760548</v>
      </c>
      <c r="DS13" s="49">
        <v>0.91271800000000003</v>
      </c>
      <c r="DT13" s="42">
        <v>0</v>
      </c>
      <c r="DU13" s="44">
        <v>0.91271800000000003</v>
      </c>
      <c r="DV13" s="49">
        <v>3.4079760000000001</v>
      </c>
      <c r="DW13" s="42">
        <v>0</v>
      </c>
      <c r="DX13" s="44">
        <v>3.4079760000000001</v>
      </c>
      <c r="DY13" s="49">
        <v>0.721688</v>
      </c>
      <c r="DZ13" s="42">
        <v>0</v>
      </c>
      <c r="EA13" s="44">
        <v>0.721688</v>
      </c>
      <c r="EB13" s="44">
        <f t="shared" si="22"/>
        <v>17.599243999999999</v>
      </c>
      <c r="EC13" s="50">
        <f t="shared" si="23"/>
        <v>0</v>
      </c>
      <c r="ED13" s="50">
        <f t="shared" si="24"/>
        <v>17.599243999999999</v>
      </c>
      <c r="EE13" s="140">
        <f>EE14+EE15</f>
        <v>17.599236000000001</v>
      </c>
      <c r="EF13" s="50">
        <v>0.63693299999999997</v>
      </c>
      <c r="EG13" s="50">
        <v>0</v>
      </c>
      <c r="EH13" s="50">
        <v>0.63693299999999997</v>
      </c>
      <c r="EI13" s="50">
        <v>2.8097110000000001</v>
      </c>
      <c r="EJ13" s="50">
        <v>0</v>
      </c>
      <c r="EK13" s="50">
        <v>2.8097110000000001</v>
      </c>
      <c r="EL13" s="50">
        <v>0.69567400000000001</v>
      </c>
      <c r="EM13" s="50">
        <v>0</v>
      </c>
      <c r="EN13" s="50">
        <v>0.69567400000000001</v>
      </c>
      <c r="EO13" s="50">
        <v>0.89416899999999999</v>
      </c>
      <c r="EP13" s="50">
        <v>0</v>
      </c>
      <c r="EQ13" s="50">
        <v>0.89416899999999999</v>
      </c>
      <c r="ER13" s="50">
        <v>2.1204510000000001</v>
      </c>
      <c r="ES13" s="50">
        <v>0</v>
      </c>
      <c r="ET13" s="50">
        <v>2.1204510000000001</v>
      </c>
      <c r="EU13" s="50">
        <v>0.70427899999999999</v>
      </c>
      <c r="EV13" s="50">
        <v>0</v>
      </c>
      <c r="EW13" s="50">
        <v>0.70427899999999999</v>
      </c>
      <c r="EX13" s="50">
        <v>0.77378999999999998</v>
      </c>
      <c r="EY13" s="50">
        <v>0</v>
      </c>
      <c r="EZ13" s="50">
        <v>0.77378999999999998</v>
      </c>
      <c r="FA13" s="50">
        <v>2.5860780000000001</v>
      </c>
      <c r="FB13" s="50">
        <v>0</v>
      </c>
      <c r="FC13" s="50">
        <v>2.5860780000000001</v>
      </c>
      <c r="FD13" s="50">
        <v>0.67477199999999993</v>
      </c>
      <c r="FE13" s="50">
        <v>0</v>
      </c>
      <c r="FF13" s="50">
        <v>0.67477199999999993</v>
      </c>
      <c r="FG13" s="50">
        <v>0.67333799999999999</v>
      </c>
      <c r="FH13" s="50">
        <v>0</v>
      </c>
      <c r="FI13" s="50">
        <v>0.67333799999999999</v>
      </c>
      <c r="FJ13" s="50">
        <v>2.7192240000000001</v>
      </c>
      <c r="FK13" s="50">
        <v>0</v>
      </c>
      <c r="FL13" s="50">
        <v>2.7192240000000001</v>
      </c>
      <c r="FM13" s="50">
        <v>0.64649400000000001</v>
      </c>
      <c r="FN13" s="50">
        <v>0</v>
      </c>
      <c r="FO13" s="50">
        <v>0.64649400000000001</v>
      </c>
      <c r="FP13" s="50">
        <f t="shared" si="25"/>
        <v>15.934913</v>
      </c>
      <c r="FQ13" s="50">
        <f t="shared" si="26"/>
        <v>0</v>
      </c>
      <c r="FR13" s="50">
        <f t="shared" si="27"/>
        <v>15.934913</v>
      </c>
      <c r="FS13" s="94">
        <f>FS14+FS15</f>
        <v>15.936631999999999</v>
      </c>
      <c r="FT13" s="50">
        <v>0.83328399999999991</v>
      </c>
      <c r="FU13" s="50">
        <v>0</v>
      </c>
      <c r="FV13" s="50">
        <v>0.83328399999999991</v>
      </c>
      <c r="FW13" s="50">
        <v>2.7620279999999999</v>
      </c>
      <c r="FX13" s="50">
        <v>0</v>
      </c>
      <c r="FY13" s="50">
        <v>2.7620279999999999</v>
      </c>
      <c r="FZ13" s="50">
        <v>0.75883699999999998</v>
      </c>
      <c r="GA13" s="50">
        <v>0</v>
      </c>
      <c r="GB13" s="50">
        <v>0.75883699999999998</v>
      </c>
      <c r="GC13" s="50">
        <v>0.75682899999999997</v>
      </c>
      <c r="GD13" s="50">
        <v>0</v>
      </c>
      <c r="GE13" s="50">
        <v>0.75682899999999997</v>
      </c>
      <c r="GF13" s="50">
        <v>2.4162530000000002</v>
      </c>
      <c r="GG13" s="50">
        <v>0</v>
      </c>
      <c r="GH13" s="50">
        <v>2.4162530000000002</v>
      </c>
      <c r="GI13" s="50">
        <v>0.73039500000000002</v>
      </c>
      <c r="GJ13" s="50">
        <v>0</v>
      </c>
      <c r="GK13" s="50">
        <v>0.73039500000000002</v>
      </c>
      <c r="GL13" s="50">
        <v>0.74736099999999994</v>
      </c>
      <c r="GM13" s="50">
        <v>0</v>
      </c>
      <c r="GN13" s="50">
        <v>0.74736099999999994</v>
      </c>
      <c r="GO13" s="50">
        <v>2.9049550000000002</v>
      </c>
      <c r="GP13" s="50">
        <v>0</v>
      </c>
      <c r="GQ13" s="50">
        <v>2.9049550000000002</v>
      </c>
      <c r="GR13" s="50">
        <v>0.76470800000000005</v>
      </c>
      <c r="GS13" s="50">
        <v>0</v>
      </c>
      <c r="GT13" s="50">
        <v>0.76470800000000005</v>
      </c>
      <c r="GU13" s="50">
        <v>0.75212299999999999</v>
      </c>
      <c r="GV13" s="50">
        <v>0</v>
      </c>
      <c r="GW13" s="50">
        <v>0.75212299999999999</v>
      </c>
      <c r="GX13" s="50">
        <v>2.990688</v>
      </c>
      <c r="GY13" s="50">
        <v>0</v>
      </c>
      <c r="GZ13" s="50">
        <v>2.990688</v>
      </c>
      <c r="HA13" s="50">
        <v>0.83766799999999997</v>
      </c>
      <c r="HB13" s="50">
        <v>0</v>
      </c>
      <c r="HC13" s="50">
        <v>0.83766799999999997</v>
      </c>
      <c r="HD13" s="50">
        <f t="shared" si="28"/>
        <v>17.255129</v>
      </c>
      <c r="HE13" s="50">
        <f t="shared" si="29"/>
        <v>0</v>
      </c>
      <c r="HF13" s="50">
        <f t="shared" si="30"/>
        <v>17.255129</v>
      </c>
      <c r="HG13" s="50">
        <f>HG14+HG15</f>
        <v>17.252783000000001</v>
      </c>
      <c r="HH13" s="50">
        <v>0.85770900000000005</v>
      </c>
      <c r="HI13" s="50">
        <v>0</v>
      </c>
      <c r="HJ13" s="50">
        <v>0.85770900000000005</v>
      </c>
      <c r="HK13" s="50">
        <v>3.9497819999999999</v>
      </c>
      <c r="HL13" s="50">
        <v>0</v>
      </c>
      <c r="HM13" s="50">
        <v>3.9497819999999999</v>
      </c>
      <c r="HN13" s="50">
        <v>0.99409999999999998</v>
      </c>
      <c r="HO13" s="50">
        <v>0</v>
      </c>
      <c r="HP13" s="50">
        <v>0.99409999999999998</v>
      </c>
      <c r="HQ13" s="50">
        <v>0.78230699999999997</v>
      </c>
      <c r="HR13" s="50">
        <v>0</v>
      </c>
      <c r="HS13" s="50">
        <v>0.78230699999999997</v>
      </c>
      <c r="HT13" s="50">
        <v>2.8759450000000002</v>
      </c>
      <c r="HU13" s="50">
        <v>0</v>
      </c>
      <c r="HV13" s="50">
        <v>2.8759450000000002</v>
      </c>
      <c r="HW13" s="50">
        <v>0.90774999999999995</v>
      </c>
      <c r="HX13" s="50">
        <v>0</v>
      </c>
      <c r="HY13" s="50">
        <v>0.90774999999999995</v>
      </c>
      <c r="HZ13" s="50">
        <v>0.88303299999999996</v>
      </c>
      <c r="IA13" s="50">
        <v>0</v>
      </c>
      <c r="IB13" s="50">
        <v>0.88303299999999996</v>
      </c>
      <c r="IC13" s="50">
        <v>3.3168069999999998</v>
      </c>
      <c r="ID13" s="50">
        <v>0</v>
      </c>
      <c r="IE13" s="50">
        <v>3.3168069999999998</v>
      </c>
      <c r="IF13" s="50">
        <v>0.91620500000000005</v>
      </c>
      <c r="IG13" s="50">
        <v>0</v>
      </c>
      <c r="IH13" s="50">
        <v>0.91620500000000005</v>
      </c>
      <c r="II13" s="50">
        <v>0.92607899999999999</v>
      </c>
      <c r="IJ13" s="50">
        <v>0</v>
      </c>
      <c r="IK13" s="50">
        <v>0.92607899999999999</v>
      </c>
      <c r="IL13" s="50">
        <v>3.5046879999999998</v>
      </c>
      <c r="IM13" s="50">
        <v>0</v>
      </c>
      <c r="IN13" s="50">
        <v>3.5046879999999998</v>
      </c>
      <c r="IO13" s="50">
        <v>0.89178400000000002</v>
      </c>
      <c r="IP13" s="50">
        <v>0</v>
      </c>
      <c r="IQ13" s="50">
        <v>0.89178400000000002</v>
      </c>
      <c r="IR13" s="44">
        <f t="shared" si="34"/>
        <v>20.806189000000003</v>
      </c>
      <c r="IS13" s="50">
        <f t="shared" si="35"/>
        <v>0</v>
      </c>
      <c r="IT13" s="50">
        <f t="shared" si="36"/>
        <v>20.806189000000003</v>
      </c>
      <c r="IU13" s="50">
        <f>IU14+IU15</f>
        <v>20.807223999999998</v>
      </c>
      <c r="IV13" s="44">
        <v>0.947075</v>
      </c>
      <c r="IW13" s="50">
        <v>0</v>
      </c>
      <c r="IX13" s="50">
        <v>0.947075</v>
      </c>
      <c r="IY13" s="44">
        <v>4.2323019999999998</v>
      </c>
      <c r="IZ13" s="50">
        <v>0</v>
      </c>
      <c r="JA13" s="50">
        <v>4.2323019999999998</v>
      </c>
      <c r="JB13" s="44">
        <v>0.99615900000000002</v>
      </c>
      <c r="JC13" s="50">
        <v>0</v>
      </c>
      <c r="JD13" s="50">
        <v>0.99615900000000002</v>
      </c>
      <c r="JE13" s="44">
        <v>0.95675399999999999</v>
      </c>
      <c r="JF13" s="50">
        <v>0</v>
      </c>
      <c r="JG13" s="50">
        <v>0.95675399999999999</v>
      </c>
      <c r="JH13" s="44">
        <v>2.6733159999999998</v>
      </c>
      <c r="JI13" s="50">
        <v>0</v>
      </c>
      <c r="JJ13" s="50">
        <v>2.6733159999999998</v>
      </c>
      <c r="JK13" s="44">
        <v>0.97937099999999999</v>
      </c>
      <c r="JL13" s="50">
        <v>0</v>
      </c>
      <c r="JM13" s="50">
        <v>0.97937099999999999</v>
      </c>
      <c r="JN13" s="44">
        <v>0.97334299999999996</v>
      </c>
      <c r="JO13" s="50">
        <v>0</v>
      </c>
      <c r="JP13" s="50">
        <v>0.97334299999999996</v>
      </c>
      <c r="JQ13" s="44">
        <v>3.55036</v>
      </c>
      <c r="JR13" s="50">
        <v>0</v>
      </c>
      <c r="JS13" s="50">
        <v>3.55036</v>
      </c>
      <c r="JT13" s="44">
        <v>0.93745699999999998</v>
      </c>
      <c r="JU13" s="50">
        <v>0</v>
      </c>
      <c r="JV13" s="50">
        <v>0.93745699999999998</v>
      </c>
      <c r="JW13" s="44">
        <v>0.91345600000000005</v>
      </c>
      <c r="JX13" s="50">
        <v>0</v>
      </c>
      <c r="JY13" s="50">
        <v>0.91345600000000005</v>
      </c>
      <c r="JZ13" s="44">
        <v>3.82443</v>
      </c>
      <c r="KA13" s="50">
        <v>0</v>
      </c>
      <c r="KB13" s="50">
        <v>3.82443</v>
      </c>
      <c r="KC13" s="44">
        <v>1.479668</v>
      </c>
      <c r="KD13" s="50">
        <v>0</v>
      </c>
      <c r="KE13" s="50">
        <v>1.479668</v>
      </c>
      <c r="KF13" s="44">
        <f t="shared" si="37"/>
        <v>22.463690999999997</v>
      </c>
      <c r="KG13" s="50">
        <f t="shared" si="3"/>
        <v>0</v>
      </c>
      <c r="KH13" s="50">
        <f t="shared" si="4"/>
        <v>22.463690999999997</v>
      </c>
      <c r="KI13" s="50">
        <f>KI14+KI15</f>
        <v>22.463685999999999</v>
      </c>
      <c r="KJ13" s="44">
        <v>0.93536399999999997</v>
      </c>
      <c r="KK13" s="50">
        <v>0</v>
      </c>
      <c r="KL13" s="50">
        <v>0.93536399999999997</v>
      </c>
      <c r="KM13" s="44">
        <v>2.8941629999999998</v>
      </c>
      <c r="KN13" s="50">
        <v>0</v>
      </c>
      <c r="KO13" s="50">
        <v>2.8941629999999998</v>
      </c>
      <c r="KP13" s="44">
        <v>0.37902400000000003</v>
      </c>
      <c r="KQ13" s="50">
        <v>0</v>
      </c>
      <c r="KR13" s="50">
        <v>0.37902400000000003</v>
      </c>
      <c r="KS13" s="50">
        <v>0.13089999999999999</v>
      </c>
      <c r="KT13" s="50"/>
      <c r="KU13" s="50">
        <v>0.13089999999999999</v>
      </c>
      <c r="KV13" s="50">
        <v>1.2983420000000001</v>
      </c>
      <c r="KW13" s="50">
        <v>0</v>
      </c>
      <c r="KX13" s="50">
        <v>1.2983420000000001</v>
      </c>
      <c r="KY13" s="50">
        <v>0.117731</v>
      </c>
      <c r="KZ13" s="50">
        <v>0</v>
      </c>
      <c r="LA13" s="50">
        <v>0.117731</v>
      </c>
      <c r="LB13" s="44">
        <v>0.18790000000000001</v>
      </c>
      <c r="LC13" s="50">
        <v>0</v>
      </c>
      <c r="LD13" s="50">
        <v>0.18790000000000001</v>
      </c>
      <c r="LE13" s="44">
        <v>1.5112669999999999</v>
      </c>
      <c r="LF13" s="44"/>
      <c r="LG13" s="44">
        <v>1.5112669999999999</v>
      </c>
      <c r="LH13" s="44">
        <v>0.20726600000000001</v>
      </c>
      <c r="LI13" s="50">
        <v>0</v>
      </c>
      <c r="LJ13" s="50">
        <v>0.20726600000000001</v>
      </c>
      <c r="LK13" s="44">
        <v>0.25700499999999998</v>
      </c>
      <c r="LL13" s="50">
        <v>0</v>
      </c>
      <c r="LM13" s="50">
        <v>0.25700499999999998</v>
      </c>
      <c r="LN13" s="44">
        <v>1.822203</v>
      </c>
      <c r="LO13" s="50">
        <v>0</v>
      </c>
      <c r="LP13" s="50">
        <v>1.822203</v>
      </c>
      <c r="LQ13" s="44">
        <v>0.150031</v>
      </c>
      <c r="LR13" s="50">
        <v>0</v>
      </c>
      <c r="LS13" s="50">
        <v>0.150031</v>
      </c>
      <c r="LT13" s="44">
        <f t="shared" si="58"/>
        <v>9.891195999999999</v>
      </c>
      <c r="LU13" s="50">
        <f t="shared" si="5"/>
        <v>0</v>
      </c>
      <c r="LV13" s="50">
        <f t="shared" si="5"/>
        <v>9.891195999999999</v>
      </c>
      <c r="LW13" s="50">
        <f>LW14+LW15</f>
        <v>9.8914259999999992</v>
      </c>
      <c r="LX13" s="178">
        <v>0</v>
      </c>
      <c r="LY13" s="36">
        <v>0</v>
      </c>
      <c r="LZ13" s="36">
        <v>0</v>
      </c>
      <c r="MA13" s="44">
        <v>1.3449739999999999</v>
      </c>
      <c r="MB13" s="50">
        <v>0</v>
      </c>
      <c r="MC13" s="50">
        <v>1.3449739999999999</v>
      </c>
      <c r="MD13" s="44">
        <v>1.9999999999999999E-6</v>
      </c>
      <c r="ME13" s="50">
        <v>0</v>
      </c>
      <c r="MF13" s="50">
        <v>1.9999999999999999E-6</v>
      </c>
      <c r="MG13" s="44">
        <v>0.333588</v>
      </c>
      <c r="MH13" s="50">
        <v>0</v>
      </c>
      <c r="MI13" s="50">
        <v>0.333588</v>
      </c>
      <c r="MJ13" s="44">
        <v>0.92355799999999999</v>
      </c>
      <c r="MK13" s="50">
        <v>0</v>
      </c>
      <c r="ML13" s="50">
        <v>0.92355799999999999</v>
      </c>
      <c r="MM13" s="44">
        <v>3.0210000000000001E-2</v>
      </c>
      <c r="MN13" s="50">
        <v>0</v>
      </c>
      <c r="MO13" s="50">
        <v>3.0210000000000001E-2</v>
      </c>
      <c r="MP13" s="44">
        <v>1.6163E-2</v>
      </c>
      <c r="MQ13" s="50">
        <v>0</v>
      </c>
      <c r="MR13" s="50">
        <v>1.6163E-2</v>
      </c>
      <c r="MS13" s="44">
        <v>2.4032309999999999</v>
      </c>
      <c r="MT13" s="50">
        <v>0</v>
      </c>
      <c r="MU13" s="50">
        <v>2.4032309999999999</v>
      </c>
      <c r="MV13" s="44">
        <v>2.7501999999999999E-2</v>
      </c>
      <c r="MW13" s="50">
        <v>0</v>
      </c>
      <c r="MX13" s="50">
        <v>2.7501999999999999E-2</v>
      </c>
      <c r="MY13" s="44">
        <v>8.0279000000000003E-2</v>
      </c>
      <c r="MZ13" s="50">
        <v>0</v>
      </c>
      <c r="NA13" s="50">
        <v>8.0279000000000003E-2</v>
      </c>
      <c r="NB13" s="44">
        <v>2.175268</v>
      </c>
      <c r="NC13" s="50">
        <v>0</v>
      </c>
      <c r="ND13" s="50">
        <v>2.175268</v>
      </c>
      <c r="NE13" s="44">
        <v>0.27434900000000001</v>
      </c>
      <c r="NF13" s="50">
        <v>0</v>
      </c>
      <c r="NG13" s="50">
        <v>0.27434900000000001</v>
      </c>
      <c r="NH13" s="44">
        <f t="shared" si="59"/>
        <v>7.6091240000000004</v>
      </c>
      <c r="NI13" s="50">
        <f t="shared" si="6"/>
        <v>0</v>
      </c>
      <c r="NJ13" s="50">
        <f t="shared" si="7"/>
        <v>7.6091240000000004</v>
      </c>
      <c r="NK13" s="50">
        <f>NK14+NK15</f>
        <v>7.6091050000000005</v>
      </c>
      <c r="NL13" s="50">
        <v>0.12944800000000001</v>
      </c>
      <c r="NM13" s="50">
        <v>0</v>
      </c>
      <c r="NN13" s="50">
        <v>0.12944800000000001</v>
      </c>
      <c r="NO13" s="50">
        <v>2.0031180000000002</v>
      </c>
      <c r="NP13" s="50"/>
      <c r="NQ13" s="50">
        <v>2.0031180000000002</v>
      </c>
      <c r="NR13" s="50">
        <v>0.112058</v>
      </c>
      <c r="NS13" s="50"/>
      <c r="NT13" s="50">
        <v>0.112058</v>
      </c>
      <c r="NU13" s="50">
        <v>0.19356599999999999</v>
      </c>
      <c r="NV13" s="50"/>
      <c r="NW13" s="50">
        <v>0.19356599999999999</v>
      </c>
      <c r="NX13" s="50">
        <v>2.1815470000000001</v>
      </c>
      <c r="NY13" s="50"/>
      <c r="NZ13" s="50">
        <v>2.1815470000000001</v>
      </c>
      <c r="OA13" s="50">
        <v>0.104188</v>
      </c>
      <c r="OB13" s="50"/>
      <c r="OC13" s="50">
        <v>0.104188</v>
      </c>
      <c r="OD13" s="50">
        <v>0.16298099999999999</v>
      </c>
      <c r="OE13" s="50"/>
      <c r="OF13" s="50">
        <v>0.16298099999999999</v>
      </c>
      <c r="OG13" s="94">
        <v>2.7448480000000002</v>
      </c>
      <c r="OH13" s="50"/>
      <c r="OI13" s="94">
        <v>2.7448480000000002</v>
      </c>
      <c r="OJ13" s="50">
        <v>0.17510000000000001</v>
      </c>
      <c r="OK13" s="50"/>
      <c r="OL13" s="50">
        <v>0.17510000000000001</v>
      </c>
      <c r="OM13" s="50">
        <v>0.100187</v>
      </c>
      <c r="ON13" s="50"/>
      <c r="OO13" s="50">
        <v>0.100187</v>
      </c>
      <c r="OP13" s="50">
        <v>3.0116879999999999</v>
      </c>
      <c r="OQ13" s="50"/>
      <c r="OR13" s="50">
        <v>3.0116879999999999</v>
      </c>
      <c r="OS13" s="50">
        <v>0.14064399999999999</v>
      </c>
      <c r="OT13" s="50"/>
      <c r="OU13" s="50">
        <v>0.14064399999999999</v>
      </c>
      <c r="OV13" s="44">
        <f t="shared" si="60"/>
        <v>11.059373000000001</v>
      </c>
      <c r="OW13" s="50">
        <f t="shared" si="8"/>
        <v>0</v>
      </c>
      <c r="OX13" s="50">
        <f t="shared" si="9"/>
        <v>11.059373000000001</v>
      </c>
      <c r="OY13" s="50">
        <f>OY14+OY15</f>
        <v>11.062189</v>
      </c>
      <c r="OZ13" s="85">
        <v>0.13156200000000001</v>
      </c>
      <c r="PA13" s="50"/>
      <c r="PB13" s="50">
        <v>0.13156200000000001</v>
      </c>
      <c r="PC13" s="50">
        <v>2.8635090000000001</v>
      </c>
      <c r="PD13" s="50"/>
      <c r="PE13" s="50">
        <v>2.8635090000000001</v>
      </c>
      <c r="PF13" s="85">
        <v>0.24804399999999999</v>
      </c>
      <c r="PG13" s="50"/>
      <c r="PH13" s="50">
        <v>0.24804399999999999</v>
      </c>
      <c r="PI13" s="85">
        <v>0.155888</v>
      </c>
      <c r="PJ13" s="50"/>
      <c r="PK13" s="50">
        <v>0.155888</v>
      </c>
      <c r="PL13" s="50">
        <v>2.4874290000000001</v>
      </c>
      <c r="PM13" s="50"/>
      <c r="PN13" s="50">
        <v>2.4874290000000001</v>
      </c>
      <c r="PO13" s="50">
        <v>0.296541</v>
      </c>
      <c r="PP13" s="50"/>
      <c r="PQ13" s="50">
        <v>0.296541</v>
      </c>
      <c r="PR13" s="50">
        <v>0.200042</v>
      </c>
      <c r="PS13" s="50"/>
      <c r="PT13" s="50">
        <v>0.200042</v>
      </c>
      <c r="PU13" s="50">
        <v>3.1845129999999999</v>
      </c>
      <c r="PV13" s="50"/>
      <c r="PW13" s="50">
        <v>3.1845129999999999</v>
      </c>
      <c r="PX13" s="50">
        <v>0.165687</v>
      </c>
      <c r="PY13" s="50"/>
      <c r="PZ13" s="50">
        <v>0.165687</v>
      </c>
      <c r="QA13" s="50">
        <v>0.14504700000000001</v>
      </c>
      <c r="QB13" s="50"/>
      <c r="QC13" s="50">
        <v>0.14504700000000001</v>
      </c>
      <c r="QD13" s="50">
        <v>3.3763969999999999</v>
      </c>
      <c r="QE13" s="50"/>
      <c r="QF13" s="50">
        <v>3.3763969999999999</v>
      </c>
      <c r="QG13" s="50">
        <v>0.136156</v>
      </c>
      <c r="QH13" s="50"/>
      <c r="QI13" s="50">
        <v>0.136156</v>
      </c>
      <c r="QJ13" s="44">
        <f t="shared" si="38"/>
        <v>13.390815</v>
      </c>
      <c r="QK13" s="50">
        <f t="shared" si="39"/>
        <v>0</v>
      </c>
      <c r="QL13" s="50">
        <f t="shared" si="40"/>
        <v>13.390815</v>
      </c>
      <c r="QM13" s="50">
        <f>QM14+QM15</f>
        <v>13.390813</v>
      </c>
      <c r="QN13" s="50">
        <v>0.16145000000000001</v>
      </c>
      <c r="QO13" s="50"/>
      <c r="QP13" s="50">
        <v>0.16145000000000001</v>
      </c>
      <c r="QQ13" s="50">
        <v>3.2140490000000002</v>
      </c>
      <c r="QR13" s="50"/>
      <c r="QS13" s="50">
        <v>3.2140490000000002</v>
      </c>
      <c r="QT13" s="50">
        <v>0.23876600000000001</v>
      </c>
      <c r="QU13" s="50"/>
      <c r="QV13" s="50">
        <v>0.23876600000000001</v>
      </c>
      <c r="QW13" s="50">
        <v>0.30864399999999997</v>
      </c>
      <c r="QX13" s="50"/>
      <c r="QY13" s="50">
        <v>0.30864399999999997</v>
      </c>
      <c r="QZ13" s="50">
        <v>3.810953</v>
      </c>
      <c r="RA13" s="50"/>
      <c r="RB13" s="50">
        <v>3.810953</v>
      </c>
      <c r="RC13" s="50">
        <v>0.29780299999999998</v>
      </c>
      <c r="RD13" s="50"/>
      <c r="RE13" s="50">
        <v>0.29780299999999998</v>
      </c>
      <c r="RF13" s="50">
        <v>0.25950499999999999</v>
      </c>
      <c r="RG13" s="50"/>
      <c r="RH13" s="50">
        <v>0.25950499999999999</v>
      </c>
      <c r="RI13" s="50">
        <v>4.4927159999999997</v>
      </c>
      <c r="RJ13" s="50"/>
      <c r="RK13" s="50">
        <v>4.4927159999999997</v>
      </c>
      <c r="RL13" s="50">
        <v>0.336974</v>
      </c>
      <c r="RM13" s="50"/>
      <c r="RN13" s="50">
        <v>0.336974</v>
      </c>
      <c r="RO13" s="50">
        <v>0.26042199999999999</v>
      </c>
      <c r="RP13" s="50"/>
      <c r="RQ13" s="50">
        <v>0.26042199999999999</v>
      </c>
      <c r="RR13" s="50">
        <v>5.0065819999999999</v>
      </c>
      <c r="RS13" s="50"/>
      <c r="RT13" s="50">
        <v>5.0065819999999999</v>
      </c>
      <c r="RU13" s="50">
        <v>6.0963000000000003E-2</v>
      </c>
      <c r="RV13" s="50"/>
      <c r="RW13" s="50">
        <v>6.0963000000000003E-2</v>
      </c>
      <c r="RX13" s="44">
        <f t="shared" si="41"/>
        <v>18.448827000000001</v>
      </c>
      <c r="RY13" s="50">
        <f t="shared" si="42"/>
        <v>0</v>
      </c>
      <c r="RZ13" s="50">
        <f t="shared" si="43"/>
        <v>18.448827000000001</v>
      </c>
      <c r="SA13" s="50">
        <f>SA14+SA15</f>
        <v>18.448827999999999</v>
      </c>
      <c r="SB13" s="50">
        <v>0.284084</v>
      </c>
      <c r="SC13" s="50"/>
      <c r="SD13" s="50">
        <v>0.284084</v>
      </c>
      <c r="SE13" s="50">
        <v>4.6010410000000004</v>
      </c>
      <c r="SF13" s="50"/>
      <c r="SG13" s="50">
        <v>4.6010410000000004</v>
      </c>
      <c r="SH13" s="50">
        <v>0.22739300000000001</v>
      </c>
      <c r="SI13" s="50"/>
      <c r="SJ13" s="50">
        <v>0.22739300000000001</v>
      </c>
      <c r="SK13" s="50">
        <v>0.31733</v>
      </c>
      <c r="SL13" s="50"/>
      <c r="SM13" s="50">
        <v>0.31733</v>
      </c>
      <c r="SN13" s="50">
        <f t="shared" si="44"/>
        <v>4.2076070000000003</v>
      </c>
      <c r="SO13" s="50"/>
      <c r="SP13" s="50">
        <v>4.2076070000000003</v>
      </c>
      <c r="SQ13" s="50">
        <v>0.18746099999999999</v>
      </c>
      <c r="SR13" s="50"/>
      <c r="SS13" s="50">
        <v>0.18746099999999999</v>
      </c>
      <c r="ST13" s="50">
        <v>0.17619299999999999</v>
      </c>
      <c r="SU13" s="50"/>
      <c r="SV13" s="50">
        <v>0.17619299999999999</v>
      </c>
      <c r="SW13" s="50">
        <v>4.7829819999999996</v>
      </c>
      <c r="SX13" s="50"/>
      <c r="SY13" s="50">
        <v>4.7829819999999996</v>
      </c>
      <c r="SZ13" s="50">
        <v>0.177313</v>
      </c>
      <c r="TA13" s="50"/>
      <c r="TB13" s="50">
        <v>0.177313</v>
      </c>
      <c r="TC13" s="50">
        <v>0.15276300000000001</v>
      </c>
      <c r="TD13" s="50"/>
      <c r="TE13" s="50">
        <v>0.15276300000000001</v>
      </c>
      <c r="TF13" s="50">
        <v>5.3913950000000002</v>
      </c>
      <c r="TG13" s="50"/>
      <c r="TH13" s="50">
        <v>5.3913950000000002</v>
      </c>
      <c r="TI13" s="50">
        <v>0.16938300000000001</v>
      </c>
      <c r="TJ13" s="50"/>
      <c r="TK13" s="50">
        <v>0.16938300000000001</v>
      </c>
      <c r="TL13" s="44">
        <f t="shared" si="45"/>
        <v>20.674945000000001</v>
      </c>
      <c r="TM13" s="50">
        <f t="shared" si="46"/>
        <v>0</v>
      </c>
      <c r="TN13" s="50">
        <f t="shared" si="47"/>
        <v>20.674945000000001</v>
      </c>
      <c r="TO13" s="50">
        <v>0.147646</v>
      </c>
      <c r="TP13" s="50"/>
      <c r="TQ13" s="50">
        <v>0.147646</v>
      </c>
      <c r="TR13" s="50">
        <f t="shared" si="48"/>
        <v>5.4995319999999994</v>
      </c>
      <c r="TS13" s="50"/>
      <c r="TT13" s="50">
        <v>5.4995319999999994</v>
      </c>
      <c r="TU13" s="50">
        <v>0.30173300000000003</v>
      </c>
      <c r="TV13" s="50"/>
      <c r="TW13" s="50">
        <v>0.30173300000000003</v>
      </c>
      <c r="TX13" s="50">
        <f t="shared" si="49"/>
        <v>0.185117</v>
      </c>
      <c r="TY13" s="50"/>
      <c r="TZ13" s="50">
        <v>0.185117</v>
      </c>
      <c r="UA13" s="50"/>
      <c r="UB13" s="50"/>
      <c r="UC13" s="50"/>
      <c r="UD13" s="50"/>
      <c r="UE13" s="50"/>
      <c r="UF13" s="50"/>
      <c r="UG13" s="50"/>
      <c r="UH13" s="50"/>
      <c r="UI13" s="50"/>
      <c r="UJ13" s="50"/>
      <c r="UK13" s="50"/>
      <c r="UL13" s="50"/>
      <c r="UM13" s="50"/>
      <c r="UN13" s="50"/>
      <c r="UO13" s="50"/>
      <c r="UP13" s="50"/>
      <c r="UQ13" s="50"/>
      <c r="UR13" s="50"/>
      <c r="US13" s="50"/>
      <c r="UT13" s="50"/>
      <c r="UU13" s="50"/>
      <c r="UV13" s="50"/>
      <c r="UW13" s="50"/>
      <c r="UX13" s="50"/>
      <c r="UY13" s="292">
        <f t="shared" si="50"/>
        <v>5.4298479999999998</v>
      </c>
      <c r="UZ13" s="276">
        <f t="shared" si="51"/>
        <v>0</v>
      </c>
      <c r="VA13" s="276">
        <f t="shared" si="52"/>
        <v>5.4298479999999998</v>
      </c>
      <c r="VB13" s="292">
        <f t="shared" si="53"/>
        <v>6.1340279999999998</v>
      </c>
      <c r="VC13" s="276">
        <f t="shared" si="54"/>
        <v>0</v>
      </c>
      <c r="VD13" s="276">
        <f t="shared" si="55"/>
        <v>6.1340279999999998</v>
      </c>
      <c r="VE13" s="277">
        <f t="shared" si="56"/>
        <v>0.70418000000000003</v>
      </c>
      <c r="VF13" s="277">
        <f t="shared" si="57"/>
        <v>12.96868715293688</v>
      </c>
    </row>
    <row r="14" spans="1:578" s="12" customFormat="1" ht="20.5">
      <c r="A14" s="47" t="s">
        <v>235</v>
      </c>
      <c r="B14" s="13" t="s">
        <v>203</v>
      </c>
      <c r="C14" s="47" t="s">
        <v>67</v>
      </c>
      <c r="D14" s="42">
        <v>10.391948537572354</v>
      </c>
      <c r="E14" s="42">
        <v>10.063791611886103</v>
      </c>
      <c r="F14" s="42">
        <v>7.0743208632847843</v>
      </c>
      <c r="G14" s="42">
        <v>5.2206148513668102</v>
      </c>
      <c r="H14" s="42">
        <v>0.42706359098696084</v>
      </c>
      <c r="I14" s="42">
        <v>0.43479547640593968</v>
      </c>
      <c r="J14" s="42">
        <v>0.41692847507982306</v>
      </c>
      <c r="K14" s="42">
        <v>0.43208632847849471</v>
      </c>
      <c r="L14" s="42">
        <v>0.63131683940330441</v>
      </c>
      <c r="M14" s="42">
        <v>0.24394994906118916</v>
      </c>
      <c r="N14" s="42">
        <v>0.47485500936249658</v>
      </c>
      <c r="O14" s="42">
        <v>0.47898133761333173</v>
      </c>
      <c r="P14" s="42">
        <v>0.47827132457982596</v>
      </c>
      <c r="Q14" s="42">
        <v>0.47922038007751805</v>
      </c>
      <c r="R14" s="42">
        <v>0.48163214779654073</v>
      </c>
      <c r="S14" s="42">
        <v>0.48709739842118149</v>
      </c>
      <c r="T14" s="42">
        <v>5.4661982572666066</v>
      </c>
      <c r="U14" s="42">
        <v>0</v>
      </c>
      <c r="V14" s="42">
        <v>5.4661982572666066</v>
      </c>
      <c r="W14" s="42">
        <v>5.4661996801384172</v>
      </c>
      <c r="X14" s="42">
        <v>0.4920973699637452</v>
      </c>
      <c r="Y14" s="42">
        <v>0.55283834468785042</v>
      </c>
      <c r="Z14" s="42">
        <v>0.54974502137153458</v>
      </c>
      <c r="AA14" s="42">
        <v>0.55146527339058971</v>
      </c>
      <c r="AB14" s="42">
        <v>0.55552330379451453</v>
      </c>
      <c r="AC14" s="42">
        <v>0.55117927615665252</v>
      </c>
      <c r="AD14" s="42">
        <v>0.5521027199617532</v>
      </c>
      <c r="AE14" s="42">
        <v>0.55635426093192419</v>
      </c>
      <c r="AF14" s="42">
        <v>0.55614794451938243</v>
      </c>
      <c r="AG14" s="42">
        <v>0.56040517697679582</v>
      </c>
      <c r="AH14" s="42">
        <v>0.55948884753074823</v>
      </c>
      <c r="AI14" s="42">
        <v>0.57140824468841955</v>
      </c>
      <c r="AJ14" s="42">
        <v>6.6087557839739102</v>
      </c>
      <c r="AK14" s="42">
        <v>0</v>
      </c>
      <c r="AL14" s="42">
        <v>6.6087557839739102</v>
      </c>
      <c r="AM14" s="42">
        <v>6.6087543611020996</v>
      </c>
      <c r="AN14" s="42">
        <v>0.56004519040870571</v>
      </c>
      <c r="AO14" s="42">
        <v>0.56749961582461117</v>
      </c>
      <c r="AP14" s="42">
        <v>0.56693615858760049</v>
      </c>
      <c r="AQ14" s="42">
        <v>0.56915441574037717</v>
      </c>
      <c r="AR14" s="42">
        <v>0.5646367977416179</v>
      </c>
      <c r="AS14" s="42">
        <v>0.57560287078616512</v>
      </c>
      <c r="AT14" s="42">
        <v>0.56594726267921069</v>
      </c>
      <c r="AU14" s="42">
        <v>0.56705994843512564</v>
      </c>
      <c r="AV14" s="42">
        <v>0.57074518642466465</v>
      </c>
      <c r="AW14" s="42">
        <v>0.56894809932783541</v>
      </c>
      <c r="AX14" s="42">
        <v>0.56584481590884517</v>
      </c>
      <c r="AY14" s="42">
        <v>0.57087466775943219</v>
      </c>
      <c r="AZ14" s="42">
        <v>6.8132950296241912</v>
      </c>
      <c r="BA14" s="42">
        <v>0</v>
      </c>
      <c r="BB14" s="42">
        <v>6.8132950296241912</v>
      </c>
      <c r="BC14" s="42">
        <v>6.8132950296241912</v>
      </c>
      <c r="BD14" s="49">
        <v>0.58584800000000004</v>
      </c>
      <c r="BE14" s="42"/>
      <c r="BF14" s="49">
        <f>BD14+BE14</f>
        <v>0.58584800000000004</v>
      </c>
      <c r="BG14" s="44">
        <v>0.57199599999999995</v>
      </c>
      <c r="BH14" s="42"/>
      <c r="BI14" s="44">
        <f>BG14+BH14</f>
        <v>0.57199599999999995</v>
      </c>
      <c r="BJ14" s="44">
        <v>0.57059899999999997</v>
      </c>
      <c r="BK14" s="44"/>
      <c r="BL14" s="44">
        <f>BJ14+BK14</f>
        <v>0.57059899999999997</v>
      </c>
      <c r="BM14" s="44">
        <v>0.57480799999999999</v>
      </c>
      <c r="BN14" s="44"/>
      <c r="BO14" s="44">
        <f>BM14+BN14</f>
        <v>0.57480799999999999</v>
      </c>
      <c r="BP14" s="44">
        <v>0.57925599999999999</v>
      </c>
      <c r="BQ14" s="44"/>
      <c r="BR14" s="44">
        <f>BP14+BQ14</f>
        <v>0.57925599999999999</v>
      </c>
      <c r="BS14" s="44">
        <v>0.58030599999999999</v>
      </c>
      <c r="BT14" s="42"/>
      <c r="BU14" s="44">
        <f>BS14+BT14</f>
        <v>0.58030599999999999</v>
      </c>
      <c r="BV14" s="44">
        <v>0.59251900000000002</v>
      </c>
      <c r="BW14" s="42"/>
      <c r="BX14" s="44">
        <f>BV14+BW14</f>
        <v>0.59251900000000002</v>
      </c>
      <c r="BY14" s="44">
        <v>0.59185699999999997</v>
      </c>
      <c r="BZ14" s="42"/>
      <c r="CA14" s="44">
        <f>BY14+BZ14</f>
        <v>0.59185699999999997</v>
      </c>
      <c r="CB14" s="44">
        <v>0.58978399999999997</v>
      </c>
      <c r="CC14" s="42"/>
      <c r="CD14" s="44">
        <f>CB14+CC14</f>
        <v>0.58978399999999997</v>
      </c>
      <c r="CE14" s="44">
        <v>0.59268900000000002</v>
      </c>
      <c r="CF14" s="44"/>
      <c r="CG14" s="44">
        <f>CE14+CF14</f>
        <v>0.59268900000000002</v>
      </c>
      <c r="CH14" s="44">
        <v>0.59550999999999998</v>
      </c>
      <c r="CI14" s="42"/>
      <c r="CJ14" s="44">
        <f>CH14+CI14</f>
        <v>0.59550999999999998</v>
      </c>
      <c r="CK14" s="44">
        <v>0.59850499999999995</v>
      </c>
      <c r="CL14" s="42"/>
      <c r="CM14" s="44">
        <f>CK14+CL14</f>
        <v>0.59850499999999995</v>
      </c>
      <c r="CN14" s="50">
        <f t="shared" si="20"/>
        <v>7.0236770000000002</v>
      </c>
      <c r="CO14" s="50"/>
      <c r="CP14" s="50">
        <f t="shared" si="21"/>
        <v>7.0236770000000002</v>
      </c>
      <c r="CQ14" s="50">
        <v>7.0236780000000003</v>
      </c>
      <c r="CR14" s="44">
        <v>0.59738999999999998</v>
      </c>
      <c r="CS14" s="42"/>
      <c r="CT14" s="44">
        <f>CR14+CS14</f>
        <v>0.59738999999999998</v>
      </c>
      <c r="CU14" s="44">
        <v>0.60211800000000004</v>
      </c>
      <c r="CV14" s="42"/>
      <c r="CW14" s="44">
        <v>0.60211800000000004</v>
      </c>
      <c r="CX14" s="44">
        <v>0.59519500000000003</v>
      </c>
      <c r="CY14" s="42"/>
      <c r="CZ14" s="44">
        <v>0.59519500000000003</v>
      </c>
      <c r="DA14" s="44">
        <v>0.59826599999999996</v>
      </c>
      <c r="DB14" s="42"/>
      <c r="DC14" s="44">
        <v>0.59826599999999996</v>
      </c>
      <c r="DD14" s="44">
        <v>0.60152499999999998</v>
      </c>
      <c r="DE14" s="42"/>
      <c r="DF14" s="44">
        <v>0.60152499999999998</v>
      </c>
      <c r="DG14" s="44">
        <v>0.61326400000000003</v>
      </c>
      <c r="DH14" s="42"/>
      <c r="DI14" s="44">
        <v>0.61326400000000003</v>
      </c>
      <c r="DJ14" s="44">
        <v>0.607433</v>
      </c>
      <c r="DK14" s="42"/>
      <c r="DL14" s="44">
        <v>0.607433</v>
      </c>
      <c r="DM14" s="44">
        <v>0.60654699999999995</v>
      </c>
      <c r="DN14" s="42"/>
      <c r="DO14" s="44">
        <v>0.60654699999999995</v>
      </c>
      <c r="DP14" s="44">
        <v>0.61496899999999999</v>
      </c>
      <c r="DQ14" s="42"/>
      <c r="DR14" s="44">
        <v>0.61496899999999999</v>
      </c>
      <c r="DS14" s="44">
        <v>0.62426300000000001</v>
      </c>
      <c r="DT14" s="42"/>
      <c r="DU14" s="44">
        <v>0.62426300000000001</v>
      </c>
      <c r="DV14" s="44">
        <v>0.62601399999999996</v>
      </c>
      <c r="DW14" s="42"/>
      <c r="DX14" s="44">
        <v>0.62601399999999996</v>
      </c>
      <c r="DY14" s="44">
        <v>0.633571</v>
      </c>
      <c r="DZ14" s="42"/>
      <c r="EA14" s="44">
        <v>0.633571</v>
      </c>
      <c r="EB14" s="44">
        <f t="shared" si="22"/>
        <v>7.3205549999999997</v>
      </c>
      <c r="EC14" s="50">
        <f t="shared" si="23"/>
        <v>0</v>
      </c>
      <c r="ED14" s="50">
        <f t="shared" si="24"/>
        <v>7.3205549999999997</v>
      </c>
      <c r="EE14" s="140">
        <v>7.3205479999999996</v>
      </c>
      <c r="EF14" s="50">
        <v>0.63666999999999996</v>
      </c>
      <c r="EG14" s="50"/>
      <c r="EH14" s="50">
        <v>0.63666999999999996</v>
      </c>
      <c r="EI14" s="50">
        <v>0.64610400000000001</v>
      </c>
      <c r="EJ14" s="50"/>
      <c r="EK14" s="50">
        <v>0.64610400000000001</v>
      </c>
      <c r="EL14" s="50">
        <v>0.63984799999999997</v>
      </c>
      <c r="EM14" s="50"/>
      <c r="EN14" s="50">
        <v>0.63984799999999997</v>
      </c>
      <c r="EO14" s="50">
        <v>0.64912599999999998</v>
      </c>
      <c r="EP14" s="50"/>
      <c r="EQ14" s="50">
        <v>0.64912599999999998</v>
      </c>
      <c r="ER14" s="50">
        <v>0.64647600000000005</v>
      </c>
      <c r="ES14" s="50"/>
      <c r="ET14" s="50">
        <v>0.64647600000000005</v>
      </c>
      <c r="EU14" s="50">
        <v>0.65339400000000003</v>
      </c>
      <c r="EV14" s="50"/>
      <c r="EW14" s="50">
        <v>0.65339400000000003</v>
      </c>
      <c r="EX14" s="50">
        <v>0.66637400000000002</v>
      </c>
      <c r="EY14" s="50"/>
      <c r="EZ14" s="50">
        <v>0.66637400000000002</v>
      </c>
      <c r="FA14" s="50">
        <v>0.66928299999999996</v>
      </c>
      <c r="FB14" s="50"/>
      <c r="FC14" s="50">
        <v>0.66928299999999996</v>
      </c>
      <c r="FD14" s="50">
        <v>0.66656499999999996</v>
      </c>
      <c r="FE14" s="50"/>
      <c r="FF14" s="50">
        <v>0.66656499999999996</v>
      </c>
      <c r="FG14" s="50">
        <v>0.67333699999999996</v>
      </c>
      <c r="FH14" s="50"/>
      <c r="FI14" s="50">
        <v>0.67333699999999996</v>
      </c>
      <c r="FJ14" s="50">
        <v>0.69799699999999998</v>
      </c>
      <c r="FK14" s="50"/>
      <c r="FL14" s="50">
        <v>0.69799699999999998</v>
      </c>
      <c r="FM14" s="50">
        <v>0.64489700000000005</v>
      </c>
      <c r="FN14" s="50"/>
      <c r="FO14" s="50">
        <v>0.64489700000000005</v>
      </c>
      <c r="FP14" s="50">
        <f t="shared" si="25"/>
        <v>7.8900710000000007</v>
      </c>
      <c r="FQ14" s="50">
        <f t="shared" si="26"/>
        <v>0</v>
      </c>
      <c r="FR14" s="50">
        <f t="shared" si="27"/>
        <v>7.8900710000000007</v>
      </c>
      <c r="FS14" s="94">
        <v>7.8900740000000003</v>
      </c>
      <c r="FT14" s="50">
        <v>0.67378499999999997</v>
      </c>
      <c r="FU14" s="50"/>
      <c r="FV14" s="50">
        <v>0.67378499999999997</v>
      </c>
      <c r="FW14" s="50">
        <v>0.68869400000000003</v>
      </c>
      <c r="FX14" s="50"/>
      <c r="FY14" s="50">
        <v>0.68869400000000003</v>
      </c>
      <c r="FZ14" s="50">
        <v>0.67632599999999998</v>
      </c>
      <c r="GA14" s="50"/>
      <c r="GB14" s="50">
        <v>0.67632599999999998</v>
      </c>
      <c r="GC14" s="50">
        <v>0.69862199999999997</v>
      </c>
      <c r="GD14" s="50"/>
      <c r="GE14" s="50">
        <v>0.69862199999999997</v>
      </c>
      <c r="GF14" s="50">
        <v>0.685558</v>
      </c>
      <c r="GG14" s="50"/>
      <c r="GH14" s="50">
        <v>0.685558</v>
      </c>
      <c r="GI14" s="50">
        <v>0.69120000000000004</v>
      </c>
      <c r="GJ14" s="50"/>
      <c r="GK14" s="50">
        <v>0.69120000000000004</v>
      </c>
      <c r="GL14" s="50">
        <v>0.67997799999999997</v>
      </c>
      <c r="GM14" s="50"/>
      <c r="GN14" s="50">
        <v>0.67997799999999997</v>
      </c>
      <c r="GO14" s="50">
        <v>0.68984199999999996</v>
      </c>
      <c r="GP14" s="50"/>
      <c r="GQ14" s="50">
        <v>0.68984199999999996</v>
      </c>
      <c r="GR14" s="50">
        <v>0.69211800000000001</v>
      </c>
      <c r="GS14" s="50">
        <v>0</v>
      </c>
      <c r="GT14" s="50">
        <v>0.69211800000000001</v>
      </c>
      <c r="GU14" s="50">
        <v>0.69867500000000005</v>
      </c>
      <c r="GV14" s="50">
        <v>0</v>
      </c>
      <c r="GW14" s="50">
        <v>0.69867500000000005</v>
      </c>
      <c r="GX14" s="50">
        <v>0.702712</v>
      </c>
      <c r="GY14" s="50">
        <v>0</v>
      </c>
      <c r="GZ14" s="50">
        <v>0.702712</v>
      </c>
      <c r="HA14" s="50">
        <v>0.69512300000000005</v>
      </c>
      <c r="HB14" s="50">
        <v>0</v>
      </c>
      <c r="HC14" s="50">
        <v>0.69512300000000005</v>
      </c>
      <c r="HD14" s="50">
        <f t="shared" si="28"/>
        <v>8.272632999999999</v>
      </c>
      <c r="HE14" s="50">
        <f t="shared" si="29"/>
        <v>0</v>
      </c>
      <c r="HF14" s="50">
        <f t="shared" si="30"/>
        <v>8.272632999999999</v>
      </c>
      <c r="HG14" s="50">
        <v>8.2726330000000008</v>
      </c>
      <c r="HH14" s="50">
        <v>0.69847199999999998</v>
      </c>
      <c r="HI14" s="50">
        <v>0</v>
      </c>
      <c r="HJ14" s="50">
        <v>0.69847199999999998</v>
      </c>
      <c r="HK14" s="50">
        <v>0.87538499999999997</v>
      </c>
      <c r="HL14" s="50">
        <v>0</v>
      </c>
      <c r="HM14" s="50">
        <v>0.87538499999999997</v>
      </c>
      <c r="HN14" s="50">
        <v>0.850831</v>
      </c>
      <c r="HO14" s="50">
        <v>0</v>
      </c>
      <c r="HP14" s="50">
        <v>0.850831</v>
      </c>
      <c r="HQ14" s="50">
        <v>0.66020000000000001</v>
      </c>
      <c r="HR14" s="50">
        <v>0</v>
      </c>
      <c r="HS14" s="50">
        <v>0.66020000000000001</v>
      </c>
      <c r="HT14" s="50">
        <v>0.77847200000000005</v>
      </c>
      <c r="HU14" s="50">
        <v>0</v>
      </c>
      <c r="HV14" s="50">
        <v>0.77847200000000005</v>
      </c>
      <c r="HW14" s="50">
        <v>0.79646499999999998</v>
      </c>
      <c r="HX14" s="50">
        <v>0</v>
      </c>
      <c r="HY14" s="50">
        <v>0.79646499999999998</v>
      </c>
      <c r="HZ14" s="50">
        <v>0.80013100000000004</v>
      </c>
      <c r="IA14" s="50">
        <v>0</v>
      </c>
      <c r="IB14" s="50">
        <v>0.80013100000000004</v>
      </c>
      <c r="IC14" s="50">
        <v>0.79664800000000002</v>
      </c>
      <c r="ID14" s="50">
        <v>0</v>
      </c>
      <c r="IE14" s="50">
        <v>0.79664800000000002</v>
      </c>
      <c r="IF14" s="50">
        <v>0.79200700000000002</v>
      </c>
      <c r="IG14" s="50">
        <v>0</v>
      </c>
      <c r="IH14" s="50">
        <v>0.79200700000000002</v>
      </c>
      <c r="II14" s="50">
        <v>0.78986000000000001</v>
      </c>
      <c r="IJ14" s="50">
        <v>0</v>
      </c>
      <c r="IK14" s="50">
        <v>0.78986000000000001</v>
      </c>
      <c r="IL14" s="50">
        <v>0.80593000000000004</v>
      </c>
      <c r="IM14" s="50">
        <v>0</v>
      </c>
      <c r="IN14" s="50">
        <v>0.80593000000000004</v>
      </c>
      <c r="IO14" s="50">
        <v>0.78741099999999997</v>
      </c>
      <c r="IP14" s="50">
        <v>0</v>
      </c>
      <c r="IQ14" s="50">
        <v>0.78741099999999997</v>
      </c>
      <c r="IR14" s="44">
        <f t="shared" si="34"/>
        <v>9.4318120000000008</v>
      </c>
      <c r="IS14" s="50">
        <f t="shared" si="35"/>
        <v>0</v>
      </c>
      <c r="IT14" s="50">
        <f t="shared" si="36"/>
        <v>9.4318120000000008</v>
      </c>
      <c r="IU14" s="50">
        <v>9.4318109999999997</v>
      </c>
      <c r="IV14" s="44">
        <v>0.79748399999999997</v>
      </c>
      <c r="IW14" s="50">
        <v>0</v>
      </c>
      <c r="IX14" s="50">
        <v>0.79748399999999997</v>
      </c>
      <c r="IY14" s="44">
        <v>0.85669200000000001</v>
      </c>
      <c r="IZ14" s="50">
        <v>0</v>
      </c>
      <c r="JA14" s="50">
        <v>0.85669200000000001</v>
      </c>
      <c r="JB14" s="44">
        <v>0.79659899999999995</v>
      </c>
      <c r="JC14" s="50">
        <v>0</v>
      </c>
      <c r="JD14" s="50">
        <v>0.79659899999999995</v>
      </c>
      <c r="JE14" s="44">
        <v>0.79698000000000002</v>
      </c>
      <c r="JF14" s="50">
        <v>0</v>
      </c>
      <c r="JG14" s="50">
        <v>0.79698000000000002</v>
      </c>
      <c r="JH14" s="44">
        <v>0.79444499999999996</v>
      </c>
      <c r="JI14" s="50">
        <v>0</v>
      </c>
      <c r="JJ14" s="50">
        <v>0.79444499999999996</v>
      </c>
      <c r="JK14" s="44">
        <v>0.79669000000000001</v>
      </c>
      <c r="JL14" s="50">
        <v>0</v>
      </c>
      <c r="JM14" s="50">
        <v>0.79669000000000001</v>
      </c>
      <c r="JN14" s="44">
        <v>0.78649500000000006</v>
      </c>
      <c r="JO14" s="50">
        <v>0</v>
      </c>
      <c r="JP14" s="50">
        <v>0.78649500000000006</v>
      </c>
      <c r="JQ14" s="44">
        <v>0.79634400000000005</v>
      </c>
      <c r="JR14" s="50">
        <v>0</v>
      </c>
      <c r="JS14" s="50">
        <v>0.79634400000000005</v>
      </c>
      <c r="JT14" s="44">
        <v>0.79312000000000005</v>
      </c>
      <c r="JU14" s="50">
        <v>0</v>
      </c>
      <c r="JV14" s="50">
        <v>0.79312000000000005</v>
      </c>
      <c r="JW14" s="44">
        <v>0.79132000000000002</v>
      </c>
      <c r="JX14" s="50">
        <v>0</v>
      </c>
      <c r="JY14" s="50">
        <v>0.79132000000000002</v>
      </c>
      <c r="JZ14" s="44">
        <v>0.79930800000000002</v>
      </c>
      <c r="KA14" s="50">
        <v>0</v>
      </c>
      <c r="KB14" s="50">
        <v>0.79930800000000002</v>
      </c>
      <c r="KC14" s="44">
        <v>0.80022599999999999</v>
      </c>
      <c r="KD14" s="50">
        <v>0</v>
      </c>
      <c r="KE14" s="50">
        <v>0.80022599999999999</v>
      </c>
      <c r="KF14" s="44">
        <f t="shared" si="37"/>
        <v>9.6057030000000019</v>
      </c>
      <c r="KG14" s="50">
        <f t="shared" si="3"/>
        <v>0</v>
      </c>
      <c r="KH14" s="50">
        <f t="shared" si="4"/>
        <v>9.6057030000000019</v>
      </c>
      <c r="KI14" s="50">
        <v>9.6057009999999998</v>
      </c>
      <c r="KJ14" s="44">
        <v>0.798265</v>
      </c>
      <c r="KK14" s="50">
        <v>0</v>
      </c>
      <c r="KL14" s="50">
        <v>0.798265</v>
      </c>
      <c r="KM14" s="44">
        <v>0.26619199999999998</v>
      </c>
      <c r="KN14" s="50">
        <v>0</v>
      </c>
      <c r="KO14" s="50">
        <v>0.26619199999999998</v>
      </c>
      <c r="KP14" s="44">
        <v>0.25846200000000003</v>
      </c>
      <c r="KQ14" s="50">
        <v>0</v>
      </c>
      <c r="KR14" s="50">
        <v>0.25846200000000003</v>
      </c>
      <c r="KS14" s="50">
        <v>4.9052999999999999E-2</v>
      </c>
      <c r="KT14" s="50"/>
      <c r="KU14" s="50">
        <v>4.9052999999999999E-2</v>
      </c>
      <c r="KV14" s="50">
        <v>-2.4386000000000001E-2</v>
      </c>
      <c r="KW14" s="50">
        <v>0</v>
      </c>
      <c r="KX14" s="50">
        <v>-2.4386000000000001E-2</v>
      </c>
      <c r="KY14" s="50">
        <v>0</v>
      </c>
      <c r="KZ14" s="50">
        <v>0</v>
      </c>
      <c r="LA14" s="50">
        <v>0</v>
      </c>
      <c r="LB14" s="44">
        <v>0.13556699999999999</v>
      </c>
      <c r="LC14" s="50">
        <v>0</v>
      </c>
      <c r="LD14" s="50">
        <v>0.13556699999999999</v>
      </c>
      <c r="LE14" s="44">
        <v>0.15706999999999999</v>
      </c>
      <c r="LF14" s="44"/>
      <c r="LG14" s="44">
        <v>0.15706999999999999</v>
      </c>
      <c r="LH14" s="44">
        <v>0.15385499999999999</v>
      </c>
      <c r="LI14" s="50">
        <v>0</v>
      </c>
      <c r="LJ14" s="50">
        <v>0.15385499999999999</v>
      </c>
      <c r="LK14" s="44">
        <v>0.14805099999999999</v>
      </c>
      <c r="LL14" s="50">
        <v>0</v>
      </c>
      <c r="LM14" s="50">
        <v>0.14805099999999999</v>
      </c>
      <c r="LN14" s="44">
        <v>0.13415299999999999</v>
      </c>
      <c r="LO14" s="50">
        <v>0</v>
      </c>
      <c r="LP14" s="50">
        <v>0.13415299999999999</v>
      </c>
      <c r="LQ14" s="44">
        <v>6.9287000000000001E-2</v>
      </c>
      <c r="LR14" s="50">
        <v>0</v>
      </c>
      <c r="LS14" s="50">
        <v>6.9287000000000001E-2</v>
      </c>
      <c r="LT14" s="44">
        <f t="shared" si="58"/>
        <v>2.1455690000000001</v>
      </c>
      <c r="LU14" s="50">
        <f t="shared" si="5"/>
        <v>0</v>
      </c>
      <c r="LV14" s="50">
        <f t="shared" si="5"/>
        <v>2.1455690000000001</v>
      </c>
      <c r="LW14" s="50">
        <v>2.1455690000000001</v>
      </c>
      <c r="LX14" s="178">
        <v>0</v>
      </c>
      <c r="LY14" s="36">
        <v>0</v>
      </c>
      <c r="LZ14" s="36">
        <v>0</v>
      </c>
      <c r="MA14" s="44"/>
      <c r="MB14" s="50">
        <v>0</v>
      </c>
      <c r="MC14" s="50"/>
      <c r="MD14" s="44">
        <v>0</v>
      </c>
      <c r="ME14" s="50">
        <v>0</v>
      </c>
      <c r="MF14" s="50">
        <v>0</v>
      </c>
      <c r="MG14" s="194">
        <v>7.3099999999999999E-4</v>
      </c>
      <c r="MH14" s="50">
        <v>0</v>
      </c>
      <c r="MI14" s="50">
        <v>7.3099999999999999E-4</v>
      </c>
      <c r="MJ14" s="44">
        <v>4.64E-4</v>
      </c>
      <c r="MK14" s="50">
        <v>0</v>
      </c>
      <c r="ML14" s="50">
        <v>4.64E-4</v>
      </c>
      <c r="MM14" s="44">
        <v>-5.5199999999999997E-4</v>
      </c>
      <c r="MN14" s="50">
        <v>0</v>
      </c>
      <c r="MO14" s="50">
        <v>-5.5199999999999997E-4</v>
      </c>
      <c r="MP14" s="44">
        <v>1.1769E-2</v>
      </c>
      <c r="MQ14" s="50">
        <v>0</v>
      </c>
      <c r="MR14" s="50">
        <v>1.1769E-2</v>
      </c>
      <c r="MS14" s="44">
        <v>9.7200999999999996E-2</v>
      </c>
      <c r="MT14" s="50">
        <v>0</v>
      </c>
      <c r="MU14" s="50">
        <v>9.7200999999999996E-2</v>
      </c>
      <c r="MV14" s="44">
        <v>4.1930000000000002E-2</v>
      </c>
      <c r="MW14" s="50">
        <v>0</v>
      </c>
      <c r="MX14" s="50">
        <v>4.1930000000000002E-2</v>
      </c>
      <c r="MY14" s="44">
        <v>7.5277999999999998E-2</v>
      </c>
      <c r="MZ14" s="50">
        <v>0</v>
      </c>
      <c r="NA14" s="50">
        <v>7.5277999999999998E-2</v>
      </c>
      <c r="NB14" s="44">
        <v>3.3614999999999999E-2</v>
      </c>
      <c r="NC14" s="50">
        <v>0</v>
      </c>
      <c r="ND14" s="50">
        <v>3.3614999999999999E-2</v>
      </c>
      <c r="NE14" s="44">
        <v>-9.8849999999999997E-3</v>
      </c>
      <c r="NF14" s="50">
        <v>0</v>
      </c>
      <c r="NG14" s="50">
        <v>-9.8849999999999997E-3</v>
      </c>
      <c r="NH14" s="44">
        <f t="shared" si="59"/>
        <v>0.25055100000000002</v>
      </c>
      <c r="NI14" s="50">
        <f t="shared" si="6"/>
        <v>0</v>
      </c>
      <c r="NJ14" s="50">
        <f t="shared" si="7"/>
        <v>0.25055100000000002</v>
      </c>
      <c r="NK14" s="50">
        <v>0.25054900000000002</v>
      </c>
      <c r="NL14" s="50">
        <v>2.6589999999999999E-3</v>
      </c>
      <c r="NM14" s="50">
        <v>0</v>
      </c>
      <c r="NN14" s="50">
        <v>2.6589999999999999E-3</v>
      </c>
      <c r="NO14" s="50">
        <v>0</v>
      </c>
      <c r="NP14" s="50"/>
      <c r="NQ14" s="50">
        <v>0</v>
      </c>
      <c r="NR14" s="50">
        <v>9.9120000000000007E-3</v>
      </c>
      <c r="NS14" s="50"/>
      <c r="NT14" s="50">
        <v>9.9120000000000007E-3</v>
      </c>
      <c r="NU14" s="50">
        <v>9.4263E-2</v>
      </c>
      <c r="NV14" s="50"/>
      <c r="NW14" s="50">
        <v>9.4263E-2</v>
      </c>
      <c r="NX14" s="50">
        <v>0.104795</v>
      </c>
      <c r="NY14" s="50"/>
      <c r="NZ14" s="50">
        <v>0.104795</v>
      </c>
      <c r="OA14" s="50">
        <v>4.9883999999999998E-2</v>
      </c>
      <c r="OB14" s="50"/>
      <c r="OC14" s="50">
        <v>4.9883999999999998E-2</v>
      </c>
      <c r="OD14" s="50">
        <v>0.13882800000000001</v>
      </c>
      <c r="OE14" s="50"/>
      <c r="OF14" s="50">
        <v>0.13882800000000001</v>
      </c>
      <c r="OG14" s="94">
        <v>0.119158</v>
      </c>
      <c r="OH14" s="50"/>
      <c r="OI14" s="94">
        <v>0.119158</v>
      </c>
      <c r="OJ14" s="50">
        <v>0.11521199999999999</v>
      </c>
      <c r="OK14" s="50"/>
      <c r="OL14" s="50">
        <v>0.11521199999999999</v>
      </c>
      <c r="OM14" s="50">
        <v>7.9919000000000004E-2</v>
      </c>
      <c r="ON14" s="50"/>
      <c r="OO14" s="50">
        <v>7.9919000000000004E-2</v>
      </c>
      <c r="OP14" s="50">
        <v>0.163021</v>
      </c>
      <c r="OQ14" s="50"/>
      <c r="OR14" s="50">
        <v>0.163021</v>
      </c>
      <c r="OS14" s="50">
        <v>0.113416</v>
      </c>
      <c r="OT14" s="50"/>
      <c r="OU14" s="50">
        <v>0.113416</v>
      </c>
      <c r="OV14" s="44">
        <f t="shared" si="60"/>
        <v>0.99106699999999992</v>
      </c>
      <c r="OW14" s="50">
        <f t="shared" si="8"/>
        <v>0</v>
      </c>
      <c r="OX14" s="50">
        <f t="shared" si="9"/>
        <v>0.99106699999999992</v>
      </c>
      <c r="OY14" s="85">
        <v>0.99388399999999999</v>
      </c>
      <c r="OZ14" s="85">
        <v>0.111216</v>
      </c>
      <c r="PA14" s="50"/>
      <c r="PB14" s="50">
        <v>0.111216</v>
      </c>
      <c r="PC14" s="50">
        <v>0.114858</v>
      </c>
      <c r="PD14" s="50"/>
      <c r="PE14" s="50">
        <v>0.114858</v>
      </c>
      <c r="PF14" s="85">
        <v>0.11441</v>
      </c>
      <c r="PG14" s="50"/>
      <c r="PH14" s="50">
        <v>0.11441</v>
      </c>
      <c r="PI14" s="85">
        <v>0.10839699999999999</v>
      </c>
      <c r="PJ14" s="50"/>
      <c r="PK14" s="50">
        <v>0.10839699999999999</v>
      </c>
      <c r="PL14" s="50">
        <v>0.10806399999999999</v>
      </c>
      <c r="PM14" s="50"/>
      <c r="PN14" s="50">
        <v>0.10806399999999999</v>
      </c>
      <c r="PO14" s="50">
        <v>0.110222</v>
      </c>
      <c r="PP14" s="50"/>
      <c r="PQ14" s="50">
        <v>0.110222</v>
      </c>
      <c r="PR14" s="50">
        <v>0.128695</v>
      </c>
      <c r="PS14" s="50"/>
      <c r="PT14" s="50">
        <v>0.128695</v>
      </c>
      <c r="PU14" s="50">
        <v>0.118324</v>
      </c>
      <c r="PV14" s="50"/>
      <c r="PW14" s="50">
        <v>0.118324</v>
      </c>
      <c r="PX14" s="50">
        <v>0.119654</v>
      </c>
      <c r="PY14" s="50"/>
      <c r="PZ14" s="50">
        <v>0.119654</v>
      </c>
      <c r="QA14" s="50">
        <v>0.117871</v>
      </c>
      <c r="QB14" s="50"/>
      <c r="QC14" s="50">
        <v>0.117871</v>
      </c>
      <c r="QD14" s="50">
        <v>0.12255099999999999</v>
      </c>
      <c r="QE14" s="50"/>
      <c r="QF14" s="50">
        <v>0.12255099999999999</v>
      </c>
      <c r="QG14" s="50">
        <v>8.9839000000000002E-2</v>
      </c>
      <c r="QH14" s="50"/>
      <c r="QI14" s="50">
        <v>8.9839000000000002E-2</v>
      </c>
      <c r="QJ14" s="44">
        <f t="shared" si="38"/>
        <v>1.3641010000000002</v>
      </c>
      <c r="QK14" s="50">
        <f t="shared" si="39"/>
        <v>0</v>
      </c>
      <c r="QL14" s="50">
        <f t="shared" si="40"/>
        <v>1.3641010000000002</v>
      </c>
      <c r="QM14" s="50">
        <v>1.364101</v>
      </c>
      <c r="QN14" s="50">
        <v>0.14383899999999999</v>
      </c>
      <c r="QO14" s="50"/>
      <c r="QP14" s="50">
        <v>0.14383899999999999</v>
      </c>
      <c r="QQ14" s="50">
        <v>0.133466</v>
      </c>
      <c r="QR14" s="50"/>
      <c r="QS14" s="50">
        <v>0.133466</v>
      </c>
      <c r="QT14" s="50">
        <v>0.13192100000000001</v>
      </c>
      <c r="QU14" s="50"/>
      <c r="QV14" s="50">
        <v>0.13192100000000001</v>
      </c>
      <c r="QW14" s="50">
        <v>0.13466</v>
      </c>
      <c r="QX14" s="50"/>
      <c r="QY14" s="50">
        <v>0.13466</v>
      </c>
      <c r="QZ14" s="50">
        <v>0.13255700000000001</v>
      </c>
      <c r="RA14" s="50"/>
      <c r="RB14" s="50">
        <v>0.13255700000000001</v>
      </c>
      <c r="RC14" s="50">
        <v>0.12831300000000001</v>
      </c>
      <c r="RD14" s="50"/>
      <c r="RE14" s="50">
        <v>0.12831300000000001</v>
      </c>
      <c r="RF14" s="50">
        <v>0.130518</v>
      </c>
      <c r="RG14" s="50"/>
      <c r="RH14" s="50">
        <v>0.130518</v>
      </c>
      <c r="RI14" s="50">
        <v>0.129242</v>
      </c>
      <c r="RJ14" s="50"/>
      <c r="RK14" s="50">
        <v>0.129242</v>
      </c>
      <c r="RL14" s="50">
        <v>0.12620400000000001</v>
      </c>
      <c r="RM14" s="50"/>
      <c r="RN14" s="50">
        <v>0.12620400000000001</v>
      </c>
      <c r="RO14" s="50">
        <v>0.12793599999999999</v>
      </c>
      <c r="RP14" s="50"/>
      <c r="RQ14" s="50">
        <v>0.12793599999999999</v>
      </c>
      <c r="RR14" s="50">
        <v>0.12834200000000001</v>
      </c>
      <c r="RS14" s="50"/>
      <c r="RT14" s="50">
        <v>0.12834200000000001</v>
      </c>
      <c r="RU14" s="50">
        <v>2.1900000000000001E-4</v>
      </c>
      <c r="RV14" s="50"/>
      <c r="RW14" s="50">
        <v>2.1900000000000001E-4</v>
      </c>
      <c r="RX14" s="44">
        <f t="shared" si="41"/>
        <v>1.4472170000000002</v>
      </c>
      <c r="RY14" s="50"/>
      <c r="RZ14" s="50">
        <f t="shared" si="43"/>
        <v>1.4472170000000002</v>
      </c>
      <c r="SA14" s="50">
        <v>1.4472179999999999</v>
      </c>
      <c r="SB14" s="50">
        <v>0.24967700000000001</v>
      </c>
      <c r="SC14" s="50"/>
      <c r="SD14" s="50">
        <v>0.24967700000000001</v>
      </c>
      <c r="SE14" s="50">
        <v>0.12238599999999999</v>
      </c>
      <c r="SF14" s="50"/>
      <c r="SG14" s="50">
        <v>0.12238599999999999</v>
      </c>
      <c r="SH14" s="50">
        <v>0.125196</v>
      </c>
      <c r="SI14" s="50"/>
      <c r="SJ14" s="50">
        <v>0.125196</v>
      </c>
      <c r="SK14" s="50">
        <v>0.117176</v>
      </c>
      <c r="SL14" s="50"/>
      <c r="SM14" s="50">
        <v>0.117176</v>
      </c>
      <c r="SN14" s="50">
        <f t="shared" si="44"/>
        <v>0.122378</v>
      </c>
      <c r="SO14" s="50"/>
      <c r="SP14" s="50">
        <v>0.122378</v>
      </c>
      <c r="SQ14" s="50">
        <v>0.11779199999999999</v>
      </c>
      <c r="SR14" s="50"/>
      <c r="SS14" s="50">
        <v>0.11779199999999999</v>
      </c>
      <c r="ST14" s="50">
        <v>0.114721</v>
      </c>
      <c r="SU14" s="50"/>
      <c r="SV14" s="50">
        <v>0.114721</v>
      </c>
      <c r="SW14" s="50">
        <v>0.10896500000000001</v>
      </c>
      <c r="SX14" s="50"/>
      <c r="SY14" s="50">
        <v>0.10896500000000001</v>
      </c>
      <c r="SZ14" s="50">
        <v>0.11438</v>
      </c>
      <c r="TA14" s="50"/>
      <c r="TB14" s="50">
        <v>0.11438</v>
      </c>
      <c r="TC14" s="50">
        <v>0.107276</v>
      </c>
      <c r="TD14" s="50"/>
      <c r="TE14" s="50">
        <v>0.107276</v>
      </c>
      <c r="TF14" s="50">
        <v>0.106602</v>
      </c>
      <c r="TG14" s="50"/>
      <c r="TH14" s="50">
        <v>0.106602</v>
      </c>
      <c r="TI14" s="50">
        <v>0.112494</v>
      </c>
      <c r="TJ14" s="50"/>
      <c r="TK14" s="50">
        <v>0.112494</v>
      </c>
      <c r="TL14" s="44">
        <f t="shared" si="45"/>
        <v>1.5190430000000001</v>
      </c>
      <c r="TM14" s="50">
        <f t="shared" si="46"/>
        <v>0</v>
      </c>
      <c r="TN14" s="50">
        <f t="shared" si="47"/>
        <v>1.5190430000000001</v>
      </c>
      <c r="TO14" s="50">
        <v>0.114732</v>
      </c>
      <c r="TP14" s="50"/>
      <c r="TQ14" s="50">
        <v>0.114732</v>
      </c>
      <c r="TR14" s="50">
        <f t="shared" si="48"/>
        <v>0.125087</v>
      </c>
      <c r="TS14" s="50"/>
      <c r="TT14" s="50">
        <v>0.125087</v>
      </c>
      <c r="TU14" s="50">
        <v>0.12762399999999999</v>
      </c>
      <c r="TV14" s="50"/>
      <c r="TW14" s="50">
        <v>0.12762399999999999</v>
      </c>
      <c r="TX14" s="50">
        <f t="shared" si="49"/>
        <v>0.13200999999999999</v>
      </c>
      <c r="TY14" s="50"/>
      <c r="TZ14" s="50">
        <v>0.13200999999999999</v>
      </c>
      <c r="UA14" s="50"/>
      <c r="UB14" s="50"/>
      <c r="UC14" s="50"/>
      <c r="UD14" s="50"/>
      <c r="UE14" s="50"/>
      <c r="UF14" s="50"/>
      <c r="UG14" s="50"/>
      <c r="UH14" s="50"/>
      <c r="UI14" s="50"/>
      <c r="UJ14" s="50"/>
      <c r="UK14" s="50"/>
      <c r="UL14" s="50"/>
      <c r="UM14" s="50"/>
      <c r="UN14" s="50"/>
      <c r="UO14" s="50"/>
      <c r="UP14" s="50"/>
      <c r="UQ14" s="50"/>
      <c r="UR14" s="50"/>
      <c r="US14" s="50"/>
      <c r="UT14" s="50"/>
      <c r="UU14" s="50"/>
      <c r="UV14" s="50"/>
      <c r="UW14" s="50"/>
      <c r="UX14" s="50"/>
      <c r="UY14" s="292">
        <f t="shared" si="50"/>
        <v>0.61443499999999995</v>
      </c>
      <c r="UZ14" s="276">
        <f t="shared" si="51"/>
        <v>0</v>
      </c>
      <c r="VA14" s="276">
        <f t="shared" si="52"/>
        <v>0.61443499999999995</v>
      </c>
      <c r="VB14" s="292">
        <f t="shared" si="53"/>
        <v>0.49945299999999998</v>
      </c>
      <c r="VC14" s="276">
        <f t="shared" si="54"/>
        <v>0</v>
      </c>
      <c r="VD14" s="276">
        <f t="shared" si="55"/>
        <v>0.49945299999999998</v>
      </c>
      <c r="VE14" s="277">
        <f t="shared" si="56"/>
        <v>-0.11498199999999997</v>
      </c>
      <c r="VF14" s="277">
        <f t="shared" si="57"/>
        <v>-18.713452195919828</v>
      </c>
    </row>
    <row r="15" spans="1:578" s="12" customFormat="1" ht="20.5">
      <c r="A15" s="47" t="s">
        <v>62</v>
      </c>
      <c r="B15" s="13" t="s">
        <v>63</v>
      </c>
      <c r="C15" s="47" t="s">
        <v>64</v>
      </c>
      <c r="D15" s="42">
        <v>3.9378589194142322</v>
      </c>
      <c r="E15" s="42">
        <v>4.3525520628795507</v>
      </c>
      <c r="F15" s="42">
        <v>3.4579954012783078</v>
      </c>
      <c r="G15" s="42">
        <v>4.7920828566712768</v>
      </c>
      <c r="H15" s="42">
        <v>1.7785897632910457E-3</v>
      </c>
      <c r="I15" s="42">
        <v>1.1642364016141058</v>
      </c>
      <c r="J15" s="42">
        <v>0.21603747275200483</v>
      </c>
      <c r="K15" s="42">
        <v>0.2338646336674236</v>
      </c>
      <c r="L15" s="42">
        <v>0.87716489945987786</v>
      </c>
      <c r="M15" s="42">
        <v>8.6981576655795922E-2</v>
      </c>
      <c r="N15" s="42">
        <v>0.12450128343037319</v>
      </c>
      <c r="O15" s="42">
        <v>1.7335516018690846</v>
      </c>
      <c r="P15" s="42">
        <v>0.12675511237841564</v>
      </c>
      <c r="Q15" s="42">
        <v>0.27589626695351765</v>
      </c>
      <c r="R15" s="42">
        <v>1.7989211785931782</v>
      </c>
      <c r="S15" s="42">
        <v>7.066977421870109E-2</v>
      </c>
      <c r="T15" s="42">
        <v>6.7103587913557687</v>
      </c>
      <c r="U15" s="42">
        <v>0</v>
      </c>
      <c r="V15" s="42">
        <v>6.7103587913557687</v>
      </c>
      <c r="W15" s="42">
        <v>6.7103530998685272</v>
      </c>
      <c r="X15" s="42">
        <v>0.18688282935213799</v>
      </c>
      <c r="Y15" s="42">
        <v>1.8891881662597252</v>
      </c>
      <c r="Z15" s="42">
        <v>5.63357635983859E-2</v>
      </c>
      <c r="AA15" s="42">
        <v>0.23736205257795914</v>
      </c>
      <c r="AB15" s="42">
        <v>1.5351961571078139</v>
      </c>
      <c r="AC15" s="42">
        <v>0.10753922857581916</v>
      </c>
      <c r="AD15" s="42">
        <v>0.30613656154489732</v>
      </c>
      <c r="AE15" s="42">
        <v>1.711138525107996</v>
      </c>
      <c r="AF15" s="42">
        <v>0.19199663063955241</v>
      </c>
      <c r="AG15" s="42">
        <v>0.49697782027421583</v>
      </c>
      <c r="AH15" s="42">
        <v>1.8600762090141776</v>
      </c>
      <c r="AI15" s="42">
        <v>0.1306068263697987</v>
      </c>
      <c r="AJ15" s="42">
        <v>8.7094367704224798</v>
      </c>
      <c r="AK15" s="42">
        <v>0</v>
      </c>
      <c r="AL15" s="42">
        <v>8.7094367704224798</v>
      </c>
      <c r="AM15" s="42">
        <v>8.7103915174074142</v>
      </c>
      <c r="AN15" s="42">
        <v>0.73304790524812047</v>
      </c>
      <c r="AO15" s="42">
        <v>1.575065025241746</v>
      </c>
      <c r="AP15" s="42">
        <v>0.41544584265314377</v>
      </c>
      <c r="AQ15" s="42">
        <v>0.57614640781782689</v>
      </c>
      <c r="AR15" s="42">
        <v>1.2997279469098071</v>
      </c>
      <c r="AS15" s="42">
        <v>6.0965788470185148E-2</v>
      </c>
      <c r="AT15" s="42">
        <v>0.79886853233618482</v>
      </c>
      <c r="AU15" s="42">
        <v>1.4870419064205669</v>
      </c>
      <c r="AV15" s="42">
        <v>0.22555790803694914</v>
      </c>
      <c r="AW15" s="42">
        <v>2.0148960449855151</v>
      </c>
      <c r="AX15" s="42">
        <v>0.38823768789022262</v>
      </c>
      <c r="AY15" s="42">
        <v>7.0793564066226153E-2</v>
      </c>
      <c r="AZ15" s="42">
        <v>9.6457945600764923</v>
      </c>
      <c r="BA15" s="42">
        <v>0</v>
      </c>
      <c r="BB15" s="42">
        <v>9.6457945600764923</v>
      </c>
      <c r="BC15" s="42">
        <v>9.6489447982652337</v>
      </c>
      <c r="BD15" s="49">
        <v>0.150925</v>
      </c>
      <c r="BE15" s="42"/>
      <c r="BF15" s="49">
        <f>BD15+BE15</f>
        <v>0.150925</v>
      </c>
      <c r="BG15" s="44">
        <v>0.608927</v>
      </c>
      <c r="BH15" s="42"/>
      <c r="BI15" s="44">
        <f>BG15+BH15</f>
        <v>0.608927</v>
      </c>
      <c r="BJ15" s="44">
        <v>0.53493400000000002</v>
      </c>
      <c r="BK15" s="44"/>
      <c r="BL15" s="44">
        <f>BJ15+BK15</f>
        <v>0.53493400000000002</v>
      </c>
      <c r="BM15" s="44">
        <v>0.34847099999999998</v>
      </c>
      <c r="BN15" s="44"/>
      <c r="BO15" s="44">
        <f>BM15+BN15</f>
        <v>0.34847099999999998</v>
      </c>
      <c r="BP15" s="44">
        <v>0.27434599999999998</v>
      </c>
      <c r="BQ15" s="44"/>
      <c r="BR15" s="44">
        <f>BP15+BQ15</f>
        <v>0.27434599999999998</v>
      </c>
      <c r="BS15" s="44">
        <v>0.186415</v>
      </c>
      <c r="BT15" s="42"/>
      <c r="BU15" s="44">
        <f>BS15+BT15</f>
        <v>0.186415</v>
      </c>
      <c r="BV15" s="44">
        <v>1.2714650000000001</v>
      </c>
      <c r="BW15" s="42"/>
      <c r="BX15" s="44">
        <f>BV15+BW15</f>
        <v>1.2714650000000001</v>
      </c>
      <c r="BY15" s="44">
        <v>1.8584499999999999</v>
      </c>
      <c r="BZ15" s="42"/>
      <c r="CA15" s="44">
        <f>BY15+BZ15</f>
        <v>1.8584499999999999</v>
      </c>
      <c r="CB15" s="44">
        <v>5.9914000000000002E-2</v>
      </c>
      <c r="CC15" s="42"/>
      <c r="CD15" s="44">
        <f>CB15+CC15</f>
        <v>5.9914000000000002E-2</v>
      </c>
      <c r="CE15" s="44">
        <v>4.5560349999999996</v>
      </c>
      <c r="CF15" s="44"/>
      <c r="CG15" s="44">
        <f>CE15+CF15</f>
        <v>4.5560349999999996</v>
      </c>
      <c r="CH15" s="44">
        <v>7.0235000000000006E-2</v>
      </c>
      <c r="CI15" s="42"/>
      <c r="CJ15" s="44">
        <f>CH15+CI15</f>
        <v>7.0235000000000006E-2</v>
      </c>
      <c r="CK15" s="44">
        <v>7.8394000000000005E-2</v>
      </c>
      <c r="CL15" s="42"/>
      <c r="CM15" s="44">
        <f>CK15+CL15</f>
        <v>7.8394000000000005E-2</v>
      </c>
      <c r="CN15" s="50">
        <f t="shared" si="20"/>
        <v>9.9985110000000006</v>
      </c>
      <c r="CO15" s="50"/>
      <c r="CP15" s="50">
        <f t="shared" si="21"/>
        <v>9.9985110000000006</v>
      </c>
      <c r="CQ15" s="50">
        <v>10.065438</v>
      </c>
      <c r="CR15" s="44">
        <v>3.8366999999999998E-2</v>
      </c>
      <c r="CS15" s="42"/>
      <c r="CT15" s="44">
        <f>CR15+CS15</f>
        <v>3.8366999999999998E-2</v>
      </c>
      <c r="CU15" s="44">
        <v>2.6695009999999999</v>
      </c>
      <c r="CV15" s="42"/>
      <c r="CW15" s="44">
        <v>2.6695009999999999</v>
      </c>
      <c r="CX15" s="44">
        <v>0.23718400000000001</v>
      </c>
      <c r="CY15" s="42"/>
      <c r="CZ15" s="44">
        <v>0.23718400000000001</v>
      </c>
      <c r="DA15" s="44">
        <v>0.107576</v>
      </c>
      <c r="DB15" s="42"/>
      <c r="DC15" s="44">
        <v>0.107576</v>
      </c>
      <c r="DD15" s="44">
        <v>1.86589</v>
      </c>
      <c r="DE15" s="42"/>
      <c r="DF15" s="44">
        <v>1.86589</v>
      </c>
      <c r="DG15" s="44">
        <v>2.0097E-2</v>
      </c>
      <c r="DH15" s="42"/>
      <c r="DI15" s="44">
        <v>2.0097E-2</v>
      </c>
      <c r="DJ15" s="44">
        <v>4.66E-4</v>
      </c>
      <c r="DK15" s="42"/>
      <c r="DL15" s="44">
        <v>4.66E-4</v>
      </c>
      <c r="DM15" s="44">
        <v>2.0354950000000001</v>
      </c>
      <c r="DN15" s="42"/>
      <c r="DO15" s="44">
        <v>2.0354950000000001</v>
      </c>
      <c r="DP15" s="44">
        <v>0.14557899999999999</v>
      </c>
      <c r="DQ15" s="42"/>
      <c r="DR15" s="44">
        <v>0.14557899999999999</v>
      </c>
      <c r="DS15" s="44">
        <v>0.28845500000000002</v>
      </c>
      <c r="DT15" s="42"/>
      <c r="DU15" s="44">
        <v>0.28845500000000002</v>
      </c>
      <c r="DV15" s="44">
        <v>2.781962</v>
      </c>
      <c r="DW15" s="42"/>
      <c r="DX15" s="44">
        <v>2.781962</v>
      </c>
      <c r="DY15" s="44">
        <v>8.8117000000000001E-2</v>
      </c>
      <c r="DZ15" s="42"/>
      <c r="EA15" s="44">
        <v>8.8117000000000001E-2</v>
      </c>
      <c r="EB15" s="44">
        <f t="shared" si="22"/>
        <v>10.278689</v>
      </c>
      <c r="EC15" s="50">
        <f t="shared" si="23"/>
        <v>0</v>
      </c>
      <c r="ED15" s="50">
        <f t="shared" si="24"/>
        <v>10.278689</v>
      </c>
      <c r="EE15" s="140">
        <v>10.278688000000001</v>
      </c>
      <c r="EF15" s="50">
        <v>2.63E-4</v>
      </c>
      <c r="EG15" s="50"/>
      <c r="EH15" s="50">
        <v>2.63E-4</v>
      </c>
      <c r="EI15" s="50">
        <v>2.1636069999999998</v>
      </c>
      <c r="EJ15" s="50"/>
      <c r="EK15" s="50">
        <v>2.1636069999999998</v>
      </c>
      <c r="EL15" s="50">
        <v>5.5826000000000001E-2</v>
      </c>
      <c r="EM15" s="50"/>
      <c r="EN15" s="50">
        <v>5.5826000000000001E-2</v>
      </c>
      <c r="EO15" s="50">
        <v>0.24504300000000001</v>
      </c>
      <c r="EP15" s="50"/>
      <c r="EQ15" s="50">
        <v>0.24504300000000001</v>
      </c>
      <c r="ER15" s="50">
        <v>1.473975</v>
      </c>
      <c r="ES15" s="50"/>
      <c r="ET15" s="50">
        <v>1.473975</v>
      </c>
      <c r="EU15" s="50">
        <v>5.0885E-2</v>
      </c>
      <c r="EV15" s="50"/>
      <c r="EW15" s="50">
        <v>5.0885E-2</v>
      </c>
      <c r="EX15" s="50">
        <v>0.107416</v>
      </c>
      <c r="EY15" s="50"/>
      <c r="EZ15" s="50">
        <v>0.107416</v>
      </c>
      <c r="FA15" s="50">
        <v>1.916795</v>
      </c>
      <c r="FB15" s="50"/>
      <c r="FC15" s="50">
        <v>1.916795</v>
      </c>
      <c r="FD15" s="50">
        <v>8.2070000000000008E-3</v>
      </c>
      <c r="FE15" s="50"/>
      <c r="FF15" s="50">
        <v>8.2070000000000008E-3</v>
      </c>
      <c r="FG15" s="50">
        <v>9.9999999999999995E-7</v>
      </c>
      <c r="FH15" s="50"/>
      <c r="FI15" s="50">
        <v>9.9999999999999995E-7</v>
      </c>
      <c r="FJ15" s="50">
        <v>2.0212270000000001</v>
      </c>
      <c r="FK15" s="50"/>
      <c r="FL15" s="50">
        <v>2.0212270000000001</v>
      </c>
      <c r="FM15" s="50">
        <v>1.5969999999999999E-3</v>
      </c>
      <c r="FN15" s="50"/>
      <c r="FO15" s="50">
        <v>1.5969999999999999E-3</v>
      </c>
      <c r="FP15" s="50">
        <f t="shared" si="25"/>
        <v>8.0448419999999992</v>
      </c>
      <c r="FQ15" s="50">
        <f t="shared" si="26"/>
        <v>0</v>
      </c>
      <c r="FR15" s="50">
        <f t="shared" si="27"/>
        <v>8.0448419999999992</v>
      </c>
      <c r="FS15" s="94">
        <v>8.0465579999999992</v>
      </c>
      <c r="FT15" s="50">
        <v>0.159499</v>
      </c>
      <c r="FU15" s="50"/>
      <c r="FV15" s="50">
        <v>0.159499</v>
      </c>
      <c r="FW15" s="50">
        <v>2.073334</v>
      </c>
      <c r="FX15" s="50"/>
      <c r="FY15" s="50">
        <v>2.073334</v>
      </c>
      <c r="FZ15" s="50">
        <v>8.2511000000000001E-2</v>
      </c>
      <c r="GA15" s="50"/>
      <c r="GB15" s="50">
        <v>8.2511000000000001E-2</v>
      </c>
      <c r="GC15" s="50">
        <v>5.8207000000000002E-2</v>
      </c>
      <c r="GD15" s="50"/>
      <c r="GE15" s="50">
        <v>5.8207000000000002E-2</v>
      </c>
      <c r="GF15" s="50">
        <v>1.7306950000000001</v>
      </c>
      <c r="GG15" s="50"/>
      <c r="GH15" s="50">
        <v>1.7306950000000001</v>
      </c>
      <c r="GI15" s="50">
        <v>3.9195000000000001E-2</v>
      </c>
      <c r="GJ15" s="50"/>
      <c r="GK15" s="50">
        <v>3.9195000000000001E-2</v>
      </c>
      <c r="GL15" s="50">
        <v>6.7382999999999998E-2</v>
      </c>
      <c r="GM15" s="50"/>
      <c r="GN15" s="50">
        <v>6.7382999999999998E-2</v>
      </c>
      <c r="GO15" s="50">
        <v>2.2151130000000001</v>
      </c>
      <c r="GP15" s="50"/>
      <c r="GQ15" s="50">
        <v>2.2151130000000001</v>
      </c>
      <c r="GR15" s="50">
        <v>7.2590000000000002E-2</v>
      </c>
      <c r="GS15" s="50">
        <v>0</v>
      </c>
      <c r="GT15" s="50">
        <v>7.2590000000000002E-2</v>
      </c>
      <c r="GU15" s="50">
        <v>5.3448000000000002E-2</v>
      </c>
      <c r="GV15" s="50">
        <v>0</v>
      </c>
      <c r="GW15" s="50">
        <v>5.3448000000000002E-2</v>
      </c>
      <c r="GX15" s="50">
        <v>2.287976</v>
      </c>
      <c r="GY15" s="50">
        <v>0</v>
      </c>
      <c r="GZ15" s="50">
        <v>2.287976</v>
      </c>
      <c r="HA15" s="50">
        <v>0.14254500000000001</v>
      </c>
      <c r="HB15" s="50">
        <v>0</v>
      </c>
      <c r="HC15" s="50">
        <v>0.14254500000000001</v>
      </c>
      <c r="HD15" s="50">
        <f t="shared" si="28"/>
        <v>8.9824960000000011</v>
      </c>
      <c r="HE15" s="50">
        <f t="shared" si="29"/>
        <v>0</v>
      </c>
      <c r="HF15" s="50">
        <f t="shared" si="30"/>
        <v>8.9824960000000011</v>
      </c>
      <c r="HG15" s="50">
        <v>8.9801500000000001</v>
      </c>
      <c r="HH15" s="50">
        <v>0.15923699999999999</v>
      </c>
      <c r="HI15" s="50">
        <v>0</v>
      </c>
      <c r="HJ15" s="50">
        <v>0.15923699999999999</v>
      </c>
      <c r="HK15" s="50">
        <v>3.0743969999999998</v>
      </c>
      <c r="HL15" s="50">
        <v>0</v>
      </c>
      <c r="HM15" s="50">
        <v>3.0743969999999998</v>
      </c>
      <c r="HN15" s="50">
        <v>0.14326900000000001</v>
      </c>
      <c r="HO15" s="50">
        <v>0</v>
      </c>
      <c r="HP15" s="50">
        <v>0.14326900000000001</v>
      </c>
      <c r="HQ15" s="50">
        <v>0.12210699999999999</v>
      </c>
      <c r="HR15" s="50">
        <v>0</v>
      </c>
      <c r="HS15" s="50">
        <v>0.12210699999999999</v>
      </c>
      <c r="HT15" s="50">
        <v>2.0974729999999999</v>
      </c>
      <c r="HU15" s="50">
        <v>0</v>
      </c>
      <c r="HV15" s="50">
        <v>2.0974729999999999</v>
      </c>
      <c r="HW15" s="50">
        <v>0.111285</v>
      </c>
      <c r="HX15" s="50">
        <v>0</v>
      </c>
      <c r="HY15" s="50">
        <v>0.111285</v>
      </c>
      <c r="HZ15" s="50">
        <v>8.2902000000000003E-2</v>
      </c>
      <c r="IA15" s="50">
        <v>0</v>
      </c>
      <c r="IB15" s="50">
        <v>8.2902000000000003E-2</v>
      </c>
      <c r="IC15" s="50">
        <v>2.520159</v>
      </c>
      <c r="ID15" s="50">
        <v>0</v>
      </c>
      <c r="IE15" s="50">
        <v>2.520159</v>
      </c>
      <c r="IF15" s="50">
        <v>0.124198</v>
      </c>
      <c r="IG15" s="50">
        <v>0</v>
      </c>
      <c r="IH15" s="50">
        <v>0.124198</v>
      </c>
      <c r="II15" s="50">
        <v>0.13621900000000001</v>
      </c>
      <c r="IJ15" s="50">
        <v>0</v>
      </c>
      <c r="IK15" s="50">
        <v>0.13621900000000001</v>
      </c>
      <c r="IL15" s="50">
        <v>2.6987580000000002</v>
      </c>
      <c r="IM15" s="50">
        <v>0</v>
      </c>
      <c r="IN15" s="50">
        <v>2.6987580000000002</v>
      </c>
      <c r="IO15" s="50">
        <v>0.10437299999999999</v>
      </c>
      <c r="IP15" s="50">
        <v>0</v>
      </c>
      <c r="IQ15" s="50">
        <v>0.10437299999999999</v>
      </c>
      <c r="IR15" s="44">
        <f t="shared" si="34"/>
        <v>11.374377000000001</v>
      </c>
      <c r="IS15" s="50">
        <f t="shared" si="35"/>
        <v>0</v>
      </c>
      <c r="IT15" s="50">
        <f t="shared" si="36"/>
        <v>11.374377000000001</v>
      </c>
      <c r="IU15" s="50">
        <v>11.375413</v>
      </c>
      <c r="IV15" s="44">
        <v>0.149591</v>
      </c>
      <c r="IW15" s="50">
        <v>0</v>
      </c>
      <c r="IX15" s="50">
        <v>0.149591</v>
      </c>
      <c r="IY15" s="44">
        <v>3.37561</v>
      </c>
      <c r="IZ15" s="50">
        <v>0</v>
      </c>
      <c r="JA15" s="50">
        <v>3.37561</v>
      </c>
      <c r="JB15" s="44">
        <v>0.19955999999999999</v>
      </c>
      <c r="JC15" s="50">
        <v>0</v>
      </c>
      <c r="JD15" s="50">
        <v>0.19955999999999999</v>
      </c>
      <c r="JE15" s="44">
        <v>0.159774</v>
      </c>
      <c r="JF15" s="50">
        <v>0</v>
      </c>
      <c r="JG15" s="50">
        <v>0.159774</v>
      </c>
      <c r="JH15" s="44">
        <v>1.878871</v>
      </c>
      <c r="JI15" s="50">
        <v>0</v>
      </c>
      <c r="JJ15" s="50">
        <v>1.878871</v>
      </c>
      <c r="JK15" s="44">
        <v>0.18268100000000001</v>
      </c>
      <c r="JL15" s="50">
        <v>0</v>
      </c>
      <c r="JM15" s="50">
        <v>0.18268100000000001</v>
      </c>
      <c r="JN15" s="44">
        <v>0.18684799999999999</v>
      </c>
      <c r="JO15" s="50">
        <v>0</v>
      </c>
      <c r="JP15" s="50">
        <v>0.18684799999999999</v>
      </c>
      <c r="JQ15" s="44">
        <v>2.754016</v>
      </c>
      <c r="JR15" s="50">
        <v>0</v>
      </c>
      <c r="JS15" s="50">
        <v>2.754016</v>
      </c>
      <c r="JT15" s="44">
        <v>0.14433699999999999</v>
      </c>
      <c r="JU15" s="50">
        <v>0</v>
      </c>
      <c r="JV15" s="50">
        <v>0.14433699999999999</v>
      </c>
      <c r="JW15" s="44">
        <v>0.12213599999999999</v>
      </c>
      <c r="JX15" s="50">
        <v>0</v>
      </c>
      <c r="JY15" s="50">
        <v>0.12213599999999999</v>
      </c>
      <c r="JZ15" s="44">
        <v>3.0251220000000001</v>
      </c>
      <c r="KA15" s="50">
        <v>0</v>
      </c>
      <c r="KB15" s="50">
        <v>3.0251220000000001</v>
      </c>
      <c r="KC15" s="44">
        <v>0.67944199999999999</v>
      </c>
      <c r="KD15" s="50">
        <v>0</v>
      </c>
      <c r="KE15" s="50">
        <v>0.67944199999999999</v>
      </c>
      <c r="KF15" s="44">
        <f t="shared" si="37"/>
        <v>12.857987999999999</v>
      </c>
      <c r="KG15" s="50">
        <f t="shared" si="3"/>
        <v>0</v>
      </c>
      <c r="KH15" s="50">
        <f t="shared" si="4"/>
        <v>12.857987999999999</v>
      </c>
      <c r="KI15" s="50">
        <v>12.857984999999999</v>
      </c>
      <c r="KJ15" s="44">
        <v>0.137099</v>
      </c>
      <c r="KK15" s="50">
        <v>0</v>
      </c>
      <c r="KL15" s="50">
        <v>0.137099</v>
      </c>
      <c r="KM15" s="44">
        <v>2.6279710000000001</v>
      </c>
      <c r="KN15" s="50">
        <v>0</v>
      </c>
      <c r="KO15" s="50">
        <v>2.6279710000000001</v>
      </c>
      <c r="KP15" s="44">
        <v>0.120562</v>
      </c>
      <c r="KQ15" s="50">
        <v>0</v>
      </c>
      <c r="KR15" s="50">
        <v>0.120562</v>
      </c>
      <c r="KS15" s="50">
        <v>8.1847000000000003E-2</v>
      </c>
      <c r="KT15" s="50"/>
      <c r="KU15" s="50">
        <v>8.1847000000000003E-2</v>
      </c>
      <c r="KV15" s="50">
        <v>1.3227279999999999</v>
      </c>
      <c r="KW15" s="50">
        <v>0</v>
      </c>
      <c r="KX15" s="50">
        <v>1.3227279999999999</v>
      </c>
      <c r="KY15" s="50">
        <v>0.117731</v>
      </c>
      <c r="KZ15" s="50">
        <v>0</v>
      </c>
      <c r="LA15" s="50">
        <v>0.117731</v>
      </c>
      <c r="LB15" s="44">
        <v>5.2332999999999998E-2</v>
      </c>
      <c r="LC15" s="50">
        <v>0</v>
      </c>
      <c r="LD15" s="50">
        <v>5.2332999999999998E-2</v>
      </c>
      <c r="LE15" s="44">
        <v>1.3541970000000001</v>
      </c>
      <c r="LF15" s="44"/>
      <c r="LG15" s="44">
        <v>1.3541970000000001</v>
      </c>
      <c r="LH15" s="44">
        <v>5.3411E-2</v>
      </c>
      <c r="LI15" s="50">
        <v>0</v>
      </c>
      <c r="LJ15" s="50">
        <v>5.3411E-2</v>
      </c>
      <c r="LK15" s="44">
        <v>0.108954</v>
      </c>
      <c r="LL15" s="50">
        <v>0</v>
      </c>
      <c r="LM15" s="50">
        <v>0.108954</v>
      </c>
      <c r="LN15" s="44">
        <v>1.6880500000000001</v>
      </c>
      <c r="LO15" s="50">
        <v>0</v>
      </c>
      <c r="LP15" s="50">
        <v>1.6880500000000001</v>
      </c>
      <c r="LQ15" s="44">
        <v>8.0743999999999996E-2</v>
      </c>
      <c r="LR15" s="50">
        <v>0</v>
      </c>
      <c r="LS15" s="50">
        <v>8.0743999999999996E-2</v>
      </c>
      <c r="LT15" s="44">
        <f t="shared" si="58"/>
        <v>7.7456269999999998</v>
      </c>
      <c r="LU15" s="50">
        <f t="shared" si="5"/>
        <v>0</v>
      </c>
      <c r="LV15" s="50">
        <f t="shared" si="5"/>
        <v>7.7456269999999998</v>
      </c>
      <c r="LW15" s="50">
        <v>7.745857</v>
      </c>
      <c r="LX15" s="178">
        <v>0</v>
      </c>
      <c r="LY15" s="36">
        <v>0</v>
      </c>
      <c r="LZ15" s="36">
        <v>0</v>
      </c>
      <c r="MA15" s="44">
        <v>1.3449739999999999</v>
      </c>
      <c r="MB15" s="50">
        <v>0</v>
      </c>
      <c r="MC15" s="50">
        <v>1.3449739999999999</v>
      </c>
      <c r="MD15" s="44">
        <v>1.9999999999999999E-6</v>
      </c>
      <c r="ME15" s="50">
        <v>0</v>
      </c>
      <c r="MF15" s="50">
        <v>1.9999999999999999E-6</v>
      </c>
      <c r="MG15" s="194">
        <v>0.33285700000000001</v>
      </c>
      <c r="MH15" s="50">
        <v>0</v>
      </c>
      <c r="MI15" s="50">
        <v>0.33285700000000001</v>
      </c>
      <c r="MJ15" s="44">
        <v>0.92309399999999997</v>
      </c>
      <c r="MK15" s="50">
        <v>0</v>
      </c>
      <c r="ML15" s="50">
        <v>0.92309399999999997</v>
      </c>
      <c r="MM15" s="44">
        <v>3.0762000000000001E-2</v>
      </c>
      <c r="MN15" s="50">
        <v>0</v>
      </c>
      <c r="MO15" s="50">
        <v>3.0762000000000001E-2</v>
      </c>
      <c r="MP15" s="44">
        <v>4.3940000000000003E-3</v>
      </c>
      <c r="MQ15" s="50">
        <v>0</v>
      </c>
      <c r="MR15" s="50">
        <v>4.3940000000000003E-3</v>
      </c>
      <c r="MS15" s="44">
        <v>2.3060299999999998</v>
      </c>
      <c r="MT15" s="50">
        <v>0</v>
      </c>
      <c r="MU15" s="50">
        <v>2.3060299999999998</v>
      </c>
      <c r="MV15" s="44">
        <v>-1.4428E-2</v>
      </c>
      <c r="MW15" s="50">
        <v>0</v>
      </c>
      <c r="MX15" s="50">
        <v>-1.4428E-2</v>
      </c>
      <c r="MY15" s="44">
        <v>5.0010000000000002E-3</v>
      </c>
      <c r="MZ15" s="50">
        <v>0</v>
      </c>
      <c r="NA15" s="50">
        <v>5.0010000000000002E-3</v>
      </c>
      <c r="NB15" s="44">
        <v>2.1416529999999998</v>
      </c>
      <c r="NC15" s="50">
        <v>0</v>
      </c>
      <c r="ND15" s="50">
        <v>2.1416529999999998</v>
      </c>
      <c r="NE15" s="44">
        <v>0.28423399999999999</v>
      </c>
      <c r="NF15" s="50">
        <v>0</v>
      </c>
      <c r="NG15" s="50">
        <v>0.28423399999999999</v>
      </c>
      <c r="NH15" s="44">
        <f t="shared" si="59"/>
        <v>7.3585729999999998</v>
      </c>
      <c r="NI15" s="50">
        <f t="shared" si="6"/>
        <v>0</v>
      </c>
      <c r="NJ15" s="50">
        <f t="shared" si="7"/>
        <v>7.3585729999999998</v>
      </c>
      <c r="NK15" s="50">
        <v>7.3585560000000001</v>
      </c>
      <c r="NL15" s="50">
        <v>0.12678900000000001</v>
      </c>
      <c r="NM15" s="50">
        <v>0</v>
      </c>
      <c r="NN15" s="50">
        <v>0.12678900000000001</v>
      </c>
      <c r="NO15" s="50">
        <v>2.0031180000000002</v>
      </c>
      <c r="NP15" s="50"/>
      <c r="NQ15" s="50">
        <v>2.0031180000000002</v>
      </c>
      <c r="NR15" s="50">
        <v>0.102146</v>
      </c>
      <c r="NS15" s="50"/>
      <c r="NT15" s="50">
        <v>0.102146</v>
      </c>
      <c r="NU15" s="50">
        <v>9.9303000000000002E-2</v>
      </c>
      <c r="NV15" s="50"/>
      <c r="NW15" s="50">
        <v>9.9303000000000002E-2</v>
      </c>
      <c r="NX15" s="50">
        <v>2.0767519999999999</v>
      </c>
      <c r="NY15" s="50"/>
      <c r="NZ15" s="50">
        <v>2.0767519999999999</v>
      </c>
      <c r="OA15" s="50">
        <v>5.4303999999999998E-2</v>
      </c>
      <c r="OB15" s="50"/>
      <c r="OC15" s="50">
        <v>5.4303999999999998E-2</v>
      </c>
      <c r="OD15" s="50">
        <v>2.4153000000000001E-2</v>
      </c>
      <c r="OE15" s="50"/>
      <c r="OF15" s="50">
        <v>2.4153000000000001E-2</v>
      </c>
      <c r="OG15" s="94">
        <v>2.6256900000000001</v>
      </c>
      <c r="OH15" s="50"/>
      <c r="OI15" s="94">
        <v>2.6256900000000001</v>
      </c>
      <c r="OJ15" s="50">
        <v>5.9887999999999997E-2</v>
      </c>
      <c r="OK15" s="50"/>
      <c r="OL15" s="50">
        <v>5.9887999999999997E-2</v>
      </c>
      <c r="OM15" s="50">
        <v>2.0268000000000001E-2</v>
      </c>
      <c r="ON15" s="50"/>
      <c r="OO15" s="50">
        <v>2.0268000000000001E-2</v>
      </c>
      <c r="OP15" s="50">
        <v>2.8486669999999998</v>
      </c>
      <c r="OQ15" s="50"/>
      <c r="OR15" s="50">
        <v>2.8486669999999998</v>
      </c>
      <c r="OS15" s="50">
        <v>2.7227999999999999E-2</v>
      </c>
      <c r="OT15" s="50"/>
      <c r="OU15" s="50">
        <v>2.7227999999999999E-2</v>
      </c>
      <c r="OV15" s="44">
        <f t="shared" si="60"/>
        <v>10.068306</v>
      </c>
      <c r="OW15" s="50">
        <f t="shared" si="8"/>
        <v>0</v>
      </c>
      <c r="OX15" s="50">
        <f t="shared" si="9"/>
        <v>10.068306</v>
      </c>
      <c r="OY15" s="85">
        <v>10.068305000000001</v>
      </c>
      <c r="OZ15" s="85">
        <v>2.0346E-2</v>
      </c>
      <c r="PA15" s="50"/>
      <c r="PB15" s="50">
        <v>2.0346E-2</v>
      </c>
      <c r="PC15" s="50">
        <v>2.7486510000000002</v>
      </c>
      <c r="PD15" s="50"/>
      <c r="PE15" s="50">
        <v>2.7486510000000002</v>
      </c>
      <c r="PF15" s="85">
        <v>0.133634</v>
      </c>
      <c r="PG15" s="50"/>
      <c r="PH15" s="50">
        <v>0.133634</v>
      </c>
      <c r="PI15" s="85">
        <v>4.7490999999999998E-2</v>
      </c>
      <c r="PJ15" s="50"/>
      <c r="PK15" s="50">
        <v>4.7490999999999998E-2</v>
      </c>
      <c r="PL15" s="50">
        <v>2.379365</v>
      </c>
      <c r="PM15" s="50"/>
      <c r="PN15" s="50">
        <v>2.379365</v>
      </c>
      <c r="PO15" s="50">
        <v>0.18631900000000001</v>
      </c>
      <c r="PP15" s="50"/>
      <c r="PQ15" s="50">
        <v>0.18631900000000001</v>
      </c>
      <c r="PR15" s="50">
        <v>7.1346999999999994E-2</v>
      </c>
      <c r="PS15" s="50"/>
      <c r="PT15" s="50">
        <v>7.1346999999999994E-2</v>
      </c>
      <c r="PU15" s="50">
        <v>3.0661890000000001</v>
      </c>
      <c r="PV15" s="50"/>
      <c r="PW15" s="50">
        <v>3.0661890000000001</v>
      </c>
      <c r="PX15" s="50">
        <v>4.6032999999999998E-2</v>
      </c>
      <c r="PY15" s="50"/>
      <c r="PZ15" s="50">
        <v>4.6032999999999998E-2</v>
      </c>
      <c r="QA15" s="50">
        <v>2.7175999999999999E-2</v>
      </c>
      <c r="QB15" s="50"/>
      <c r="QC15" s="50">
        <v>2.7175999999999999E-2</v>
      </c>
      <c r="QD15" s="50">
        <v>3.2538459999999998</v>
      </c>
      <c r="QE15" s="50"/>
      <c r="QF15" s="50">
        <v>3.2538459999999998</v>
      </c>
      <c r="QG15" s="50">
        <v>4.6316999999999997E-2</v>
      </c>
      <c r="QH15" s="50"/>
      <c r="QI15" s="50">
        <v>4.6316999999999997E-2</v>
      </c>
      <c r="QJ15" s="44">
        <f t="shared" si="38"/>
        <v>12.026714</v>
      </c>
      <c r="QK15" s="50">
        <f t="shared" si="39"/>
        <v>0</v>
      </c>
      <c r="QL15" s="50">
        <f t="shared" si="40"/>
        <v>12.026714</v>
      </c>
      <c r="QM15" s="50">
        <v>12.026712</v>
      </c>
      <c r="QN15" s="50">
        <v>1.7611000000000002E-2</v>
      </c>
      <c r="QO15" s="50"/>
      <c r="QP15" s="50">
        <v>1.7611000000000002E-2</v>
      </c>
      <c r="QQ15" s="50">
        <v>3.0805829999999998</v>
      </c>
      <c r="QR15" s="50"/>
      <c r="QS15" s="50">
        <v>3.0805829999999998</v>
      </c>
      <c r="QT15" s="50">
        <v>0.106845</v>
      </c>
      <c r="QU15" s="50"/>
      <c r="QV15" s="50">
        <v>0.106845</v>
      </c>
      <c r="QW15" s="50">
        <v>0.173984</v>
      </c>
      <c r="QX15" s="50"/>
      <c r="QY15" s="50">
        <v>0.173984</v>
      </c>
      <c r="QZ15" s="50">
        <v>3.6783960000000002</v>
      </c>
      <c r="RA15" s="50"/>
      <c r="RB15" s="50">
        <v>3.6783960000000002</v>
      </c>
      <c r="RC15" s="50">
        <v>0.16949</v>
      </c>
      <c r="RD15" s="50"/>
      <c r="RE15" s="50">
        <v>0.16949</v>
      </c>
      <c r="RF15" s="50">
        <v>0.12898699999999999</v>
      </c>
      <c r="RG15" s="50"/>
      <c r="RH15" s="50">
        <v>0.12898699999999999</v>
      </c>
      <c r="RI15" s="50">
        <v>4.3634740000000001</v>
      </c>
      <c r="RJ15" s="50"/>
      <c r="RK15" s="50">
        <v>4.3634740000000001</v>
      </c>
      <c r="RL15" s="50">
        <v>0.21077000000000001</v>
      </c>
      <c r="RM15" s="50"/>
      <c r="RN15" s="50">
        <v>0.21077000000000001</v>
      </c>
      <c r="RO15" s="50">
        <v>0.13248599999999999</v>
      </c>
      <c r="RP15" s="50"/>
      <c r="RQ15" s="50">
        <v>0.13248599999999999</v>
      </c>
      <c r="RR15" s="50">
        <v>4.8782399999999999</v>
      </c>
      <c r="RS15" s="50"/>
      <c r="RT15" s="50">
        <v>4.8782399999999999</v>
      </c>
      <c r="RU15" s="50">
        <v>6.0743999999999999E-2</v>
      </c>
      <c r="RV15" s="50"/>
      <c r="RW15" s="50">
        <v>6.0743999999999999E-2</v>
      </c>
      <c r="RX15" s="44">
        <f t="shared" si="41"/>
        <v>17.001609999999999</v>
      </c>
      <c r="RY15" s="36">
        <f t="shared" si="42"/>
        <v>0</v>
      </c>
      <c r="RZ15" s="50">
        <f t="shared" si="43"/>
        <v>17.001609999999999</v>
      </c>
      <c r="SA15" s="50">
        <v>17.001609999999999</v>
      </c>
      <c r="SB15" s="50">
        <v>3.4407E-2</v>
      </c>
      <c r="SC15" s="50"/>
      <c r="SD15" s="50">
        <v>3.4407E-2</v>
      </c>
      <c r="SE15" s="50">
        <v>4.4786549999999998</v>
      </c>
      <c r="SF15" s="50"/>
      <c r="SG15" s="50">
        <v>4.4786549999999998</v>
      </c>
      <c r="SH15" s="50">
        <v>0.102197</v>
      </c>
      <c r="SI15" s="50"/>
      <c r="SJ15" s="50">
        <v>0.102197</v>
      </c>
      <c r="SK15" s="50">
        <v>0.200154</v>
      </c>
      <c r="SL15" s="50"/>
      <c r="SM15" s="50">
        <v>0.200154</v>
      </c>
      <c r="SN15" s="50">
        <f t="shared" si="44"/>
        <v>4.085229</v>
      </c>
      <c r="SO15" s="50"/>
      <c r="SP15" s="50">
        <v>4.085229</v>
      </c>
      <c r="SQ15" s="50">
        <v>6.9668999999999995E-2</v>
      </c>
      <c r="SR15" s="50"/>
      <c r="SS15" s="50">
        <v>6.9668999999999995E-2</v>
      </c>
      <c r="ST15" s="50">
        <v>6.1471999999999999E-2</v>
      </c>
      <c r="SU15" s="50"/>
      <c r="SV15" s="50">
        <v>6.1471999999999999E-2</v>
      </c>
      <c r="SW15" s="50">
        <v>4.6740170000000001</v>
      </c>
      <c r="SX15" s="50"/>
      <c r="SY15" s="50">
        <v>4.6740170000000001</v>
      </c>
      <c r="SZ15" s="50">
        <v>6.2933000000000003E-2</v>
      </c>
      <c r="TA15" s="50"/>
      <c r="TB15" s="50">
        <v>6.2933000000000003E-2</v>
      </c>
      <c r="TC15" s="50">
        <v>4.5487E-2</v>
      </c>
      <c r="TD15" s="50"/>
      <c r="TE15" s="50">
        <v>4.5487E-2</v>
      </c>
      <c r="TF15" s="50">
        <v>5.2847929999999996</v>
      </c>
      <c r="TG15" s="50"/>
      <c r="TH15" s="50">
        <v>5.2847929999999996</v>
      </c>
      <c r="TI15" s="50">
        <v>5.6889000000000002E-2</v>
      </c>
      <c r="TJ15" s="50"/>
      <c r="TK15" s="50">
        <v>5.6889000000000002E-2</v>
      </c>
      <c r="TL15" s="44">
        <f t="shared" si="45"/>
        <v>19.155902000000001</v>
      </c>
      <c r="TM15" s="36">
        <f t="shared" si="46"/>
        <v>0</v>
      </c>
      <c r="TN15" s="50">
        <f t="shared" si="47"/>
        <v>19.155902000000001</v>
      </c>
      <c r="TO15" s="50">
        <v>3.2913999999999999E-2</v>
      </c>
      <c r="TP15" s="50"/>
      <c r="TQ15" s="50">
        <v>3.2913999999999999E-2</v>
      </c>
      <c r="TR15" s="50">
        <f t="shared" si="48"/>
        <v>5.3744449999999997</v>
      </c>
      <c r="TS15" s="50"/>
      <c r="TT15" s="50">
        <v>5.3744449999999997</v>
      </c>
      <c r="TU15" s="50">
        <v>0.17410900000000001</v>
      </c>
      <c r="TV15" s="50"/>
      <c r="TW15" s="50">
        <v>0.17410900000000001</v>
      </c>
      <c r="TX15" s="50">
        <f t="shared" si="49"/>
        <v>5.3107000000000001E-2</v>
      </c>
      <c r="TY15" s="50"/>
      <c r="TZ15" s="50">
        <v>5.3107000000000001E-2</v>
      </c>
      <c r="UA15" s="50"/>
      <c r="UB15" s="50"/>
      <c r="UC15" s="50"/>
      <c r="UD15" s="50"/>
      <c r="UE15" s="50"/>
      <c r="UF15" s="50"/>
      <c r="UG15" s="50"/>
      <c r="UH15" s="50"/>
      <c r="UI15" s="50"/>
      <c r="UJ15" s="50"/>
      <c r="UK15" s="50"/>
      <c r="UL15" s="50"/>
      <c r="UM15" s="50"/>
      <c r="UN15" s="50"/>
      <c r="UO15" s="50"/>
      <c r="UP15" s="50"/>
      <c r="UQ15" s="50"/>
      <c r="UR15" s="50"/>
      <c r="US15" s="50"/>
      <c r="UT15" s="50"/>
      <c r="UU15" s="50"/>
      <c r="UV15" s="50"/>
      <c r="UW15" s="50"/>
      <c r="UX15" s="50"/>
      <c r="UY15" s="292">
        <f t="shared" si="50"/>
        <v>4.8154130000000004</v>
      </c>
      <c r="UZ15" s="276">
        <f t="shared" si="51"/>
        <v>0</v>
      </c>
      <c r="VA15" s="276">
        <f t="shared" si="52"/>
        <v>4.8154130000000004</v>
      </c>
      <c r="VB15" s="292">
        <f t="shared" si="53"/>
        <v>5.6345749999999999</v>
      </c>
      <c r="VC15" s="276">
        <f t="shared" si="54"/>
        <v>0</v>
      </c>
      <c r="VD15" s="276">
        <f t="shared" si="55"/>
        <v>5.6345749999999999</v>
      </c>
      <c r="VE15" s="277">
        <f t="shared" si="56"/>
        <v>0.8191619999999995</v>
      </c>
      <c r="VF15" s="277">
        <f t="shared" si="57"/>
        <v>17.011251163711179</v>
      </c>
    </row>
    <row r="16" spans="1:578" s="12" customFormat="1" ht="21.65" customHeight="1">
      <c r="A16" s="42" t="s">
        <v>90</v>
      </c>
      <c r="B16" s="13" t="s">
        <v>91</v>
      </c>
      <c r="C16" s="42" t="s">
        <v>92</v>
      </c>
      <c r="D16" s="42">
        <v>67.419889471317759</v>
      </c>
      <c r="E16" s="43">
        <v>67.036515159276277</v>
      </c>
      <c r="F16" s="43">
        <v>45.019595790576027</v>
      </c>
      <c r="G16" s="43">
        <v>39.475008679518041</v>
      </c>
      <c r="H16" s="43">
        <v>3.1518844514260023</v>
      </c>
      <c r="I16" s="43">
        <v>3.4406577082657472</v>
      </c>
      <c r="J16" s="43">
        <v>3.3454562011599256</v>
      </c>
      <c r="K16" s="43">
        <v>2.9709563406013628</v>
      </c>
      <c r="L16" s="43">
        <v>3.5680844161387828</v>
      </c>
      <c r="M16" s="43">
        <v>4.5169293288029095</v>
      </c>
      <c r="N16" s="43">
        <v>4.06985731441483</v>
      </c>
      <c r="O16" s="43">
        <v>3.9857186356366783</v>
      </c>
      <c r="P16" s="43">
        <v>3.9130781839602506</v>
      </c>
      <c r="Q16" s="43">
        <v>5.0935965077034284</v>
      </c>
      <c r="R16" s="43">
        <v>4.9952860256913736</v>
      </c>
      <c r="S16" s="43">
        <v>5.7182856102128046</v>
      </c>
      <c r="T16" s="43">
        <v>48.769790724014108</v>
      </c>
      <c r="U16" s="43">
        <v>0</v>
      </c>
      <c r="V16" s="43">
        <v>48.769790724014108</v>
      </c>
      <c r="W16" s="43">
        <v>48.499923164922215</v>
      </c>
      <c r="X16" s="43">
        <v>3.6497487208382422</v>
      </c>
      <c r="Y16" s="43">
        <v>3.6295951645124389</v>
      </c>
      <c r="Z16" s="43">
        <v>3.3168009857655907</v>
      </c>
      <c r="AA16" s="43">
        <v>3.7572523776187956</v>
      </c>
      <c r="AB16" s="43">
        <v>5.7458224483639802</v>
      </c>
      <c r="AC16" s="43">
        <v>4.9805123476815725</v>
      </c>
      <c r="AD16" s="43">
        <v>4.3521408529262784</v>
      </c>
      <c r="AE16" s="43">
        <v>4.3427655505660185</v>
      </c>
      <c r="AF16" s="43">
        <v>3.5883774139020264</v>
      </c>
      <c r="AG16" s="43">
        <v>7.4117947535870599</v>
      </c>
      <c r="AH16" s="43">
        <v>5.6278208433645798</v>
      </c>
      <c r="AI16" s="43">
        <v>4.5343993488938592</v>
      </c>
      <c r="AJ16" s="43">
        <v>54.937030808020438</v>
      </c>
      <c r="AK16" s="43">
        <v>0</v>
      </c>
      <c r="AL16" s="43">
        <v>54.937030808020438</v>
      </c>
      <c r="AM16" s="43">
        <v>63.098801372786717</v>
      </c>
      <c r="AN16" s="43">
        <v>4.0506940768692274</v>
      </c>
      <c r="AO16" s="43">
        <v>4.2106618630514339</v>
      </c>
      <c r="AP16" s="43">
        <v>6.200476946630924</v>
      </c>
      <c r="AQ16" s="43">
        <v>16.721263680912458</v>
      </c>
      <c r="AR16" s="43">
        <v>5.2405649370236933</v>
      </c>
      <c r="AS16" s="43">
        <v>5.0050184688761021</v>
      </c>
      <c r="AT16" s="43">
        <v>2.1064621146151703</v>
      </c>
      <c r="AU16" s="43">
        <v>1.8247178445199514</v>
      </c>
      <c r="AV16" s="43">
        <v>1.082979038252486</v>
      </c>
      <c r="AW16" s="43">
        <v>2.4921073300664198</v>
      </c>
      <c r="AX16" s="43">
        <v>1.791513707947024</v>
      </c>
      <c r="AY16" s="43">
        <v>4.3728720952071987</v>
      </c>
      <c r="AZ16" s="43">
        <v>55.099332103972088</v>
      </c>
      <c r="BA16" s="43">
        <v>0</v>
      </c>
      <c r="BB16" s="42">
        <v>55.099332103972088</v>
      </c>
      <c r="BC16" s="42">
        <v>50.35371454914884</v>
      </c>
      <c r="BD16" s="49">
        <v>2.796332</v>
      </c>
      <c r="BE16" s="42"/>
      <c r="BF16" s="49">
        <f>BD16+BE16</f>
        <v>2.796332</v>
      </c>
      <c r="BG16" s="44">
        <v>3.235484</v>
      </c>
      <c r="BH16" s="42"/>
      <c r="BI16" s="44">
        <f>BG16+BH16</f>
        <v>3.235484</v>
      </c>
      <c r="BJ16" s="44">
        <v>3.089769</v>
      </c>
      <c r="BK16" s="44"/>
      <c r="BL16" s="44">
        <f>BJ16+BK16</f>
        <v>3.089769</v>
      </c>
      <c r="BM16" s="44">
        <v>3.915378</v>
      </c>
      <c r="BN16" s="44"/>
      <c r="BO16" s="44">
        <f>BM16+BN16</f>
        <v>3.915378</v>
      </c>
      <c r="BP16" s="44">
        <v>3.429249</v>
      </c>
      <c r="BQ16" s="44"/>
      <c r="BR16" s="44">
        <f>BP16+BQ16</f>
        <v>3.429249</v>
      </c>
      <c r="BS16" s="44">
        <v>6.0246880000000003</v>
      </c>
      <c r="BT16" s="42"/>
      <c r="BU16" s="44">
        <f>BS16+BT16</f>
        <v>6.0246880000000003</v>
      </c>
      <c r="BV16" s="44">
        <v>6.1275050000000002</v>
      </c>
      <c r="BW16" s="42"/>
      <c r="BX16" s="44">
        <f>BV16+BW16</f>
        <v>6.1275050000000002</v>
      </c>
      <c r="BY16" s="44">
        <v>3.5807699999999998</v>
      </c>
      <c r="BZ16" s="42"/>
      <c r="CA16" s="44">
        <f>BY16+BZ16</f>
        <v>3.5807699999999998</v>
      </c>
      <c r="CB16" s="44">
        <v>4.1471280000000004</v>
      </c>
      <c r="CC16" s="42"/>
      <c r="CD16" s="44">
        <f>CB16+CC16</f>
        <v>4.1471280000000004</v>
      </c>
      <c r="CE16" s="44">
        <v>4.8339480000000004</v>
      </c>
      <c r="CF16" s="44"/>
      <c r="CG16" s="44">
        <f>CE16+CF16</f>
        <v>4.8339480000000004</v>
      </c>
      <c r="CH16" s="44">
        <v>3.8325770000000001</v>
      </c>
      <c r="CI16" s="42"/>
      <c r="CJ16" s="44">
        <f>CH16+CI16</f>
        <v>3.8325770000000001</v>
      </c>
      <c r="CK16" s="44">
        <v>5.8994489999999997</v>
      </c>
      <c r="CL16" s="42"/>
      <c r="CM16" s="44">
        <f>CK16+CL16</f>
        <v>5.8994489999999997</v>
      </c>
      <c r="CN16" s="50">
        <f t="shared" si="20"/>
        <v>50.912276999999996</v>
      </c>
      <c r="CO16" s="50"/>
      <c r="CP16" s="50">
        <f t="shared" si="21"/>
        <v>50.912276999999996</v>
      </c>
      <c r="CQ16" s="50">
        <v>50.197234999999999</v>
      </c>
      <c r="CR16" s="44">
        <v>2.9012920000000002</v>
      </c>
      <c r="CS16" s="42"/>
      <c r="CT16" s="44">
        <f>CR16+CS16</f>
        <v>2.9012920000000002</v>
      </c>
      <c r="CU16" s="44">
        <v>3.2434530000000001</v>
      </c>
      <c r="CV16" s="42"/>
      <c r="CW16" s="44">
        <v>3.2434530000000001</v>
      </c>
      <c r="CX16" s="44">
        <v>3.5108600000000001</v>
      </c>
      <c r="CY16" s="42"/>
      <c r="CZ16" s="44">
        <v>3.5108600000000001</v>
      </c>
      <c r="DA16" s="44">
        <v>3.8815620000000002</v>
      </c>
      <c r="DB16" s="42"/>
      <c r="DC16" s="44">
        <v>3.8815620000000002</v>
      </c>
      <c r="DD16" s="44">
        <v>2.5778509999999999</v>
      </c>
      <c r="DE16" s="42"/>
      <c r="DF16" s="44">
        <v>2.5778509999999999</v>
      </c>
      <c r="DG16" s="44">
        <v>4.0968140000000002</v>
      </c>
      <c r="DH16" s="42"/>
      <c r="DI16" s="44">
        <v>4.0968140000000002</v>
      </c>
      <c r="DJ16" s="44">
        <v>4.0052700000000003</v>
      </c>
      <c r="DK16" s="42"/>
      <c r="DL16" s="44">
        <v>4.0052700000000003</v>
      </c>
      <c r="DM16" s="44">
        <v>3.481357</v>
      </c>
      <c r="DN16" s="42"/>
      <c r="DO16" s="44">
        <v>3.481357</v>
      </c>
      <c r="DP16" s="44">
        <v>5.0197799999999999</v>
      </c>
      <c r="DQ16" s="42"/>
      <c r="DR16" s="44">
        <v>5.0197799999999999</v>
      </c>
      <c r="DS16" s="44">
        <v>3.472226</v>
      </c>
      <c r="DT16" s="42"/>
      <c r="DU16" s="44">
        <v>3.472226</v>
      </c>
      <c r="DV16" s="44">
        <v>4.2988109999999997</v>
      </c>
      <c r="DW16" s="42"/>
      <c r="DX16" s="44">
        <v>4.2988109999999997</v>
      </c>
      <c r="DY16" s="44">
        <v>5.7542879999999998</v>
      </c>
      <c r="DZ16" s="42"/>
      <c r="EA16" s="44">
        <v>5.7542879999999998</v>
      </c>
      <c r="EB16" s="44">
        <f t="shared" si="22"/>
        <v>46.243563999999999</v>
      </c>
      <c r="EC16" s="50">
        <f t="shared" si="23"/>
        <v>0</v>
      </c>
      <c r="ED16" s="50">
        <f t="shared" si="24"/>
        <v>46.243563999999999</v>
      </c>
      <c r="EE16" s="140">
        <v>45.314269000000003</v>
      </c>
      <c r="EF16" s="50">
        <v>2.5126970000000002</v>
      </c>
      <c r="EG16" s="50"/>
      <c r="EH16" s="50">
        <v>2.5126970000000002</v>
      </c>
      <c r="EI16" s="50">
        <v>3.0299469999999999</v>
      </c>
      <c r="EJ16" s="50"/>
      <c r="EK16" s="50">
        <v>3.0299469999999999</v>
      </c>
      <c r="EL16" s="50">
        <v>5.3343280000000002</v>
      </c>
      <c r="EM16" s="50"/>
      <c r="EN16" s="50">
        <v>5.3343280000000002</v>
      </c>
      <c r="EO16" s="50">
        <v>3.9792800000000002</v>
      </c>
      <c r="EP16" s="50"/>
      <c r="EQ16" s="50">
        <v>3.9792800000000002</v>
      </c>
      <c r="ER16" s="50">
        <v>4.2314550000000004</v>
      </c>
      <c r="ES16" s="50"/>
      <c r="ET16" s="50">
        <v>4.2314550000000004</v>
      </c>
      <c r="EU16" s="50">
        <v>7.4620559999999996</v>
      </c>
      <c r="EV16" s="50"/>
      <c r="EW16" s="50">
        <v>7.4620559999999996</v>
      </c>
      <c r="EX16" s="50">
        <v>3.5997810000000001</v>
      </c>
      <c r="EY16" s="50"/>
      <c r="EZ16" s="50">
        <v>3.5997810000000001</v>
      </c>
      <c r="FA16" s="50">
        <v>3.9327730000000001</v>
      </c>
      <c r="FB16" s="50"/>
      <c r="FC16" s="50">
        <v>3.9327730000000001</v>
      </c>
      <c r="FD16" s="50">
        <v>3.6190709999999999</v>
      </c>
      <c r="FE16" s="50"/>
      <c r="FF16" s="50">
        <v>3.6190709999999999</v>
      </c>
      <c r="FG16" s="50">
        <v>3.508616</v>
      </c>
      <c r="FH16" s="50"/>
      <c r="FI16" s="50">
        <v>3.508616</v>
      </c>
      <c r="FJ16" s="50">
        <v>4.3291579999999996</v>
      </c>
      <c r="FK16" s="50"/>
      <c r="FL16" s="50">
        <v>4.3291579999999996</v>
      </c>
      <c r="FM16" s="50">
        <v>4.0846840000000002</v>
      </c>
      <c r="FN16" s="50"/>
      <c r="FO16" s="50">
        <v>4.0846840000000002</v>
      </c>
      <c r="FP16" s="50">
        <f t="shared" si="25"/>
        <v>49.623846</v>
      </c>
      <c r="FQ16" s="50">
        <f t="shared" si="26"/>
        <v>0</v>
      </c>
      <c r="FR16" s="50">
        <f t="shared" si="27"/>
        <v>49.623846</v>
      </c>
      <c r="FS16" s="94">
        <v>49.528040000000004</v>
      </c>
      <c r="FT16" s="50">
        <v>9.960013</v>
      </c>
      <c r="FU16" s="50"/>
      <c r="FV16" s="50">
        <v>9.960013</v>
      </c>
      <c r="FW16" s="50">
        <v>3.7232249999999998</v>
      </c>
      <c r="FX16" s="50"/>
      <c r="FY16" s="50">
        <v>3.7232249999999998</v>
      </c>
      <c r="FZ16" s="50">
        <v>4.3637769999999998</v>
      </c>
      <c r="GA16" s="50"/>
      <c r="GB16" s="50">
        <v>4.3637769999999998</v>
      </c>
      <c r="GC16" s="50">
        <v>3.9644339999999998</v>
      </c>
      <c r="GD16" s="50"/>
      <c r="GE16" s="50">
        <v>3.9644339999999998</v>
      </c>
      <c r="GF16" s="50">
        <v>5.2133079999999996</v>
      </c>
      <c r="GG16" s="50"/>
      <c r="GH16" s="50">
        <v>5.2133079999999996</v>
      </c>
      <c r="GI16" s="50">
        <v>4.8135430000000001</v>
      </c>
      <c r="GJ16" s="50"/>
      <c r="GK16" s="50">
        <v>4.8135430000000001</v>
      </c>
      <c r="GL16" s="50">
        <v>3.8838439999999999</v>
      </c>
      <c r="GM16" s="50"/>
      <c r="GN16" s="50">
        <v>3.8838439999999999</v>
      </c>
      <c r="GO16" s="50">
        <v>4.1271149999999999</v>
      </c>
      <c r="GP16" s="50"/>
      <c r="GQ16" s="50">
        <v>4.1271149999999999</v>
      </c>
      <c r="GR16" s="50">
        <v>3.3527610000000001</v>
      </c>
      <c r="GS16" s="50">
        <v>0</v>
      </c>
      <c r="GT16" s="50">
        <v>3.3527610000000001</v>
      </c>
      <c r="GU16" s="50">
        <v>6.4227990000000004</v>
      </c>
      <c r="GV16" s="50">
        <v>0</v>
      </c>
      <c r="GW16" s="50">
        <v>6.4227990000000004</v>
      </c>
      <c r="GX16" s="50">
        <v>4.6498429999999997</v>
      </c>
      <c r="GY16" s="50">
        <v>0</v>
      </c>
      <c r="GZ16" s="50">
        <v>4.6498429999999997</v>
      </c>
      <c r="HA16" s="50">
        <v>6.7068700000000003</v>
      </c>
      <c r="HB16" s="50">
        <v>0</v>
      </c>
      <c r="HC16" s="50">
        <v>6.7068700000000003</v>
      </c>
      <c r="HD16" s="50">
        <f t="shared" si="28"/>
        <v>61.181532000000004</v>
      </c>
      <c r="HE16" s="50">
        <f t="shared" si="29"/>
        <v>0</v>
      </c>
      <c r="HF16" s="50">
        <f t="shared" si="30"/>
        <v>61.181532000000004</v>
      </c>
      <c r="HG16" s="50">
        <v>61.174734999999998</v>
      </c>
      <c r="HH16" s="50">
        <v>5.3278509999999999</v>
      </c>
      <c r="HI16" s="50">
        <v>0</v>
      </c>
      <c r="HJ16" s="50">
        <v>5.3278509999999999</v>
      </c>
      <c r="HK16" s="50">
        <v>3.0538180000000001</v>
      </c>
      <c r="HL16" s="50">
        <v>0</v>
      </c>
      <c r="HM16" s="50">
        <v>3.0538180000000001</v>
      </c>
      <c r="HN16" s="50">
        <v>4.1874010000000004</v>
      </c>
      <c r="HO16" s="50">
        <v>0</v>
      </c>
      <c r="HP16" s="50">
        <v>4.1874010000000004</v>
      </c>
      <c r="HQ16" s="50">
        <v>5.4174550000000004</v>
      </c>
      <c r="HR16" s="50">
        <v>0</v>
      </c>
      <c r="HS16" s="50">
        <v>5.4174550000000004</v>
      </c>
      <c r="HT16" s="50">
        <v>5.6353879999999998</v>
      </c>
      <c r="HU16" s="50">
        <v>0</v>
      </c>
      <c r="HV16" s="50">
        <v>5.6353879999999998</v>
      </c>
      <c r="HW16" s="50">
        <v>4.2495919999999998</v>
      </c>
      <c r="HX16" s="50">
        <v>0</v>
      </c>
      <c r="HY16" s="50">
        <v>4.2495919999999998</v>
      </c>
      <c r="HZ16" s="50">
        <v>7.5249350000000002</v>
      </c>
      <c r="IA16" s="50">
        <v>0</v>
      </c>
      <c r="IB16" s="50">
        <v>7.5249350000000002</v>
      </c>
      <c r="IC16" s="50">
        <v>6.624822</v>
      </c>
      <c r="ID16" s="50">
        <v>0</v>
      </c>
      <c r="IE16" s="50">
        <v>6.624822</v>
      </c>
      <c r="IF16" s="50">
        <v>4.7674630000000002</v>
      </c>
      <c r="IG16" s="50">
        <v>0</v>
      </c>
      <c r="IH16" s="50">
        <v>4.7674630000000002</v>
      </c>
      <c r="II16" s="50">
        <v>6.1126709999999997</v>
      </c>
      <c r="IJ16" s="50">
        <v>0</v>
      </c>
      <c r="IK16" s="50">
        <v>6.1126709999999997</v>
      </c>
      <c r="IL16" s="50">
        <v>3.5959349999999999</v>
      </c>
      <c r="IM16" s="50">
        <v>0</v>
      </c>
      <c r="IN16" s="50">
        <v>3.5959349999999999</v>
      </c>
      <c r="IO16" s="50">
        <v>4.7023469999999996</v>
      </c>
      <c r="IP16" s="50">
        <v>0</v>
      </c>
      <c r="IQ16" s="50">
        <v>4.7023469999999996</v>
      </c>
      <c r="IR16" s="44">
        <f t="shared" si="34"/>
        <v>61.199677999999992</v>
      </c>
      <c r="IS16" s="50">
        <f t="shared" si="35"/>
        <v>0</v>
      </c>
      <c r="IT16" s="50">
        <f t="shared" si="36"/>
        <v>61.199677999999992</v>
      </c>
      <c r="IU16" s="50">
        <v>61.236226000000002</v>
      </c>
      <c r="IV16" s="44">
        <v>4.8873439999999997</v>
      </c>
      <c r="IW16" s="50">
        <v>0</v>
      </c>
      <c r="IX16" s="50">
        <v>4.8873439999999997</v>
      </c>
      <c r="IY16" s="44">
        <v>3.7659769999999999</v>
      </c>
      <c r="IZ16" s="50">
        <v>0</v>
      </c>
      <c r="JA16" s="50">
        <v>3.7659769999999999</v>
      </c>
      <c r="JB16" s="44">
        <v>5.8350619999999997</v>
      </c>
      <c r="JC16" s="50">
        <v>0</v>
      </c>
      <c r="JD16" s="50">
        <v>5.8350619999999997</v>
      </c>
      <c r="JE16" s="44">
        <v>5.3411410000000004</v>
      </c>
      <c r="JF16" s="50">
        <v>0</v>
      </c>
      <c r="JG16" s="50">
        <v>5.3411410000000004</v>
      </c>
      <c r="JH16" s="44">
        <v>7.1868189999999998</v>
      </c>
      <c r="JI16" s="50">
        <v>0</v>
      </c>
      <c r="JJ16" s="50">
        <v>7.1868189999999998</v>
      </c>
      <c r="JK16" s="44">
        <v>6.9038180000000002</v>
      </c>
      <c r="JL16" s="50">
        <v>0</v>
      </c>
      <c r="JM16" s="50">
        <v>6.9038180000000002</v>
      </c>
      <c r="JN16" s="44">
        <v>5.0495840000000003</v>
      </c>
      <c r="JO16" s="50">
        <v>0</v>
      </c>
      <c r="JP16" s="50">
        <v>5.0495840000000003</v>
      </c>
      <c r="JQ16" s="44">
        <v>5.6723460000000001</v>
      </c>
      <c r="JR16" s="50">
        <v>0</v>
      </c>
      <c r="JS16" s="50">
        <v>5.6723460000000001</v>
      </c>
      <c r="JT16" s="44">
        <v>5.1468259999999999</v>
      </c>
      <c r="JU16" s="50">
        <v>0</v>
      </c>
      <c r="JV16" s="50">
        <v>5.1468259999999999</v>
      </c>
      <c r="JW16" s="44">
        <v>7.1075059999999999</v>
      </c>
      <c r="JX16" s="50">
        <v>0</v>
      </c>
      <c r="JY16" s="50">
        <v>7.1075059999999999</v>
      </c>
      <c r="JZ16" s="44">
        <v>5.4312659999999999</v>
      </c>
      <c r="KA16" s="50">
        <v>0</v>
      </c>
      <c r="KB16" s="50">
        <v>5.4312659999999999</v>
      </c>
      <c r="KC16" s="44">
        <v>6.9237270000000004</v>
      </c>
      <c r="KD16" s="50">
        <v>0</v>
      </c>
      <c r="KE16" s="50">
        <v>6.9237270000000004</v>
      </c>
      <c r="KF16" s="44">
        <f t="shared" si="37"/>
        <v>69.251416000000006</v>
      </c>
      <c r="KG16" s="50">
        <f t="shared" si="3"/>
        <v>0</v>
      </c>
      <c r="KH16" s="50">
        <f t="shared" si="4"/>
        <v>69.251416000000006</v>
      </c>
      <c r="KI16" s="50">
        <v>69.577128999999999</v>
      </c>
      <c r="KJ16" s="44">
        <v>4.9386979999999996</v>
      </c>
      <c r="KK16" s="50">
        <v>0</v>
      </c>
      <c r="KL16" s="50">
        <v>4.9386979999999996</v>
      </c>
      <c r="KM16" s="44">
        <v>4.9282839999999997</v>
      </c>
      <c r="KN16" s="50">
        <v>0</v>
      </c>
      <c r="KO16" s="50">
        <v>4.9282839999999997</v>
      </c>
      <c r="KP16" s="44">
        <v>4.5182520000000004</v>
      </c>
      <c r="KQ16" s="50">
        <v>0</v>
      </c>
      <c r="KR16" s="50">
        <v>4.5182520000000004</v>
      </c>
      <c r="KS16" s="50">
        <v>4.3363319999999996</v>
      </c>
      <c r="KT16" s="50"/>
      <c r="KU16" s="50">
        <v>4.3363319999999996</v>
      </c>
      <c r="KV16" s="50">
        <v>6.0620589999999996</v>
      </c>
      <c r="KW16" s="50">
        <v>0</v>
      </c>
      <c r="KX16" s="50">
        <v>6.0620589999999996</v>
      </c>
      <c r="KY16" s="50">
        <v>4.8975619999999997</v>
      </c>
      <c r="KZ16" s="50">
        <v>0</v>
      </c>
      <c r="LA16" s="50">
        <v>4.8975619999999997</v>
      </c>
      <c r="LB16" s="44">
        <v>8.1561009999999996</v>
      </c>
      <c r="LC16" s="50">
        <v>0</v>
      </c>
      <c r="LD16" s="50">
        <v>8.1561009999999996</v>
      </c>
      <c r="LE16" s="44">
        <v>5.3487900000000002</v>
      </c>
      <c r="LF16" s="44"/>
      <c r="LG16" s="44">
        <v>5.3487900000000002</v>
      </c>
      <c r="LH16" s="44">
        <v>6.0716919999999996</v>
      </c>
      <c r="LI16" s="50">
        <v>0</v>
      </c>
      <c r="LJ16" s="50">
        <v>6.0716919999999996</v>
      </c>
      <c r="LK16" s="44">
        <v>5.644031</v>
      </c>
      <c r="LL16" s="50">
        <v>0</v>
      </c>
      <c r="LM16" s="50">
        <v>5.644031</v>
      </c>
      <c r="LN16" s="44">
        <v>5.9951619999999997</v>
      </c>
      <c r="LO16" s="50">
        <v>0</v>
      </c>
      <c r="LP16" s="50">
        <v>5.9951619999999997</v>
      </c>
      <c r="LQ16" s="44">
        <v>7.5862699999999998</v>
      </c>
      <c r="LR16" s="50">
        <v>0</v>
      </c>
      <c r="LS16" s="50">
        <v>7.5862699999999998</v>
      </c>
      <c r="LT16" s="44">
        <f t="shared" si="58"/>
        <v>68.483232999999998</v>
      </c>
      <c r="LU16" s="50">
        <f t="shared" si="5"/>
        <v>0</v>
      </c>
      <c r="LV16" s="50">
        <f t="shared" si="5"/>
        <v>68.483232999999998</v>
      </c>
      <c r="LW16" s="50">
        <v>68.233294000000001</v>
      </c>
      <c r="LX16" s="44">
        <v>4.1340110000000001</v>
      </c>
      <c r="LY16" s="50">
        <v>0</v>
      </c>
      <c r="LZ16" s="50">
        <v>4.1340110000000001</v>
      </c>
      <c r="MA16" s="44">
        <v>4.9615729999999996</v>
      </c>
      <c r="MB16" s="50">
        <v>0</v>
      </c>
      <c r="MC16" s="50">
        <v>4.9615729999999996</v>
      </c>
      <c r="MD16" s="44">
        <v>6.7125459999999997</v>
      </c>
      <c r="ME16" s="50">
        <v>0</v>
      </c>
      <c r="MF16" s="50">
        <v>6.7125459999999997</v>
      </c>
      <c r="MG16" s="44">
        <v>9.1278050000000004</v>
      </c>
      <c r="MH16" s="50">
        <v>0</v>
      </c>
      <c r="MI16" s="50">
        <v>9.1278050000000004</v>
      </c>
      <c r="MJ16" s="44">
        <v>17.181956</v>
      </c>
      <c r="MK16" s="50">
        <v>0</v>
      </c>
      <c r="ML16" s="50">
        <v>17.181956</v>
      </c>
      <c r="MM16" s="44">
        <v>12.698232000000001</v>
      </c>
      <c r="MN16" s="50">
        <v>0</v>
      </c>
      <c r="MO16" s="50">
        <v>12.698232000000001</v>
      </c>
      <c r="MP16" s="44">
        <v>4.0549480000000004</v>
      </c>
      <c r="MQ16" s="50">
        <v>0</v>
      </c>
      <c r="MR16" s="50">
        <v>4.0549480000000004</v>
      </c>
      <c r="MS16" s="44">
        <v>6.1148239999999996</v>
      </c>
      <c r="MT16" s="50">
        <v>0</v>
      </c>
      <c r="MU16" s="50">
        <v>6.1148239999999996</v>
      </c>
      <c r="MV16" s="44">
        <v>6.2738620000000003</v>
      </c>
      <c r="MW16" s="50">
        <v>0</v>
      </c>
      <c r="MX16" s="50">
        <v>6.2738620000000003</v>
      </c>
      <c r="MY16" s="44">
        <v>5.3301020000000001</v>
      </c>
      <c r="MZ16" s="50">
        <v>0</v>
      </c>
      <c r="NA16" s="50">
        <v>5.3301020000000001</v>
      </c>
      <c r="NB16" s="44">
        <v>4.6705050000000004</v>
      </c>
      <c r="NC16" s="50">
        <v>0</v>
      </c>
      <c r="ND16" s="50">
        <v>4.6705050000000004</v>
      </c>
      <c r="NE16" s="44">
        <v>5.7585139999999999</v>
      </c>
      <c r="NF16" s="50">
        <v>0</v>
      </c>
      <c r="NG16" s="50">
        <v>5.7585139999999999</v>
      </c>
      <c r="NH16" s="44">
        <f t="shared" si="59"/>
        <v>87.018878000000015</v>
      </c>
      <c r="NI16" s="50">
        <f t="shared" si="6"/>
        <v>0</v>
      </c>
      <c r="NJ16" s="50">
        <f t="shared" si="7"/>
        <v>87.018878000000015</v>
      </c>
      <c r="NK16" s="50">
        <v>87.131546999999998</v>
      </c>
      <c r="NL16" s="50">
        <v>5.0164619999999998</v>
      </c>
      <c r="NM16" s="50">
        <v>0</v>
      </c>
      <c r="NN16" s="50">
        <v>5.0164619999999998</v>
      </c>
      <c r="NO16" s="50">
        <v>4.3168519999999999</v>
      </c>
      <c r="NP16" s="50"/>
      <c r="NQ16" s="50">
        <v>4.3168519999999999</v>
      </c>
      <c r="NR16" s="50">
        <v>8.4092300000000009</v>
      </c>
      <c r="NS16" s="50"/>
      <c r="NT16" s="50">
        <v>8.4092300000000009</v>
      </c>
      <c r="NU16" s="50">
        <v>6.0580040000000004</v>
      </c>
      <c r="NV16" s="50"/>
      <c r="NW16" s="50">
        <v>6.0580040000000004</v>
      </c>
      <c r="NX16" s="50">
        <v>7.1962979999999996</v>
      </c>
      <c r="NY16" s="50"/>
      <c r="NZ16" s="50">
        <v>7.1962979999999996</v>
      </c>
      <c r="OA16" s="50">
        <v>8.6571069999999999</v>
      </c>
      <c r="OB16" s="50"/>
      <c r="OC16" s="50">
        <v>8.6571069999999999</v>
      </c>
      <c r="OD16" s="50">
        <v>6.7435299999999998</v>
      </c>
      <c r="OE16" s="50"/>
      <c r="OF16" s="50">
        <v>6.7435299999999998</v>
      </c>
      <c r="OG16" s="50">
        <v>11.800113</v>
      </c>
      <c r="OH16" s="50"/>
      <c r="OI16" s="50">
        <v>11.800113</v>
      </c>
      <c r="OJ16" s="50">
        <v>8.6067830000000001</v>
      </c>
      <c r="OK16" s="50"/>
      <c r="OL16" s="50">
        <v>8.6067830000000001</v>
      </c>
      <c r="OM16" s="50">
        <v>8.670814</v>
      </c>
      <c r="ON16" s="50"/>
      <c r="OO16" s="50">
        <v>8.670814</v>
      </c>
      <c r="OP16" s="50">
        <v>10.111548000000001</v>
      </c>
      <c r="OQ16" s="50"/>
      <c r="OR16" s="50">
        <v>10.111548000000001</v>
      </c>
      <c r="OS16" s="50">
        <v>6.5384690000000001</v>
      </c>
      <c r="OT16" s="50"/>
      <c r="OU16" s="50">
        <v>6.5384690000000001</v>
      </c>
      <c r="OV16" s="44">
        <f t="shared" si="60"/>
        <v>92.125210000000024</v>
      </c>
      <c r="OW16" s="50">
        <f t="shared" si="8"/>
        <v>0</v>
      </c>
      <c r="OX16" s="50">
        <f t="shared" si="9"/>
        <v>92.125210000000024</v>
      </c>
      <c r="OY16" s="85">
        <v>91.978002000000004</v>
      </c>
      <c r="OZ16" s="85">
        <v>6.6578939999999998</v>
      </c>
      <c r="PA16" s="50"/>
      <c r="PB16" s="50">
        <v>6.6578939999999998</v>
      </c>
      <c r="PC16" s="50">
        <v>6.5772789999999999</v>
      </c>
      <c r="PD16" s="50"/>
      <c r="PE16" s="50">
        <v>6.5772789999999999</v>
      </c>
      <c r="PF16" s="85">
        <v>8.6385880000000004</v>
      </c>
      <c r="PG16" s="50"/>
      <c r="PH16" s="50">
        <v>8.6385880000000004</v>
      </c>
      <c r="PI16" s="85">
        <v>9.1722809999999999</v>
      </c>
      <c r="PJ16" s="50"/>
      <c r="PK16" s="50">
        <v>9.1722809999999999</v>
      </c>
      <c r="PL16" s="50">
        <v>7.648606</v>
      </c>
      <c r="PM16" s="50"/>
      <c r="PN16" s="50">
        <v>7.648606</v>
      </c>
      <c r="PO16" s="50">
        <v>13.217162000000002</v>
      </c>
      <c r="PP16" s="50"/>
      <c r="PQ16" s="50">
        <v>13.217162000000002</v>
      </c>
      <c r="PR16" s="50">
        <v>7.9471109999999996</v>
      </c>
      <c r="PS16" s="50"/>
      <c r="PT16" s="50">
        <v>7.9471109999999996</v>
      </c>
      <c r="PU16" s="50">
        <v>7.4541449999999996</v>
      </c>
      <c r="PV16" s="50"/>
      <c r="PW16" s="50">
        <v>7.4541449999999996</v>
      </c>
      <c r="PX16" s="50">
        <v>5.4988239999999999</v>
      </c>
      <c r="PY16" s="50"/>
      <c r="PZ16" s="50">
        <v>5.4988239999999999</v>
      </c>
      <c r="QA16" s="50">
        <v>7.7449279999999998</v>
      </c>
      <c r="QB16" s="50"/>
      <c r="QC16" s="50">
        <v>7.7449279999999998</v>
      </c>
      <c r="QD16" s="50">
        <v>7.3578029999999996</v>
      </c>
      <c r="QE16" s="50"/>
      <c r="QF16" s="50">
        <v>7.3578029999999996</v>
      </c>
      <c r="QG16" s="50">
        <v>8.4976040000000008</v>
      </c>
      <c r="QH16" s="50"/>
      <c r="QI16" s="50">
        <v>8.4976040000000008</v>
      </c>
      <c r="QJ16" s="44">
        <f t="shared" si="38"/>
        <v>96.412225000000007</v>
      </c>
      <c r="QK16" s="50">
        <f t="shared" si="39"/>
        <v>0</v>
      </c>
      <c r="QL16" s="50">
        <f t="shared" si="40"/>
        <v>96.412225000000007</v>
      </c>
      <c r="QM16" s="50">
        <v>97.422971000000004</v>
      </c>
      <c r="QN16" s="50">
        <v>6.6494840000000002</v>
      </c>
      <c r="QO16" s="50"/>
      <c r="QP16" s="50">
        <v>6.6494840000000002</v>
      </c>
      <c r="QQ16" s="50">
        <v>6.2472409999999998</v>
      </c>
      <c r="QR16" s="50"/>
      <c r="QS16" s="50">
        <v>6.2472409999999998</v>
      </c>
      <c r="QT16" s="50">
        <v>7.5137340000000004</v>
      </c>
      <c r="QU16" s="50"/>
      <c r="QV16" s="50">
        <v>7.5137340000000004</v>
      </c>
      <c r="QW16" s="50">
        <v>7.6305630000000004</v>
      </c>
      <c r="QX16" s="50"/>
      <c r="QY16" s="50">
        <v>7.6305630000000004</v>
      </c>
      <c r="QZ16" s="50">
        <v>12.822816</v>
      </c>
      <c r="RA16" s="50"/>
      <c r="RB16" s="50">
        <v>12.822816</v>
      </c>
      <c r="RC16" s="50">
        <v>7.4901900000000001</v>
      </c>
      <c r="RD16" s="50"/>
      <c r="RE16" s="50">
        <v>7.4901900000000001</v>
      </c>
      <c r="RF16" s="50">
        <v>6.9922089999999999</v>
      </c>
      <c r="RG16" s="50"/>
      <c r="RH16" s="50">
        <v>6.9922089999999999</v>
      </c>
      <c r="RI16" s="50">
        <v>8.030564</v>
      </c>
      <c r="RJ16" s="50"/>
      <c r="RK16" s="50">
        <v>8.030564</v>
      </c>
      <c r="RL16" s="50">
        <v>7.018052</v>
      </c>
      <c r="RM16" s="50"/>
      <c r="RN16" s="50">
        <v>7.018052</v>
      </c>
      <c r="RO16" s="50">
        <v>8.5769749999999991</v>
      </c>
      <c r="RP16" s="50"/>
      <c r="RQ16" s="50">
        <v>8.5769749999999991</v>
      </c>
      <c r="RR16" s="50">
        <v>9.1099979999999992</v>
      </c>
      <c r="RS16" s="50"/>
      <c r="RT16" s="50">
        <v>9.1099979999999992</v>
      </c>
      <c r="RU16" s="50">
        <v>10.682506999999999</v>
      </c>
      <c r="RV16" s="50"/>
      <c r="RW16" s="50">
        <v>10.682506999999999</v>
      </c>
      <c r="RX16" s="44">
        <f t="shared" si="41"/>
        <v>98.764333000000008</v>
      </c>
      <c r="RY16" s="50">
        <f t="shared" si="42"/>
        <v>0</v>
      </c>
      <c r="RZ16" s="50">
        <f t="shared" si="43"/>
        <v>98.764333000000008</v>
      </c>
      <c r="SA16" s="50">
        <v>98.752382999999995</v>
      </c>
      <c r="SB16" s="50">
        <v>8.6829959999999993</v>
      </c>
      <c r="SC16" s="50"/>
      <c r="SD16" s="50">
        <v>8.6829959999999993</v>
      </c>
      <c r="SE16" s="50">
        <v>7.3726789999999998</v>
      </c>
      <c r="SF16" s="50"/>
      <c r="SG16" s="50">
        <v>7.3726789999999998</v>
      </c>
      <c r="SH16" s="50">
        <v>8.7557519999999993</v>
      </c>
      <c r="SI16" s="50"/>
      <c r="SJ16" s="50">
        <v>8.7557519999999993</v>
      </c>
      <c r="SK16" s="50">
        <v>11.645593</v>
      </c>
      <c r="SL16" s="50"/>
      <c r="SM16" s="50">
        <v>11.645593</v>
      </c>
      <c r="SN16" s="50">
        <f t="shared" si="44"/>
        <v>14.178818</v>
      </c>
      <c r="SO16" s="50"/>
      <c r="SP16" s="50">
        <v>14.178818</v>
      </c>
      <c r="SQ16" s="50">
        <v>7.5734570000000003</v>
      </c>
      <c r="SR16" s="50"/>
      <c r="SS16" s="50">
        <v>7.5734570000000003</v>
      </c>
      <c r="ST16" s="50">
        <v>7.2042719999999996</v>
      </c>
      <c r="SU16" s="50"/>
      <c r="SV16" s="50">
        <v>7.2042719999999996</v>
      </c>
      <c r="SW16" s="50">
        <v>6.7658820000000004</v>
      </c>
      <c r="SX16" s="50"/>
      <c r="SY16" s="50">
        <v>6.7658820000000004</v>
      </c>
      <c r="SZ16" s="50">
        <v>7.5753659999999998</v>
      </c>
      <c r="TA16" s="50"/>
      <c r="TB16" s="50">
        <v>7.5753659999999998</v>
      </c>
      <c r="TC16" s="50">
        <v>10.813103</v>
      </c>
      <c r="TD16" s="50"/>
      <c r="TE16" s="50">
        <v>10.813103</v>
      </c>
      <c r="TF16" s="50">
        <v>7.843356</v>
      </c>
      <c r="TG16" s="50"/>
      <c r="TH16" s="50">
        <v>7.843356</v>
      </c>
      <c r="TI16" s="50">
        <v>9.955468999999999</v>
      </c>
      <c r="TJ16" s="50"/>
      <c r="TK16" s="50">
        <v>9.955468999999999</v>
      </c>
      <c r="TL16" s="44">
        <f t="shared" si="45"/>
        <v>108.366743</v>
      </c>
      <c r="TM16" s="50">
        <f t="shared" si="46"/>
        <v>0</v>
      </c>
      <c r="TN16" s="50">
        <f t="shared" si="47"/>
        <v>108.366743</v>
      </c>
      <c r="TO16" s="50">
        <v>9.9349550000000022</v>
      </c>
      <c r="TP16" s="50"/>
      <c r="TQ16" s="50">
        <v>9.9349550000000022</v>
      </c>
      <c r="TR16" s="50">
        <f t="shared" si="48"/>
        <v>7.1172449999999996</v>
      </c>
      <c r="TS16" s="50"/>
      <c r="TT16" s="50">
        <v>7.1172449999999996</v>
      </c>
      <c r="TU16" s="50">
        <v>10.934711999999999</v>
      </c>
      <c r="TV16" s="50"/>
      <c r="TW16" s="50">
        <v>10.934711999999999</v>
      </c>
      <c r="TX16" s="50">
        <f t="shared" si="49"/>
        <v>9.1128429999999998</v>
      </c>
      <c r="TY16" s="50"/>
      <c r="TZ16" s="50">
        <v>9.1128429999999998</v>
      </c>
      <c r="UA16" s="50"/>
      <c r="UB16" s="50"/>
      <c r="UC16" s="50"/>
      <c r="UD16" s="50"/>
      <c r="UE16" s="50"/>
      <c r="UF16" s="50"/>
      <c r="UG16" s="50"/>
      <c r="UH16" s="50"/>
      <c r="UI16" s="50"/>
      <c r="UJ16" s="50"/>
      <c r="UK16" s="50"/>
      <c r="UL16" s="50"/>
      <c r="UM16" s="50"/>
      <c r="UN16" s="50"/>
      <c r="UO16" s="50"/>
      <c r="UP16" s="50"/>
      <c r="UQ16" s="50"/>
      <c r="UR16" s="50"/>
      <c r="US16" s="50"/>
      <c r="UT16" s="50"/>
      <c r="UU16" s="50"/>
      <c r="UV16" s="50"/>
      <c r="UW16" s="50"/>
      <c r="UX16" s="50"/>
      <c r="UY16" s="292">
        <f t="shared" si="50"/>
        <v>36.45702</v>
      </c>
      <c r="UZ16" s="276">
        <f t="shared" si="51"/>
        <v>0</v>
      </c>
      <c r="VA16" s="276">
        <f t="shared" si="52"/>
        <v>36.45702</v>
      </c>
      <c r="VB16" s="292">
        <f t="shared" si="53"/>
        <v>37.099755000000002</v>
      </c>
      <c r="VC16" s="276">
        <f t="shared" si="54"/>
        <v>0</v>
      </c>
      <c r="VD16" s="276">
        <f t="shared" si="55"/>
        <v>37.099755000000002</v>
      </c>
      <c r="VE16" s="277">
        <f t="shared" si="56"/>
        <v>0.64273500000000183</v>
      </c>
      <c r="VF16" s="277">
        <f t="shared" si="57"/>
        <v>1.7629937937878566</v>
      </c>
    </row>
    <row r="17" spans="1:578" s="12" customFormat="1" ht="20.5">
      <c r="A17" s="42" t="s">
        <v>93</v>
      </c>
      <c r="B17" s="13" t="s">
        <v>94</v>
      </c>
      <c r="C17" s="42" t="s">
        <v>95</v>
      </c>
      <c r="D17" s="42">
        <v>157.97942385074643</v>
      </c>
      <c r="E17" s="43">
        <v>161.07383708686916</v>
      </c>
      <c r="F17" s="43">
        <v>146.67872835100542</v>
      </c>
      <c r="G17" s="43">
        <v>120.84537225172311</v>
      </c>
      <c r="H17" s="43">
        <v>10.155522734645791</v>
      </c>
      <c r="I17" s="43">
        <v>10.537057273436121</v>
      </c>
      <c r="J17" s="43">
        <v>11.231526855282555</v>
      </c>
      <c r="K17" s="43">
        <v>13.179270465165253</v>
      </c>
      <c r="L17" s="43">
        <v>11.617345661094701</v>
      </c>
      <c r="M17" s="43">
        <v>9.0420316332860935</v>
      </c>
      <c r="N17" s="43">
        <v>7.7798973824850179</v>
      </c>
      <c r="O17" s="43">
        <v>7.8898099612409727</v>
      </c>
      <c r="P17" s="43">
        <v>10.607566263140221</v>
      </c>
      <c r="Q17" s="43">
        <v>9.6145739068075873</v>
      </c>
      <c r="R17" s="43">
        <v>10.633115349371945</v>
      </c>
      <c r="S17" s="43">
        <v>13.128451175576689</v>
      </c>
      <c r="T17" s="43">
        <v>125.41616866153294</v>
      </c>
      <c r="U17" s="43">
        <v>0</v>
      </c>
      <c r="V17" s="43">
        <v>125.41616866153294</v>
      </c>
      <c r="W17" s="43">
        <v>124.80556456707704</v>
      </c>
      <c r="X17" s="43">
        <v>11.783044774930138</v>
      </c>
      <c r="Y17" s="43">
        <v>11.25492171359298</v>
      </c>
      <c r="Z17" s="43">
        <v>11.78220101194643</v>
      </c>
      <c r="AA17" s="43">
        <v>11.543150010529251</v>
      </c>
      <c r="AB17" s="43">
        <v>10.815415108622036</v>
      </c>
      <c r="AC17" s="43">
        <v>10.446794554385008</v>
      </c>
      <c r="AD17" s="43">
        <v>8.9664614885515732</v>
      </c>
      <c r="AE17" s="43">
        <v>8.5368609171262548</v>
      </c>
      <c r="AF17" s="43">
        <v>9.1693914661840292</v>
      </c>
      <c r="AG17" s="43">
        <v>11.9620890034775</v>
      </c>
      <c r="AH17" s="43">
        <v>11.768263982561283</v>
      </c>
      <c r="AI17" s="43">
        <v>11.043579717816064</v>
      </c>
      <c r="AJ17" s="43">
        <v>129.07217374972254</v>
      </c>
      <c r="AK17" s="43">
        <v>0</v>
      </c>
      <c r="AL17" s="43">
        <v>129.07217374972254</v>
      </c>
      <c r="AM17" s="43">
        <v>128.75022623661789</v>
      </c>
      <c r="AN17" s="43">
        <v>11.281952009379571</v>
      </c>
      <c r="AO17" s="43">
        <v>12.542920928167741</v>
      </c>
      <c r="AP17" s="43">
        <v>10.999903244716876</v>
      </c>
      <c r="AQ17" s="43">
        <v>13.175771623382904</v>
      </c>
      <c r="AR17" s="43">
        <v>11.363879545364</v>
      </c>
      <c r="AS17" s="43">
        <v>10.181529985600537</v>
      </c>
      <c r="AT17" s="43">
        <v>9.3427057899499726</v>
      </c>
      <c r="AU17" s="43">
        <v>9.9071519228689642</v>
      </c>
      <c r="AV17" s="43">
        <v>9.890423218991355</v>
      </c>
      <c r="AW17" s="43">
        <v>10.487074632472211</v>
      </c>
      <c r="AX17" s="43">
        <v>11.750335797747308</v>
      </c>
      <c r="AY17" s="43">
        <v>12.165876972811764</v>
      </c>
      <c r="AZ17" s="43">
        <v>133.08952567145323</v>
      </c>
      <c r="BA17" s="43">
        <v>0</v>
      </c>
      <c r="BB17" s="42">
        <v>133.08952567145323</v>
      </c>
      <c r="BC17" s="42">
        <v>129.61684054160193</v>
      </c>
      <c r="BD17" s="49">
        <v>10.75046</v>
      </c>
      <c r="BE17" s="42"/>
      <c r="BF17" s="49">
        <f>BD17+BE17</f>
        <v>10.75046</v>
      </c>
      <c r="BG17" s="44">
        <v>11.446770000000001</v>
      </c>
      <c r="BH17" s="42"/>
      <c r="BI17" s="44">
        <f>BG17+BH17</f>
        <v>11.446770000000001</v>
      </c>
      <c r="BJ17" s="44">
        <v>11.033550999999999</v>
      </c>
      <c r="BK17" s="44"/>
      <c r="BL17" s="44">
        <f>BJ17+BK17</f>
        <v>11.033550999999999</v>
      </c>
      <c r="BM17" s="44">
        <v>10.789270999999999</v>
      </c>
      <c r="BN17" s="44"/>
      <c r="BO17" s="44">
        <f>BM17+BN17</f>
        <v>10.789270999999999</v>
      </c>
      <c r="BP17" s="44">
        <v>10.723876000000001</v>
      </c>
      <c r="BQ17" s="44"/>
      <c r="BR17" s="44">
        <f>BP17+BQ17</f>
        <v>10.723876000000001</v>
      </c>
      <c r="BS17" s="44">
        <v>10.417541999999999</v>
      </c>
      <c r="BT17" s="42"/>
      <c r="BU17" s="44">
        <f>BS17+BT17</f>
        <v>10.417541999999999</v>
      </c>
      <c r="BV17" s="44">
        <v>9.6630289999999999</v>
      </c>
      <c r="BW17" s="42"/>
      <c r="BX17" s="44">
        <f>BV17+BW17</f>
        <v>9.6630289999999999</v>
      </c>
      <c r="BY17" s="44">
        <v>8.0766360000000006</v>
      </c>
      <c r="BZ17" s="42"/>
      <c r="CA17" s="44">
        <f>BY17+BZ17</f>
        <v>8.0766360000000006</v>
      </c>
      <c r="CB17" s="44">
        <v>9.2144130000000004</v>
      </c>
      <c r="CC17" s="42"/>
      <c r="CD17" s="44">
        <f>CB17+CC17</f>
        <v>9.2144130000000004</v>
      </c>
      <c r="CE17" s="44">
        <v>11.157954999999999</v>
      </c>
      <c r="CF17" s="44"/>
      <c r="CG17" s="44">
        <f>CE17+CF17</f>
        <v>11.157954999999999</v>
      </c>
      <c r="CH17" s="44">
        <v>10.492559</v>
      </c>
      <c r="CI17" s="42"/>
      <c r="CJ17" s="44">
        <f>CH17+CI17</f>
        <v>10.492559</v>
      </c>
      <c r="CK17" s="44">
        <v>11.725657</v>
      </c>
      <c r="CL17" s="42"/>
      <c r="CM17" s="44">
        <f>CK17+CL17</f>
        <v>11.725657</v>
      </c>
      <c r="CN17" s="50">
        <f t="shared" si="20"/>
        <v>125.49171899999999</v>
      </c>
      <c r="CO17" s="50"/>
      <c r="CP17" s="50">
        <f t="shared" si="21"/>
        <v>125.49171899999999</v>
      </c>
      <c r="CQ17" s="50">
        <v>124.220838</v>
      </c>
      <c r="CR17" s="44">
        <v>10.748480000000001</v>
      </c>
      <c r="CS17" s="42"/>
      <c r="CT17" s="44">
        <f>CR17+CS17</f>
        <v>10.748480000000001</v>
      </c>
      <c r="CU17" s="44">
        <v>11.512601999999999</v>
      </c>
      <c r="CV17" s="44">
        <v>0</v>
      </c>
      <c r="CW17" s="44">
        <v>11.512601999999999</v>
      </c>
      <c r="CX17" s="44">
        <v>11.501227</v>
      </c>
      <c r="CY17" s="44">
        <v>0</v>
      </c>
      <c r="CZ17" s="44">
        <v>11.501227</v>
      </c>
      <c r="DA17" s="44">
        <v>10.530195000000001</v>
      </c>
      <c r="DB17" s="44">
        <v>0</v>
      </c>
      <c r="DC17" s="44">
        <v>10.530195000000001</v>
      </c>
      <c r="DD17" s="44">
        <v>10.069856</v>
      </c>
      <c r="DE17" s="44">
        <v>0</v>
      </c>
      <c r="DF17" s="44">
        <v>10.069856</v>
      </c>
      <c r="DG17" s="44">
        <v>10.042643</v>
      </c>
      <c r="DH17" s="44">
        <v>0</v>
      </c>
      <c r="DI17" s="44">
        <v>10.042643</v>
      </c>
      <c r="DJ17" s="44">
        <v>10.032425999999999</v>
      </c>
      <c r="DK17" s="44">
        <v>0</v>
      </c>
      <c r="DL17" s="44">
        <v>10.032425999999999</v>
      </c>
      <c r="DM17" s="44">
        <v>7.6916679999999999</v>
      </c>
      <c r="DN17" s="44">
        <v>0</v>
      </c>
      <c r="DO17" s="44">
        <v>7.6916679999999999</v>
      </c>
      <c r="DP17" s="44">
        <v>9.3519740000000002</v>
      </c>
      <c r="DQ17" s="44">
        <v>0</v>
      </c>
      <c r="DR17" s="44">
        <v>9.3519740000000002</v>
      </c>
      <c r="DS17" s="44">
        <v>10.38345</v>
      </c>
      <c r="DT17" s="44">
        <v>0</v>
      </c>
      <c r="DU17" s="44">
        <v>10.38345</v>
      </c>
      <c r="DV17" s="44">
        <v>10.594923</v>
      </c>
      <c r="DW17" s="44">
        <v>0</v>
      </c>
      <c r="DX17" s="44">
        <v>10.594923</v>
      </c>
      <c r="DY17" s="44">
        <v>11.367869000000001</v>
      </c>
      <c r="DZ17" s="44">
        <v>0</v>
      </c>
      <c r="EA17" s="44">
        <v>11.367869000000001</v>
      </c>
      <c r="EB17" s="44">
        <f t="shared" si="22"/>
        <v>123.82731299999999</v>
      </c>
      <c r="EC17" s="50">
        <f t="shared" si="23"/>
        <v>0</v>
      </c>
      <c r="ED17" s="50">
        <f t="shared" si="24"/>
        <v>123.82731299999999</v>
      </c>
      <c r="EE17" s="140">
        <v>122.64421299999999</v>
      </c>
      <c r="EF17" s="50">
        <v>13.410767</v>
      </c>
      <c r="EG17" s="50">
        <v>0</v>
      </c>
      <c r="EH17" s="50">
        <v>13.410767</v>
      </c>
      <c r="EI17" s="50">
        <v>11.655476</v>
      </c>
      <c r="EJ17" s="50">
        <v>0</v>
      </c>
      <c r="EK17" s="50">
        <v>11.655476</v>
      </c>
      <c r="EL17" s="50">
        <v>10.942659000000001</v>
      </c>
      <c r="EM17" s="50">
        <v>0</v>
      </c>
      <c r="EN17" s="50">
        <v>10.942659000000001</v>
      </c>
      <c r="EO17" s="50">
        <v>10.855100999999999</v>
      </c>
      <c r="EP17" s="50">
        <v>0</v>
      </c>
      <c r="EQ17" s="50">
        <v>10.855100999999999</v>
      </c>
      <c r="ER17" s="50">
        <v>10.961266999999999</v>
      </c>
      <c r="ES17" s="50">
        <v>0</v>
      </c>
      <c r="ET17" s="50">
        <v>10.961266999999999</v>
      </c>
      <c r="EU17" s="50">
        <v>9.179881</v>
      </c>
      <c r="EV17" s="50">
        <v>0</v>
      </c>
      <c r="EW17" s="50">
        <v>9.179881</v>
      </c>
      <c r="EX17" s="50">
        <v>9.0084140000000001</v>
      </c>
      <c r="EY17" s="50">
        <v>0</v>
      </c>
      <c r="EZ17" s="50">
        <v>9.0084140000000001</v>
      </c>
      <c r="FA17" s="50">
        <v>8.3579570000000007</v>
      </c>
      <c r="FB17" s="50">
        <v>0</v>
      </c>
      <c r="FC17" s="50">
        <v>8.3579570000000007</v>
      </c>
      <c r="FD17" s="50">
        <v>9.3209680000000006</v>
      </c>
      <c r="FE17" s="50">
        <v>0</v>
      </c>
      <c r="FF17" s="50">
        <v>9.3209680000000006</v>
      </c>
      <c r="FG17" s="50">
        <v>10.042367</v>
      </c>
      <c r="FH17" s="50">
        <v>0</v>
      </c>
      <c r="FI17" s="50">
        <v>10.042367</v>
      </c>
      <c r="FJ17" s="50">
        <v>10.803711</v>
      </c>
      <c r="FK17" s="50">
        <v>0</v>
      </c>
      <c r="FL17" s="50">
        <v>10.803711</v>
      </c>
      <c r="FM17" s="50">
        <v>11.972521</v>
      </c>
      <c r="FN17" s="50">
        <v>0</v>
      </c>
      <c r="FO17" s="50">
        <v>11.972521</v>
      </c>
      <c r="FP17" s="50">
        <f t="shared" si="25"/>
        <v>126.511089</v>
      </c>
      <c r="FQ17" s="50">
        <f t="shared" si="26"/>
        <v>0</v>
      </c>
      <c r="FR17" s="50">
        <f t="shared" si="27"/>
        <v>126.511089</v>
      </c>
      <c r="FS17" s="94">
        <v>124.442419</v>
      </c>
      <c r="FT17" s="50">
        <v>10.530503</v>
      </c>
      <c r="FU17" s="50">
        <v>0</v>
      </c>
      <c r="FV17" s="50">
        <v>10.530503</v>
      </c>
      <c r="FW17" s="50">
        <v>10.837097</v>
      </c>
      <c r="FX17" s="50">
        <v>0</v>
      </c>
      <c r="FY17" s="50">
        <v>10.837097</v>
      </c>
      <c r="FZ17" s="50">
        <v>11.904714999999999</v>
      </c>
      <c r="GA17" s="50">
        <v>0</v>
      </c>
      <c r="GB17" s="50">
        <v>11.904714999999999</v>
      </c>
      <c r="GC17" s="50">
        <v>10.208487</v>
      </c>
      <c r="GD17" s="50">
        <v>0</v>
      </c>
      <c r="GE17" s="50">
        <v>10.208487</v>
      </c>
      <c r="GF17" s="50">
        <v>11.371691999999999</v>
      </c>
      <c r="GG17" s="50">
        <v>0</v>
      </c>
      <c r="GH17" s="50">
        <v>11.371691999999999</v>
      </c>
      <c r="GI17" s="50">
        <v>9.6862919999999999</v>
      </c>
      <c r="GJ17" s="50">
        <v>0</v>
      </c>
      <c r="GK17" s="50">
        <v>9.6862919999999999</v>
      </c>
      <c r="GL17" s="50">
        <v>9.0211729999999992</v>
      </c>
      <c r="GM17" s="50">
        <v>0</v>
      </c>
      <c r="GN17" s="50">
        <v>9.0211729999999992</v>
      </c>
      <c r="GO17" s="50">
        <v>8.5351359999999996</v>
      </c>
      <c r="GP17" s="50">
        <v>0</v>
      </c>
      <c r="GQ17" s="50">
        <v>8.5351359999999996</v>
      </c>
      <c r="GR17" s="50">
        <v>9.0213129999999992</v>
      </c>
      <c r="GS17" s="50">
        <v>0</v>
      </c>
      <c r="GT17" s="50">
        <v>9.0213129999999992</v>
      </c>
      <c r="GU17" s="50">
        <v>10.749911000000001</v>
      </c>
      <c r="GV17" s="50">
        <v>0</v>
      </c>
      <c r="GW17" s="50">
        <v>10.749911000000001</v>
      </c>
      <c r="GX17" s="50">
        <v>10.972313</v>
      </c>
      <c r="GY17" s="50">
        <v>0</v>
      </c>
      <c r="GZ17" s="50">
        <v>10.972313</v>
      </c>
      <c r="HA17" s="50">
        <v>10.654431000000001</v>
      </c>
      <c r="HB17" s="50">
        <v>0</v>
      </c>
      <c r="HC17" s="50">
        <v>10.654431000000001</v>
      </c>
      <c r="HD17" s="50">
        <f t="shared" si="28"/>
        <v>123.49306299999998</v>
      </c>
      <c r="HE17" s="50">
        <f t="shared" si="29"/>
        <v>0</v>
      </c>
      <c r="HF17" s="50">
        <f t="shared" si="30"/>
        <v>123.49306299999998</v>
      </c>
      <c r="HG17" s="50">
        <v>122.36587</v>
      </c>
      <c r="HH17" s="50">
        <v>10.7685</v>
      </c>
      <c r="HI17" s="50">
        <v>0</v>
      </c>
      <c r="HJ17" s="50">
        <v>10.7685</v>
      </c>
      <c r="HK17" s="50">
        <v>11.082547999999999</v>
      </c>
      <c r="HL17" s="50">
        <v>0</v>
      </c>
      <c r="HM17" s="50">
        <v>11.082547999999999</v>
      </c>
      <c r="HN17" s="50">
        <v>11.426973</v>
      </c>
      <c r="HO17" s="50">
        <v>0</v>
      </c>
      <c r="HP17" s="50">
        <v>11.426973</v>
      </c>
      <c r="HQ17" s="50">
        <v>12.333098</v>
      </c>
      <c r="HR17" s="50">
        <v>0</v>
      </c>
      <c r="HS17" s="50">
        <v>12.333098</v>
      </c>
      <c r="HT17" s="50">
        <v>11.150437999999999</v>
      </c>
      <c r="HU17" s="50">
        <v>0</v>
      </c>
      <c r="HV17" s="50">
        <v>11.150437999999999</v>
      </c>
      <c r="HW17" s="50">
        <v>10.643663999999999</v>
      </c>
      <c r="HX17" s="50">
        <v>0</v>
      </c>
      <c r="HY17" s="50">
        <v>10.643663999999999</v>
      </c>
      <c r="HZ17" s="50">
        <v>9.6305359999999993</v>
      </c>
      <c r="IA17" s="50">
        <v>0</v>
      </c>
      <c r="IB17" s="50">
        <v>9.6305359999999993</v>
      </c>
      <c r="IC17" s="50">
        <v>9.0664979999999993</v>
      </c>
      <c r="ID17" s="50">
        <v>0</v>
      </c>
      <c r="IE17" s="50">
        <v>9.0664979999999993</v>
      </c>
      <c r="IF17" s="50">
        <v>10.027996999999999</v>
      </c>
      <c r="IG17" s="50">
        <v>0</v>
      </c>
      <c r="IH17" s="50">
        <v>10.027996999999999</v>
      </c>
      <c r="II17" s="50">
        <v>10.788576000000001</v>
      </c>
      <c r="IJ17" s="50">
        <v>0</v>
      </c>
      <c r="IK17" s="50">
        <v>10.788576000000001</v>
      </c>
      <c r="IL17" s="50">
        <v>11.535841</v>
      </c>
      <c r="IM17" s="50">
        <v>0</v>
      </c>
      <c r="IN17" s="50">
        <v>11.535841</v>
      </c>
      <c r="IO17" s="50">
        <v>10.519106000000001</v>
      </c>
      <c r="IP17" s="50">
        <v>0</v>
      </c>
      <c r="IQ17" s="50">
        <v>10.519106000000001</v>
      </c>
      <c r="IR17" s="44">
        <f t="shared" si="34"/>
        <v>128.97377499999999</v>
      </c>
      <c r="IS17" s="50">
        <f t="shared" si="35"/>
        <v>0</v>
      </c>
      <c r="IT17" s="50">
        <f t="shared" si="36"/>
        <v>128.97377499999999</v>
      </c>
      <c r="IU17" s="50">
        <v>127.82268000000001</v>
      </c>
      <c r="IV17" s="44">
        <v>12.533498</v>
      </c>
      <c r="IW17" s="50">
        <v>0</v>
      </c>
      <c r="IX17" s="50">
        <v>12.533498</v>
      </c>
      <c r="IY17" s="44">
        <v>10.869770000000001</v>
      </c>
      <c r="IZ17" s="50">
        <v>0</v>
      </c>
      <c r="JA17" s="50">
        <v>10.869770000000001</v>
      </c>
      <c r="JB17" s="44">
        <v>10.918971000000001</v>
      </c>
      <c r="JC17" s="50">
        <v>0</v>
      </c>
      <c r="JD17" s="50">
        <v>10.918971000000001</v>
      </c>
      <c r="JE17" s="44">
        <v>10.387708999999999</v>
      </c>
      <c r="JF17" s="50">
        <v>0</v>
      </c>
      <c r="JG17" s="50">
        <v>10.387708999999999</v>
      </c>
      <c r="JH17" s="44">
        <v>10.547275000000001</v>
      </c>
      <c r="JI17" s="50">
        <v>0</v>
      </c>
      <c r="JJ17" s="50">
        <v>10.547275000000001</v>
      </c>
      <c r="JK17" s="44">
        <v>9.4589580000000009</v>
      </c>
      <c r="JL17" s="50">
        <v>0</v>
      </c>
      <c r="JM17" s="50">
        <v>9.4589580000000009</v>
      </c>
      <c r="JN17" s="44">
        <v>10.099674</v>
      </c>
      <c r="JO17" s="50">
        <v>0</v>
      </c>
      <c r="JP17" s="50">
        <v>10.099674</v>
      </c>
      <c r="JQ17" s="44">
        <v>8.9217619999999993</v>
      </c>
      <c r="JR17" s="50">
        <v>0</v>
      </c>
      <c r="JS17" s="50">
        <v>8.9217619999999993</v>
      </c>
      <c r="JT17" s="44">
        <v>10.312773999999999</v>
      </c>
      <c r="JU17" s="50">
        <v>0</v>
      </c>
      <c r="JV17" s="50">
        <v>10.312773999999999</v>
      </c>
      <c r="JW17" s="44">
        <v>10.024711999999999</v>
      </c>
      <c r="JX17" s="50">
        <v>0</v>
      </c>
      <c r="JY17" s="50">
        <v>10.024711999999999</v>
      </c>
      <c r="JZ17" s="44">
        <v>10.045063000000001</v>
      </c>
      <c r="KA17" s="50">
        <v>0</v>
      </c>
      <c r="KB17" s="50">
        <v>10.045063000000001</v>
      </c>
      <c r="KC17" s="44">
        <v>10.312621</v>
      </c>
      <c r="KD17" s="50">
        <v>0</v>
      </c>
      <c r="KE17" s="50">
        <v>10.312621</v>
      </c>
      <c r="KF17" s="44">
        <f t="shared" si="37"/>
        <v>124.43278699999999</v>
      </c>
      <c r="KG17" s="50">
        <f t="shared" si="3"/>
        <v>0</v>
      </c>
      <c r="KH17" s="50">
        <f t="shared" si="4"/>
        <v>124.43278699999999</v>
      </c>
      <c r="KI17" s="50">
        <v>122.30143099999999</v>
      </c>
      <c r="KJ17" s="44">
        <v>11.638756000000001</v>
      </c>
      <c r="KK17" s="50">
        <v>0</v>
      </c>
      <c r="KL17" s="50">
        <v>11.638756000000001</v>
      </c>
      <c r="KM17" s="44">
        <v>10.877186999999999</v>
      </c>
      <c r="KN17" s="50">
        <v>0</v>
      </c>
      <c r="KO17" s="50">
        <v>10.877186999999999</v>
      </c>
      <c r="KP17" s="44">
        <v>9.0917080000000006</v>
      </c>
      <c r="KQ17" s="50">
        <v>0</v>
      </c>
      <c r="KR17" s="50">
        <v>9.0917080000000006</v>
      </c>
      <c r="KS17" s="50">
        <v>7.8615870000000001</v>
      </c>
      <c r="KT17" s="50"/>
      <c r="KU17" s="50">
        <v>7.8615870000000001</v>
      </c>
      <c r="KV17" s="50">
        <v>6.7336020000000003</v>
      </c>
      <c r="KW17" s="50">
        <v>0</v>
      </c>
      <c r="KX17" s="50">
        <v>6.7336020000000003</v>
      </c>
      <c r="KY17" s="50">
        <v>6.9878030000000004</v>
      </c>
      <c r="KZ17" s="50">
        <v>0</v>
      </c>
      <c r="LA17" s="50">
        <v>6.9878030000000004</v>
      </c>
      <c r="LB17" s="50">
        <v>9.3735429999999997</v>
      </c>
      <c r="LC17" s="50">
        <v>0</v>
      </c>
      <c r="LD17" s="50">
        <v>9.3735429999999997</v>
      </c>
      <c r="LE17" s="44">
        <v>8.0065120000000007</v>
      </c>
      <c r="LF17" s="44"/>
      <c r="LG17" s="44">
        <v>8.0065120000000007</v>
      </c>
      <c r="LH17" s="44">
        <v>8.6046739999999993</v>
      </c>
      <c r="LI17" s="50">
        <v>0</v>
      </c>
      <c r="LJ17" s="50">
        <v>8.6046739999999993</v>
      </c>
      <c r="LK17" s="44">
        <v>9.4100020000000004</v>
      </c>
      <c r="LL17" s="50">
        <v>0</v>
      </c>
      <c r="LM17" s="50">
        <v>9.4100020000000004</v>
      </c>
      <c r="LN17" s="44">
        <v>9.4841925199999952</v>
      </c>
      <c r="LO17" s="50">
        <v>0</v>
      </c>
      <c r="LP17" s="50">
        <v>9.4841925199999952</v>
      </c>
      <c r="LQ17" s="44">
        <v>9.4790290000000006</v>
      </c>
      <c r="LR17" s="50">
        <v>0</v>
      </c>
      <c r="LS17" s="50">
        <v>9.4790290000000006</v>
      </c>
      <c r="LT17" s="44">
        <f t="shared" si="58"/>
        <v>107.54859551999999</v>
      </c>
      <c r="LU17" s="50">
        <f t="shared" si="5"/>
        <v>0</v>
      </c>
      <c r="LV17" s="50">
        <f t="shared" si="5"/>
        <v>107.54859551999999</v>
      </c>
      <c r="LW17" s="50">
        <f>106.805987+0.049976</f>
        <v>106.855963</v>
      </c>
      <c r="LX17" s="44">
        <v>6.5471089999999998</v>
      </c>
      <c r="LY17" s="50">
        <v>0</v>
      </c>
      <c r="LZ17" s="50">
        <v>6.5471089999999998</v>
      </c>
      <c r="MA17" s="44">
        <v>8.143008</v>
      </c>
      <c r="MB17" s="50">
        <v>0</v>
      </c>
      <c r="MC17" s="50">
        <v>8.143008</v>
      </c>
      <c r="MD17" s="44">
        <v>9.1730169999999998</v>
      </c>
      <c r="ME17" s="50">
        <v>0</v>
      </c>
      <c r="MF17" s="50">
        <v>9.1730169999999998</v>
      </c>
      <c r="MG17" s="44">
        <v>8.9967939999999995</v>
      </c>
      <c r="MH17" s="50">
        <v>0</v>
      </c>
      <c r="MI17" s="50">
        <v>8.9967939999999995</v>
      </c>
      <c r="MJ17" s="44">
        <v>8.2285330000000005</v>
      </c>
      <c r="MK17" s="50">
        <v>0</v>
      </c>
      <c r="ML17" s="50">
        <v>8.2285330000000005</v>
      </c>
      <c r="MM17" s="44">
        <v>7.0313920000000003</v>
      </c>
      <c r="MN17" s="50">
        <v>0</v>
      </c>
      <c r="MO17" s="50">
        <v>7.0313920000000003</v>
      </c>
      <c r="MP17" s="44">
        <v>10.051883</v>
      </c>
      <c r="MQ17" s="50">
        <v>0</v>
      </c>
      <c r="MR17" s="50">
        <v>10.051883</v>
      </c>
      <c r="MS17" s="44">
        <v>8.4574920000000002</v>
      </c>
      <c r="MT17" s="50">
        <v>0</v>
      </c>
      <c r="MU17" s="50">
        <v>8.4574920000000002</v>
      </c>
      <c r="MV17" s="44">
        <v>8.6059809999999999</v>
      </c>
      <c r="MW17" s="50">
        <v>0</v>
      </c>
      <c r="MX17" s="50">
        <v>8.6059809999999999</v>
      </c>
      <c r="MY17" s="44">
        <v>9.0395939999999992</v>
      </c>
      <c r="MZ17" s="50">
        <v>0</v>
      </c>
      <c r="NA17" s="50">
        <v>9.0395939999999992</v>
      </c>
      <c r="NB17" s="44">
        <v>8.7798060000000007</v>
      </c>
      <c r="NC17" s="50">
        <v>0</v>
      </c>
      <c r="ND17" s="50">
        <v>8.7798060000000007</v>
      </c>
      <c r="NE17" s="44">
        <v>11.084545</v>
      </c>
      <c r="NF17" s="50">
        <v>0</v>
      </c>
      <c r="NG17" s="50">
        <v>11.084545</v>
      </c>
      <c r="NH17" s="44">
        <f t="shared" si="59"/>
        <v>104.139154</v>
      </c>
      <c r="NI17" s="50">
        <f t="shared" si="6"/>
        <v>0</v>
      </c>
      <c r="NJ17" s="50">
        <f t="shared" si="7"/>
        <v>104.139154</v>
      </c>
      <c r="NK17" s="50">
        <v>103.859049</v>
      </c>
      <c r="NL17" s="50">
        <v>9.4886459999999992</v>
      </c>
      <c r="NM17" s="50">
        <v>0</v>
      </c>
      <c r="NN17" s="50">
        <v>9.4886459999999992</v>
      </c>
      <c r="NO17" s="50">
        <v>9.7807230000000001</v>
      </c>
      <c r="NP17" s="50"/>
      <c r="NQ17" s="50">
        <v>9.7807230000000001</v>
      </c>
      <c r="NR17" s="50">
        <v>11.330453</v>
      </c>
      <c r="NS17" s="50"/>
      <c r="NT17" s="50">
        <v>11.330453</v>
      </c>
      <c r="NU17" s="50">
        <v>11.156736</v>
      </c>
      <c r="NV17" s="50"/>
      <c r="NW17" s="50">
        <v>11.156736</v>
      </c>
      <c r="NX17" s="50">
        <v>11.845421</v>
      </c>
      <c r="NY17" s="50"/>
      <c r="NZ17" s="50">
        <v>11.845421</v>
      </c>
      <c r="OA17" s="50">
        <v>10.595923000000001</v>
      </c>
      <c r="OB17" s="50"/>
      <c r="OC17" s="50">
        <v>10.595923000000001</v>
      </c>
      <c r="OD17" s="50">
        <v>10.937694</v>
      </c>
      <c r="OE17" s="50"/>
      <c r="OF17" s="50">
        <v>10.937694</v>
      </c>
      <c r="OG17" s="94">
        <v>9.9804300000000001</v>
      </c>
      <c r="OH17" s="50"/>
      <c r="OI17" s="94">
        <v>9.9804300000000001</v>
      </c>
      <c r="OJ17" s="50">
        <v>11.018803</v>
      </c>
      <c r="OK17" s="50"/>
      <c r="OL17" s="50">
        <v>11.018803</v>
      </c>
      <c r="OM17" s="50">
        <v>12.453205000000001</v>
      </c>
      <c r="ON17" s="50"/>
      <c r="OO17" s="50">
        <v>12.453205000000001</v>
      </c>
      <c r="OP17" s="50">
        <v>14.318661000000001</v>
      </c>
      <c r="OQ17" s="50"/>
      <c r="OR17" s="50">
        <v>14.318661000000001</v>
      </c>
      <c r="OS17" s="50">
        <v>14.356477999999999</v>
      </c>
      <c r="OT17" s="50"/>
      <c r="OU17" s="50">
        <v>14.356477999999999</v>
      </c>
      <c r="OV17" s="44">
        <f t="shared" si="60"/>
        <v>137.26317299999999</v>
      </c>
      <c r="OW17" s="50">
        <f t="shared" si="8"/>
        <v>0</v>
      </c>
      <c r="OX17" s="50">
        <f t="shared" si="9"/>
        <v>137.26317299999999</v>
      </c>
      <c r="OY17" s="85">
        <v>134.78903199999999</v>
      </c>
      <c r="OZ17" s="85">
        <v>14.417386</v>
      </c>
      <c r="PA17" s="50"/>
      <c r="PB17" s="50">
        <v>14.417386</v>
      </c>
      <c r="PC17" s="50">
        <v>13.487294</v>
      </c>
      <c r="PD17" s="50"/>
      <c r="PE17" s="50">
        <v>13.487294</v>
      </c>
      <c r="PF17" s="85">
        <v>15.499930000000001</v>
      </c>
      <c r="PG17" s="50"/>
      <c r="PH17" s="50">
        <v>15.499930000000001</v>
      </c>
      <c r="PI17" s="85">
        <v>13.586312</v>
      </c>
      <c r="PJ17" s="50"/>
      <c r="PK17" s="50">
        <v>13.586312</v>
      </c>
      <c r="PL17" s="50">
        <v>13.181233000000001</v>
      </c>
      <c r="PM17" s="50"/>
      <c r="PN17" s="50">
        <v>13.181233000000001</v>
      </c>
      <c r="PO17" s="50">
        <v>12.567054000000001</v>
      </c>
      <c r="PP17" s="50"/>
      <c r="PQ17" s="50">
        <v>12.567054000000001</v>
      </c>
      <c r="PR17" s="50">
        <v>12.982585</v>
      </c>
      <c r="PS17" s="50"/>
      <c r="PT17" s="50">
        <v>12.982585</v>
      </c>
      <c r="PU17" s="50">
        <v>13.877065</v>
      </c>
      <c r="PV17" s="50"/>
      <c r="PW17" s="50">
        <v>13.877065</v>
      </c>
      <c r="PX17" s="50">
        <v>11.761521999999999</v>
      </c>
      <c r="PY17" s="50"/>
      <c r="PZ17" s="50">
        <v>11.761521999999999</v>
      </c>
      <c r="QA17" s="50">
        <v>13.228738</v>
      </c>
      <c r="QB17" s="50"/>
      <c r="QC17" s="50">
        <v>13.228738</v>
      </c>
      <c r="QD17" s="50">
        <v>13.57508</v>
      </c>
      <c r="QE17" s="50"/>
      <c r="QF17" s="50">
        <v>13.57508</v>
      </c>
      <c r="QG17" s="50">
        <v>14.845559</v>
      </c>
      <c r="QH17" s="50"/>
      <c r="QI17" s="50">
        <v>14.845559</v>
      </c>
      <c r="QJ17" s="44">
        <f t="shared" si="38"/>
        <v>163.00975800000001</v>
      </c>
      <c r="QK17" s="50">
        <f t="shared" si="39"/>
        <v>0</v>
      </c>
      <c r="QL17" s="50">
        <f t="shared" si="40"/>
        <v>163.00975800000001</v>
      </c>
      <c r="QM17" s="50">
        <v>160.17323400000001</v>
      </c>
      <c r="QN17" s="50">
        <v>14.282564000000001</v>
      </c>
      <c r="QO17" s="50"/>
      <c r="QP17" s="50">
        <v>14.282564000000001</v>
      </c>
      <c r="QQ17" s="50">
        <v>15.588100000000001</v>
      </c>
      <c r="QR17" s="50"/>
      <c r="QS17" s="50">
        <v>15.588100000000001</v>
      </c>
      <c r="QT17" s="50">
        <v>14.064577</v>
      </c>
      <c r="QU17" s="50"/>
      <c r="QV17" s="50">
        <v>14.064577</v>
      </c>
      <c r="QW17" s="50">
        <v>16.318850000000001</v>
      </c>
      <c r="QX17" s="50"/>
      <c r="QY17" s="50">
        <v>16.318850000000001</v>
      </c>
      <c r="QZ17" s="50">
        <v>16.211656000000001</v>
      </c>
      <c r="RA17" s="50"/>
      <c r="RB17" s="50">
        <v>16.211656000000001</v>
      </c>
      <c r="RC17" s="50">
        <v>13.777498</v>
      </c>
      <c r="RD17" s="50"/>
      <c r="RE17" s="50">
        <v>13.777498</v>
      </c>
      <c r="RF17" s="50">
        <v>14.479994</v>
      </c>
      <c r="RG17" s="50"/>
      <c r="RH17" s="50">
        <v>14.479994</v>
      </c>
      <c r="RI17" s="50">
        <v>14.461339000000001</v>
      </c>
      <c r="RJ17" s="50"/>
      <c r="RK17" s="50">
        <v>14.461339000000001</v>
      </c>
      <c r="RL17" s="50">
        <v>11.813824</v>
      </c>
      <c r="RM17" s="50"/>
      <c r="RN17" s="50">
        <v>11.813824</v>
      </c>
      <c r="RO17" s="50">
        <v>15.943875</v>
      </c>
      <c r="RP17" s="50"/>
      <c r="RQ17" s="50">
        <v>15.943875</v>
      </c>
      <c r="RR17" s="50">
        <v>13.398986000000001</v>
      </c>
      <c r="RS17" s="50"/>
      <c r="RT17" s="50">
        <v>13.398986000000001</v>
      </c>
      <c r="RU17" s="50">
        <v>18.911076000000001</v>
      </c>
      <c r="RV17" s="50"/>
      <c r="RW17" s="50">
        <v>18.911076000000001</v>
      </c>
      <c r="RX17" s="44">
        <f t="shared" si="41"/>
        <v>179.25233900000001</v>
      </c>
      <c r="RY17" s="50">
        <f t="shared" si="42"/>
        <v>0</v>
      </c>
      <c r="RZ17" s="50">
        <f t="shared" si="43"/>
        <v>179.25233900000001</v>
      </c>
      <c r="SA17" s="50">
        <v>176.172719</v>
      </c>
      <c r="SB17" s="50">
        <v>14.653945999999999</v>
      </c>
      <c r="SC17" s="50"/>
      <c r="SD17" s="50">
        <v>14.653945999999999</v>
      </c>
      <c r="SE17" s="50">
        <v>14.291888999999999</v>
      </c>
      <c r="SF17" s="50"/>
      <c r="SG17" s="50">
        <v>14.291888999999999</v>
      </c>
      <c r="SH17" s="50">
        <v>15.315173</v>
      </c>
      <c r="SI17" s="50"/>
      <c r="SJ17" s="50">
        <v>15.315173</v>
      </c>
      <c r="SK17" s="50">
        <v>15.112641</v>
      </c>
      <c r="SL17" s="50"/>
      <c r="SM17" s="50">
        <v>15.112641</v>
      </c>
      <c r="SN17" s="50">
        <f t="shared" si="44"/>
        <v>14.545204999999999</v>
      </c>
      <c r="SO17" s="50"/>
      <c r="SP17" s="50">
        <v>14.545204999999999</v>
      </c>
      <c r="SQ17" s="50">
        <v>12.940998</v>
      </c>
      <c r="SR17" s="50"/>
      <c r="SS17" s="50">
        <v>12.940998</v>
      </c>
      <c r="ST17" s="50">
        <v>14.35056</v>
      </c>
      <c r="SU17" s="50"/>
      <c r="SV17" s="50">
        <v>14.35056</v>
      </c>
      <c r="SW17" s="50">
        <v>12.896008999999999</v>
      </c>
      <c r="SX17" s="50"/>
      <c r="SY17" s="50">
        <v>12.896008999999999</v>
      </c>
      <c r="SZ17" s="50">
        <v>11.839232000000001</v>
      </c>
      <c r="TA17" s="50"/>
      <c r="TB17" s="50">
        <v>11.839232000000001</v>
      </c>
      <c r="TC17" s="50">
        <v>15.040838000000001</v>
      </c>
      <c r="TD17" s="50"/>
      <c r="TE17" s="50">
        <v>15.040838000000001</v>
      </c>
      <c r="TF17" s="50">
        <v>14.734959</v>
      </c>
      <c r="TG17" s="50"/>
      <c r="TH17" s="50">
        <v>14.734959</v>
      </c>
      <c r="TI17" s="50">
        <v>14.578546999999999</v>
      </c>
      <c r="TJ17" s="50"/>
      <c r="TK17" s="50">
        <v>14.578546999999999</v>
      </c>
      <c r="TL17" s="44">
        <f t="shared" si="45"/>
        <v>170.29999699999996</v>
      </c>
      <c r="TM17" s="50">
        <f t="shared" si="46"/>
        <v>0</v>
      </c>
      <c r="TN17" s="50">
        <f t="shared" si="47"/>
        <v>170.29999699999996</v>
      </c>
      <c r="TO17" s="50">
        <v>14.715329000000001</v>
      </c>
      <c r="TP17" s="50"/>
      <c r="TQ17" s="50">
        <v>14.715329000000001</v>
      </c>
      <c r="TR17" s="50">
        <f t="shared" si="48"/>
        <v>14.380929</v>
      </c>
      <c r="TS17" s="50"/>
      <c r="TT17" s="50">
        <v>14.380929</v>
      </c>
      <c r="TU17" s="50">
        <v>14.978207999999999</v>
      </c>
      <c r="TV17" s="50"/>
      <c r="TW17" s="50">
        <v>14.978207999999999</v>
      </c>
      <c r="TX17" s="50">
        <f t="shared" si="49"/>
        <v>16.176210999999999</v>
      </c>
      <c r="TY17" s="50"/>
      <c r="TZ17" s="50">
        <v>16.176210999999999</v>
      </c>
      <c r="UA17" s="50"/>
      <c r="UB17" s="50"/>
      <c r="UC17" s="50"/>
      <c r="UD17" s="50"/>
      <c r="UE17" s="50"/>
      <c r="UF17" s="50"/>
      <c r="UG17" s="50"/>
      <c r="UH17" s="50"/>
      <c r="UI17" s="50"/>
      <c r="UJ17" s="50"/>
      <c r="UK17" s="50"/>
      <c r="UL17" s="50"/>
      <c r="UM17" s="50"/>
      <c r="UN17" s="50"/>
      <c r="UO17" s="50"/>
      <c r="UP17" s="50"/>
      <c r="UQ17" s="50"/>
      <c r="UR17" s="50"/>
      <c r="US17" s="50"/>
      <c r="UT17" s="50"/>
      <c r="UU17" s="50"/>
      <c r="UV17" s="50"/>
      <c r="UW17" s="50"/>
      <c r="UX17" s="50"/>
      <c r="UY17" s="292">
        <f t="shared" si="50"/>
        <v>59.373649</v>
      </c>
      <c r="UZ17" s="276">
        <f t="shared" si="51"/>
        <v>0</v>
      </c>
      <c r="VA17" s="276">
        <f t="shared" si="52"/>
        <v>59.373649</v>
      </c>
      <c r="VB17" s="292">
        <f t="shared" si="53"/>
        <v>60.250677000000003</v>
      </c>
      <c r="VC17" s="276">
        <f t="shared" si="54"/>
        <v>0</v>
      </c>
      <c r="VD17" s="276">
        <f t="shared" si="55"/>
        <v>60.250677000000003</v>
      </c>
      <c r="VE17" s="277">
        <f t="shared" si="56"/>
        <v>0.87702800000000281</v>
      </c>
      <c r="VF17" s="277">
        <f t="shared" si="57"/>
        <v>1.4771333997005911</v>
      </c>
    </row>
    <row r="18" spans="1:578" s="12" customFormat="1" ht="20.5">
      <c r="A18" s="42" t="s">
        <v>96</v>
      </c>
      <c r="B18" s="13" t="s">
        <v>97</v>
      </c>
      <c r="C18" s="42" t="s">
        <v>98</v>
      </c>
      <c r="D18" s="42">
        <v>5.6413921946943955</v>
      </c>
      <c r="E18" s="43">
        <v>5.0952370789010875</v>
      </c>
      <c r="F18" s="43">
        <v>3.9444567760001368</v>
      </c>
      <c r="G18" s="43">
        <v>4.9025645841514844</v>
      </c>
      <c r="H18" s="43">
        <v>8.8811389804269752E-2</v>
      </c>
      <c r="I18" s="43">
        <v>8.9016283345000891E-2</v>
      </c>
      <c r="J18" s="43">
        <v>0.37652318427328252</v>
      </c>
      <c r="K18" s="43">
        <v>0.11842419792716034</v>
      </c>
      <c r="L18" s="43">
        <v>0.11558983728037975</v>
      </c>
      <c r="M18" s="43">
        <v>0.4295891884508341</v>
      </c>
      <c r="N18" s="43">
        <v>0.13457521584965368</v>
      </c>
      <c r="O18" s="43">
        <v>0.14906858811275975</v>
      </c>
      <c r="P18" s="43">
        <v>1.6332690195274928</v>
      </c>
      <c r="Q18" s="43">
        <v>0.36798879915310673</v>
      </c>
      <c r="R18" s="43">
        <v>0.17685727457441905</v>
      </c>
      <c r="S18" s="43">
        <v>0.8812570787872579</v>
      </c>
      <c r="T18" s="43">
        <v>4.5609700570856182</v>
      </c>
      <c r="U18" s="43">
        <v>0</v>
      </c>
      <c r="V18" s="43">
        <v>4.5609700570856182</v>
      </c>
      <c r="W18" s="43">
        <v>4.5657893239082306</v>
      </c>
      <c r="X18" s="43">
        <v>0.21293988082025717</v>
      </c>
      <c r="Y18" s="43">
        <v>0.10850535853523885</v>
      </c>
      <c r="Z18" s="43">
        <v>0.41832573519786459</v>
      </c>
      <c r="AA18" s="43">
        <v>0.18350920028912757</v>
      </c>
      <c r="AB18" s="43">
        <v>0.2171700787132686</v>
      </c>
      <c r="AC18" s="43">
        <v>0.3875547094211188</v>
      </c>
      <c r="AD18" s="43">
        <v>0.13529803472945517</v>
      </c>
      <c r="AE18" s="43">
        <v>0.19490924923591782</v>
      </c>
      <c r="AF18" s="43">
        <v>0.37337436895635201</v>
      </c>
      <c r="AG18" s="43">
        <v>0.31717662392359747</v>
      </c>
      <c r="AH18" s="43">
        <v>0.13855641117580436</v>
      </c>
      <c r="AI18" s="43">
        <v>2.1430398802511084</v>
      </c>
      <c r="AJ18" s="43">
        <v>4.830359531249111</v>
      </c>
      <c r="AK18" s="43">
        <v>0</v>
      </c>
      <c r="AL18" s="43">
        <v>4.830359531249111</v>
      </c>
      <c r="AM18" s="43">
        <v>4.8294332417003885</v>
      </c>
      <c r="AN18" s="43">
        <v>5.7121188837855219E-2</v>
      </c>
      <c r="AO18" s="43">
        <v>0.12050585938611619</v>
      </c>
      <c r="AP18" s="43">
        <v>0.3673926158644516</v>
      </c>
      <c r="AQ18" s="43">
        <v>8.9921229816563378E-2</v>
      </c>
      <c r="AR18" s="43">
        <v>9.6419485375723535E-2</v>
      </c>
      <c r="AS18" s="43">
        <v>0.45907393811076774</v>
      </c>
      <c r="AT18" s="43">
        <v>0.12654737309406322</v>
      </c>
      <c r="AU18" s="43">
        <v>0.16767690565221599</v>
      </c>
      <c r="AV18" s="43">
        <v>0.44335262747508547</v>
      </c>
      <c r="AW18" s="43">
        <v>0.15743792010290208</v>
      </c>
      <c r="AX18" s="43">
        <v>0.33751373071297264</v>
      </c>
      <c r="AY18" s="43">
        <v>0.79297499729654353</v>
      </c>
      <c r="AZ18" s="43">
        <v>3.2159378717252607</v>
      </c>
      <c r="BA18" s="43">
        <v>0</v>
      </c>
      <c r="BB18" s="42">
        <v>3.2159378717252607</v>
      </c>
      <c r="BC18" s="42">
        <v>3.2117446684993256</v>
      </c>
      <c r="BD18" s="49">
        <v>1.08423</v>
      </c>
      <c r="BE18" s="42"/>
      <c r="BF18" s="49">
        <f>BD18+BE18</f>
        <v>1.08423</v>
      </c>
      <c r="BG18" s="44">
        <v>6.1344999999999997E-2</v>
      </c>
      <c r="BH18" s="42"/>
      <c r="BI18" s="44">
        <f>BG18+BH18</f>
        <v>6.1344999999999997E-2</v>
      </c>
      <c r="BJ18" s="44">
        <v>0.39285100000000001</v>
      </c>
      <c r="BK18" s="44"/>
      <c r="BL18" s="44">
        <f>BJ18+BK18</f>
        <v>0.39285100000000001</v>
      </c>
      <c r="BM18" s="44">
        <v>0.20089199999999999</v>
      </c>
      <c r="BN18" s="44"/>
      <c r="BO18" s="44">
        <f>BM18+BN18</f>
        <v>0.20089199999999999</v>
      </c>
      <c r="BP18" s="44">
        <v>0.114465</v>
      </c>
      <c r="BQ18" s="44"/>
      <c r="BR18" s="44">
        <f>BP18+BQ18</f>
        <v>0.114465</v>
      </c>
      <c r="BS18" s="44">
        <v>0.41510000000000002</v>
      </c>
      <c r="BT18" s="42"/>
      <c r="BU18" s="44">
        <f>BS18+BT18</f>
        <v>0.41510000000000002</v>
      </c>
      <c r="BV18" s="44">
        <v>0.14903</v>
      </c>
      <c r="BW18" s="42"/>
      <c r="BX18" s="44">
        <f>BV18+BW18</f>
        <v>0.14903</v>
      </c>
      <c r="BY18" s="44">
        <v>0.152943</v>
      </c>
      <c r="BZ18" s="42"/>
      <c r="CA18" s="44">
        <f>BY18+BZ18</f>
        <v>0.152943</v>
      </c>
      <c r="CB18" s="44">
        <v>0.47926800000000003</v>
      </c>
      <c r="CC18" s="42"/>
      <c r="CD18" s="44">
        <f>CB18+CC18</f>
        <v>0.47926800000000003</v>
      </c>
      <c r="CE18" s="44">
        <v>0.33785700000000002</v>
      </c>
      <c r="CF18" s="44"/>
      <c r="CG18" s="44">
        <f>CE18+CF18</f>
        <v>0.33785700000000002</v>
      </c>
      <c r="CH18" s="44">
        <v>8.5646E-2</v>
      </c>
      <c r="CI18" s="42"/>
      <c r="CJ18" s="44">
        <f>CH18+CI18</f>
        <v>8.5646E-2</v>
      </c>
      <c r="CK18" s="44">
        <v>0.65922099999999995</v>
      </c>
      <c r="CL18" s="42"/>
      <c r="CM18" s="44">
        <f>CK18+CL18</f>
        <v>0.65922099999999995</v>
      </c>
      <c r="CN18" s="50">
        <f t="shared" si="20"/>
        <v>4.1328480000000001</v>
      </c>
      <c r="CO18" s="50"/>
      <c r="CP18" s="50">
        <f t="shared" si="21"/>
        <v>4.1328480000000001</v>
      </c>
      <c r="CQ18" s="50">
        <v>4.0615750000000004</v>
      </c>
      <c r="CR18" s="44">
        <v>7.4125999999999997E-2</v>
      </c>
      <c r="CS18" s="42"/>
      <c r="CT18" s="44">
        <f>CR18+CS18</f>
        <v>7.4125999999999997E-2</v>
      </c>
      <c r="CU18" s="44">
        <v>0.119121</v>
      </c>
      <c r="CV18" s="44">
        <v>0</v>
      </c>
      <c r="CW18" s="44">
        <v>0.119121</v>
      </c>
      <c r="CX18" s="44">
        <v>0.37173800000000001</v>
      </c>
      <c r="CY18" s="44">
        <v>0</v>
      </c>
      <c r="CZ18" s="44">
        <v>0.37173800000000001</v>
      </c>
      <c r="DA18" s="44">
        <v>9.3177999999999997E-2</v>
      </c>
      <c r="DB18" s="44">
        <v>0</v>
      </c>
      <c r="DC18" s="44">
        <v>9.3177999999999997E-2</v>
      </c>
      <c r="DD18" s="44">
        <v>0.112013</v>
      </c>
      <c r="DE18" s="44">
        <v>0</v>
      </c>
      <c r="DF18" s="44">
        <v>0.112013</v>
      </c>
      <c r="DG18" s="44">
        <v>8.7348999999999996E-2</v>
      </c>
      <c r="DH18" s="44">
        <v>0</v>
      </c>
      <c r="DI18" s="44">
        <v>8.7348999999999996E-2</v>
      </c>
      <c r="DJ18" s="44">
        <v>0.20785000000000001</v>
      </c>
      <c r="DK18" s="44">
        <v>0</v>
      </c>
      <c r="DL18" s="44">
        <v>0.20785000000000001</v>
      </c>
      <c r="DM18" s="44">
        <v>0.14332800000000001</v>
      </c>
      <c r="DN18" s="44">
        <v>0</v>
      </c>
      <c r="DO18" s="44">
        <v>0.14332800000000001</v>
      </c>
      <c r="DP18" s="44">
        <v>0.101076</v>
      </c>
      <c r="DQ18" s="44">
        <v>0</v>
      </c>
      <c r="DR18" s="44">
        <v>0.101076</v>
      </c>
      <c r="DS18" s="44">
        <v>8.6356000000000002E-2</v>
      </c>
      <c r="DT18" s="44">
        <v>0</v>
      </c>
      <c r="DU18" s="44">
        <v>8.6356000000000002E-2</v>
      </c>
      <c r="DV18" s="44">
        <v>0.10321</v>
      </c>
      <c r="DW18" s="44">
        <v>0</v>
      </c>
      <c r="DX18" s="44">
        <v>0.10321</v>
      </c>
      <c r="DY18" s="44">
        <v>0.54721799999999998</v>
      </c>
      <c r="DZ18" s="44">
        <v>0</v>
      </c>
      <c r="EA18" s="44">
        <v>0.54721799999999998</v>
      </c>
      <c r="EB18" s="44">
        <f t="shared" si="22"/>
        <v>2.0465630000000004</v>
      </c>
      <c r="EC18" s="50">
        <f t="shared" si="23"/>
        <v>0</v>
      </c>
      <c r="ED18" s="50">
        <f t="shared" si="24"/>
        <v>2.0465630000000004</v>
      </c>
      <c r="EE18" s="140">
        <v>2.0674139999999999</v>
      </c>
      <c r="EF18" s="50">
        <v>0.108986</v>
      </c>
      <c r="EG18" s="50">
        <v>0</v>
      </c>
      <c r="EH18" s="50">
        <v>0.108986</v>
      </c>
      <c r="EI18" s="50">
        <v>5.1207000000000003E-2</v>
      </c>
      <c r="EJ18" s="50">
        <v>0</v>
      </c>
      <c r="EK18" s="50">
        <v>5.1207000000000003E-2</v>
      </c>
      <c r="EL18" s="50">
        <v>0.15018400000000001</v>
      </c>
      <c r="EM18" s="50">
        <v>0</v>
      </c>
      <c r="EN18" s="50">
        <v>0.15018400000000001</v>
      </c>
      <c r="EO18" s="50">
        <v>0.105896</v>
      </c>
      <c r="EP18" s="50">
        <v>0</v>
      </c>
      <c r="EQ18" s="50">
        <v>0.105896</v>
      </c>
      <c r="ER18" s="50">
        <v>0.114291</v>
      </c>
      <c r="ES18" s="50">
        <v>0</v>
      </c>
      <c r="ET18" s="50">
        <v>0.114291</v>
      </c>
      <c r="EU18" s="50">
        <v>0.13272999999999999</v>
      </c>
      <c r="EV18" s="50">
        <v>0</v>
      </c>
      <c r="EW18" s="50">
        <v>0.13272999999999999</v>
      </c>
      <c r="EX18" s="50">
        <v>0.144125</v>
      </c>
      <c r="EY18" s="50">
        <v>0</v>
      </c>
      <c r="EZ18" s="50">
        <v>0.144125</v>
      </c>
      <c r="FA18" s="50">
        <v>7.8872999999999999E-2</v>
      </c>
      <c r="FB18" s="50">
        <v>0</v>
      </c>
      <c r="FC18" s="50">
        <v>7.8872999999999999E-2</v>
      </c>
      <c r="FD18" s="50">
        <v>0.10551099999999999</v>
      </c>
      <c r="FE18" s="50">
        <v>0</v>
      </c>
      <c r="FF18" s="50">
        <v>0.10551099999999999</v>
      </c>
      <c r="FG18" s="50">
        <v>0.103537</v>
      </c>
      <c r="FH18" s="50">
        <v>0</v>
      </c>
      <c r="FI18" s="50">
        <v>0.103537</v>
      </c>
      <c r="FJ18" s="50">
        <v>9.6064999999999998E-2</v>
      </c>
      <c r="FK18" s="50">
        <v>0</v>
      </c>
      <c r="FL18" s="50">
        <v>9.6064999999999998E-2</v>
      </c>
      <c r="FM18" s="50">
        <v>0.54152299999999998</v>
      </c>
      <c r="FN18" s="50">
        <v>0</v>
      </c>
      <c r="FO18" s="50">
        <v>0.54152299999999998</v>
      </c>
      <c r="FP18" s="50">
        <f t="shared" si="25"/>
        <v>1.7329280000000002</v>
      </c>
      <c r="FQ18" s="50">
        <f t="shared" si="26"/>
        <v>0</v>
      </c>
      <c r="FR18" s="50">
        <f t="shared" si="27"/>
        <v>1.7329280000000002</v>
      </c>
      <c r="FS18" s="94">
        <v>1.735001</v>
      </c>
      <c r="FT18" s="50">
        <v>5.6940999999999999E-2</v>
      </c>
      <c r="FU18" s="50">
        <v>0</v>
      </c>
      <c r="FV18" s="50">
        <v>5.6940999999999999E-2</v>
      </c>
      <c r="FW18" s="50">
        <v>0.113317</v>
      </c>
      <c r="FX18" s="50">
        <v>0</v>
      </c>
      <c r="FY18" s="50">
        <v>0.113317</v>
      </c>
      <c r="FZ18" s="50">
        <v>5.0369999999999998E-2</v>
      </c>
      <c r="GA18" s="50">
        <v>0</v>
      </c>
      <c r="GB18" s="50">
        <v>5.0369999999999998E-2</v>
      </c>
      <c r="GC18" s="50">
        <v>0.102177</v>
      </c>
      <c r="GD18" s="50">
        <v>0</v>
      </c>
      <c r="GE18" s="50">
        <v>0.102177</v>
      </c>
      <c r="GF18" s="50">
        <v>0.73038000000000003</v>
      </c>
      <c r="GG18" s="50">
        <v>0</v>
      </c>
      <c r="GH18" s="50">
        <v>0.73038000000000003</v>
      </c>
      <c r="GI18" s="50">
        <v>0.54486000000000001</v>
      </c>
      <c r="GJ18" s="50">
        <v>0</v>
      </c>
      <c r="GK18" s="50">
        <v>0.54486000000000001</v>
      </c>
      <c r="GL18" s="50">
        <v>0.139129</v>
      </c>
      <c r="GM18" s="50">
        <v>0</v>
      </c>
      <c r="GN18" s="50">
        <v>0.139129</v>
      </c>
      <c r="GO18" s="50">
        <v>0.16190299999999999</v>
      </c>
      <c r="GP18" s="50">
        <v>0</v>
      </c>
      <c r="GQ18" s="50">
        <v>0.16190299999999999</v>
      </c>
      <c r="GR18" s="50">
        <v>0.12548400000000001</v>
      </c>
      <c r="GS18" s="50">
        <v>0</v>
      </c>
      <c r="GT18" s="50">
        <v>0.12548400000000001</v>
      </c>
      <c r="GU18" s="50">
        <v>1.4231879999999999</v>
      </c>
      <c r="GV18" s="50">
        <v>0</v>
      </c>
      <c r="GW18" s="50">
        <v>1.4231879999999999</v>
      </c>
      <c r="GX18" s="50">
        <v>7.0055000000000006E-2</v>
      </c>
      <c r="GY18" s="50">
        <v>0</v>
      </c>
      <c r="GZ18" s="50">
        <v>7.0055000000000006E-2</v>
      </c>
      <c r="HA18" s="50">
        <v>0.83271399999999995</v>
      </c>
      <c r="HB18" s="50">
        <v>0</v>
      </c>
      <c r="HC18" s="50">
        <v>0.83271399999999995</v>
      </c>
      <c r="HD18" s="50">
        <f t="shared" si="28"/>
        <v>4.3505180000000001</v>
      </c>
      <c r="HE18" s="50">
        <f t="shared" si="29"/>
        <v>0</v>
      </c>
      <c r="HF18" s="50">
        <f t="shared" si="30"/>
        <v>4.3505180000000001</v>
      </c>
      <c r="HG18" s="50">
        <v>4.3488329999999999</v>
      </c>
      <c r="HH18" s="50">
        <v>0.162803</v>
      </c>
      <c r="HI18" s="50">
        <v>0</v>
      </c>
      <c r="HJ18" s="50">
        <v>0.162803</v>
      </c>
      <c r="HK18" s="50">
        <v>6.7098000000000005E-2</v>
      </c>
      <c r="HL18" s="50">
        <v>0</v>
      </c>
      <c r="HM18" s="50">
        <v>6.7098000000000005E-2</v>
      </c>
      <c r="HN18" s="50">
        <v>0.12130299999999999</v>
      </c>
      <c r="HO18" s="50">
        <v>0</v>
      </c>
      <c r="HP18" s="50">
        <v>0.12130299999999999</v>
      </c>
      <c r="HQ18" s="50">
        <v>4.8196999999999997E-2</v>
      </c>
      <c r="HR18" s="50">
        <v>0</v>
      </c>
      <c r="HS18" s="50">
        <v>4.8196999999999997E-2</v>
      </c>
      <c r="HT18" s="50">
        <v>0.110573</v>
      </c>
      <c r="HU18" s="50">
        <v>0</v>
      </c>
      <c r="HV18" s="50">
        <v>0.110573</v>
      </c>
      <c r="HW18" s="50">
        <v>0.408302</v>
      </c>
      <c r="HX18" s="50">
        <v>0</v>
      </c>
      <c r="HY18" s="50">
        <v>0.408302</v>
      </c>
      <c r="HZ18" s="50">
        <v>0.61786300000000005</v>
      </c>
      <c r="IA18" s="50">
        <v>0</v>
      </c>
      <c r="IB18" s="50">
        <v>0.61786300000000005</v>
      </c>
      <c r="IC18" s="50">
        <v>5.8668999999999999E-2</v>
      </c>
      <c r="ID18" s="50">
        <v>0</v>
      </c>
      <c r="IE18" s="50">
        <v>5.8668999999999999E-2</v>
      </c>
      <c r="IF18" s="50">
        <v>5.7722999999999997E-2</v>
      </c>
      <c r="IG18" s="50">
        <v>0</v>
      </c>
      <c r="IH18" s="50">
        <v>5.7722999999999997E-2</v>
      </c>
      <c r="II18" s="50">
        <v>-0.82006699999999999</v>
      </c>
      <c r="IJ18" s="50">
        <v>0</v>
      </c>
      <c r="IK18" s="50">
        <v>-0.82006699999999999</v>
      </c>
      <c r="IL18" s="50">
        <v>5.9804999999999997E-2</v>
      </c>
      <c r="IM18" s="50">
        <v>0</v>
      </c>
      <c r="IN18" s="50">
        <v>5.9804999999999997E-2</v>
      </c>
      <c r="IO18" s="50">
        <v>0.17649300000000001</v>
      </c>
      <c r="IP18" s="50">
        <v>0</v>
      </c>
      <c r="IQ18" s="50">
        <v>0.17649300000000001</v>
      </c>
      <c r="IR18" s="44">
        <f t="shared" si="34"/>
        <v>1.0687620000000002</v>
      </c>
      <c r="IS18" s="50">
        <f t="shared" si="35"/>
        <v>0</v>
      </c>
      <c r="IT18" s="50">
        <f t="shared" si="36"/>
        <v>1.0687620000000002</v>
      </c>
      <c r="IU18" s="50">
        <v>1.0710980000000001</v>
      </c>
      <c r="IV18" s="44">
        <v>9.672E-2</v>
      </c>
      <c r="IW18" s="50">
        <v>0</v>
      </c>
      <c r="IX18" s="50">
        <v>9.672E-2</v>
      </c>
      <c r="IY18" s="44">
        <v>6.1964999999999999E-2</v>
      </c>
      <c r="IZ18" s="50">
        <v>0</v>
      </c>
      <c r="JA18" s="50">
        <v>6.1964999999999999E-2</v>
      </c>
      <c r="JB18" s="44">
        <v>7.5947000000000001E-2</v>
      </c>
      <c r="JC18" s="50">
        <v>0</v>
      </c>
      <c r="JD18" s="50">
        <v>7.5947000000000001E-2</v>
      </c>
      <c r="JE18" s="44">
        <v>5.6424000000000002E-2</v>
      </c>
      <c r="JF18" s="50">
        <v>0</v>
      </c>
      <c r="JG18" s="50">
        <v>5.6424000000000002E-2</v>
      </c>
      <c r="JH18" s="44">
        <v>0.16678000000000001</v>
      </c>
      <c r="JI18" s="50">
        <v>0</v>
      </c>
      <c r="JJ18" s="50">
        <v>0.16678000000000001</v>
      </c>
      <c r="JK18" s="44">
        <v>6.1738000000000001E-2</v>
      </c>
      <c r="JL18" s="50">
        <v>0</v>
      </c>
      <c r="JM18" s="50">
        <v>6.1738000000000001E-2</v>
      </c>
      <c r="JN18" s="44">
        <v>9.9638000000000004E-2</v>
      </c>
      <c r="JO18" s="50">
        <v>0</v>
      </c>
      <c r="JP18" s="50">
        <v>9.9638000000000004E-2</v>
      </c>
      <c r="JQ18" s="44">
        <v>0.20083699999999999</v>
      </c>
      <c r="JR18" s="50">
        <v>0</v>
      </c>
      <c r="JS18" s="50">
        <v>0.20083699999999999</v>
      </c>
      <c r="JT18" s="44">
        <v>3.0196000000000001E-2</v>
      </c>
      <c r="JU18" s="50">
        <v>0</v>
      </c>
      <c r="JV18" s="50">
        <v>3.0196000000000001E-2</v>
      </c>
      <c r="JW18" s="44">
        <v>2.7848000000000001E-2</v>
      </c>
      <c r="JX18" s="50">
        <v>0</v>
      </c>
      <c r="JY18" s="50">
        <v>2.7848000000000001E-2</v>
      </c>
      <c r="JZ18" s="44">
        <v>3.1344999999999998E-2</v>
      </c>
      <c r="KA18" s="50">
        <v>0</v>
      </c>
      <c r="KB18" s="50">
        <v>3.1344999999999998E-2</v>
      </c>
      <c r="KC18" s="44">
        <v>1.673662</v>
      </c>
      <c r="KD18" s="50">
        <v>0</v>
      </c>
      <c r="KE18" s="50">
        <v>1.673662</v>
      </c>
      <c r="KF18" s="44">
        <f t="shared" si="37"/>
        <v>2.5831</v>
      </c>
      <c r="KG18" s="50">
        <f t="shared" si="3"/>
        <v>0</v>
      </c>
      <c r="KH18" s="50">
        <f t="shared" si="4"/>
        <v>2.5831</v>
      </c>
      <c r="KI18" s="50">
        <v>2.5831019999999998</v>
      </c>
      <c r="KJ18" s="44">
        <v>2.1131E-2</v>
      </c>
      <c r="KK18" s="50">
        <v>0</v>
      </c>
      <c r="KL18" s="50">
        <v>2.1131E-2</v>
      </c>
      <c r="KM18" s="44">
        <v>2.2807999999999998E-2</v>
      </c>
      <c r="KN18" s="50">
        <v>0</v>
      </c>
      <c r="KO18" s="50">
        <v>2.2807999999999998E-2</v>
      </c>
      <c r="KP18" s="44">
        <v>9.9940000000000001E-2</v>
      </c>
      <c r="KQ18" s="50">
        <v>0</v>
      </c>
      <c r="KR18" s="50">
        <v>9.9940000000000001E-2</v>
      </c>
      <c r="KS18" s="50">
        <v>2.1423000000000001E-2</v>
      </c>
      <c r="KT18" s="50"/>
      <c r="KU18" s="50">
        <v>2.1423000000000001E-2</v>
      </c>
      <c r="KV18" s="50">
        <v>5.5009999999999998E-3</v>
      </c>
      <c r="KW18" s="50">
        <v>0</v>
      </c>
      <c r="KX18" s="50">
        <v>5.5009999999999998E-3</v>
      </c>
      <c r="KY18" s="50">
        <v>3.1385999999999997E-2</v>
      </c>
      <c r="KZ18" s="50">
        <v>0</v>
      </c>
      <c r="LA18" s="50">
        <v>3.1385999999999997E-2</v>
      </c>
      <c r="LB18" s="50">
        <v>2.8583999999999998E-2</v>
      </c>
      <c r="LC18" s="50">
        <v>0</v>
      </c>
      <c r="LD18" s="50">
        <v>2.8583999999999998E-2</v>
      </c>
      <c r="LE18" s="44">
        <v>8.9515999999999998E-2</v>
      </c>
      <c r="LF18" s="44"/>
      <c r="LG18" s="44">
        <v>8.9515999999999998E-2</v>
      </c>
      <c r="LH18" s="44">
        <v>0.11497599999999999</v>
      </c>
      <c r="LI18" s="50">
        <v>0</v>
      </c>
      <c r="LJ18" s="50">
        <v>0.11497599999999999</v>
      </c>
      <c r="LK18" s="44">
        <v>3.4091999999999997E-2</v>
      </c>
      <c r="LL18" s="50">
        <v>0</v>
      </c>
      <c r="LM18" s="50">
        <v>3.4091999999999997E-2</v>
      </c>
      <c r="LN18" s="44">
        <v>2.6498000000000001E-2</v>
      </c>
      <c r="LO18" s="50">
        <v>0</v>
      </c>
      <c r="LP18" s="50">
        <v>2.6498000000000001E-2</v>
      </c>
      <c r="LQ18" s="44">
        <v>5.0056999999999997E-2</v>
      </c>
      <c r="LR18" s="50">
        <v>0</v>
      </c>
      <c r="LS18" s="50">
        <v>5.0056999999999997E-2</v>
      </c>
      <c r="LT18" s="44">
        <f t="shared" si="58"/>
        <v>0.54591200000000006</v>
      </c>
      <c r="LU18" s="50">
        <f t="shared" si="5"/>
        <v>0</v>
      </c>
      <c r="LV18" s="50">
        <f t="shared" si="5"/>
        <v>0.54591200000000006</v>
      </c>
      <c r="LW18" s="50">
        <v>0.54591400000000001</v>
      </c>
      <c r="LX18" s="44">
        <v>5.6258000000000002E-2</v>
      </c>
      <c r="LY18" s="50">
        <v>0</v>
      </c>
      <c r="LZ18" s="50">
        <v>5.6258000000000002E-2</v>
      </c>
      <c r="MA18" s="44">
        <v>2.4313000000000001E-2</v>
      </c>
      <c r="MB18" s="50">
        <v>0</v>
      </c>
      <c r="MC18" s="50">
        <v>2.4313000000000001E-2</v>
      </c>
      <c r="MD18" s="44">
        <v>4.5280000000000001E-2</v>
      </c>
      <c r="ME18" s="50">
        <v>0</v>
      </c>
      <c r="MF18" s="50">
        <v>4.5280000000000001E-2</v>
      </c>
      <c r="MG18" s="44">
        <v>1.8735999999999999E-2</v>
      </c>
      <c r="MH18" s="50">
        <v>0</v>
      </c>
      <c r="MI18" s="50">
        <v>1.8735999999999999E-2</v>
      </c>
      <c r="MJ18" s="44">
        <v>3.4051999999999999E-2</v>
      </c>
      <c r="MK18" s="50">
        <v>0</v>
      </c>
      <c r="ML18" s="50">
        <v>3.4051999999999999E-2</v>
      </c>
      <c r="MM18" s="44">
        <v>2.9054E-2</v>
      </c>
      <c r="MN18" s="50">
        <v>0</v>
      </c>
      <c r="MO18" s="50">
        <v>2.9054E-2</v>
      </c>
      <c r="MP18" s="44">
        <v>4.1562000000000002E-2</v>
      </c>
      <c r="MQ18" s="50">
        <v>0</v>
      </c>
      <c r="MR18" s="50">
        <v>4.1562000000000002E-2</v>
      </c>
      <c r="MS18" s="44">
        <v>3.1917000000000001E-2</v>
      </c>
      <c r="MT18" s="50">
        <v>0</v>
      </c>
      <c r="MU18" s="50">
        <v>3.1917000000000001E-2</v>
      </c>
      <c r="MV18" s="44">
        <v>1.9519999999999999E-2</v>
      </c>
      <c r="MW18" s="50">
        <v>0</v>
      </c>
      <c r="MX18" s="50">
        <v>1.9519999999999999E-2</v>
      </c>
      <c r="MY18" s="44">
        <v>1.3948E-2</v>
      </c>
      <c r="MZ18" s="50">
        <v>0</v>
      </c>
      <c r="NA18" s="50">
        <v>1.3948E-2</v>
      </c>
      <c r="NB18" s="44">
        <v>8.9923000000000003E-2</v>
      </c>
      <c r="NC18" s="50">
        <v>0</v>
      </c>
      <c r="ND18" s="50">
        <v>8.9923000000000003E-2</v>
      </c>
      <c r="NE18" s="44">
        <v>5.1447E-2</v>
      </c>
      <c r="NF18" s="50">
        <v>0</v>
      </c>
      <c r="NG18" s="50">
        <v>5.1447E-2</v>
      </c>
      <c r="NH18" s="44">
        <f t="shared" si="59"/>
        <v>0.45601000000000003</v>
      </c>
      <c r="NI18" s="50">
        <f>LY18+MB18+ME18+MH18+MK18+MN18+MQ18+MT18+MW18+MZ18+NC18+NF18</f>
        <v>0</v>
      </c>
      <c r="NJ18" s="50">
        <f t="shared" si="7"/>
        <v>0.45601000000000003</v>
      </c>
      <c r="NK18" s="50">
        <v>0.45924500000000001</v>
      </c>
      <c r="NL18" s="50">
        <v>6.5846000000000002E-2</v>
      </c>
      <c r="NM18" s="50">
        <v>0</v>
      </c>
      <c r="NN18" s="50">
        <v>6.5846000000000002E-2</v>
      </c>
      <c r="NO18" s="50">
        <v>3.8449999999999999E-3</v>
      </c>
      <c r="NP18" s="50"/>
      <c r="NQ18" s="50">
        <v>3.8449999999999999E-3</v>
      </c>
      <c r="NR18" s="50">
        <v>3.6401999999999997E-2</v>
      </c>
      <c r="NS18" s="50"/>
      <c r="NT18" s="50">
        <v>3.6401999999999997E-2</v>
      </c>
      <c r="NU18" s="50">
        <v>7.0858000000000004E-2</v>
      </c>
      <c r="NV18" s="50"/>
      <c r="NW18" s="50">
        <v>7.0858000000000004E-2</v>
      </c>
      <c r="NX18" s="50">
        <v>3.6905E-2</v>
      </c>
      <c r="NY18" s="50"/>
      <c r="NZ18" s="50">
        <v>3.6905E-2</v>
      </c>
      <c r="OA18" s="50">
        <v>6.2371999999999997E-2</v>
      </c>
      <c r="OB18" s="50"/>
      <c r="OC18" s="50">
        <v>6.2371999999999997E-2</v>
      </c>
      <c r="OD18" s="50">
        <v>2.4136999999999999E-2</v>
      </c>
      <c r="OE18" s="50"/>
      <c r="OF18" s="50">
        <v>2.4136999999999999E-2</v>
      </c>
      <c r="OG18" s="94">
        <v>2.5925E-2</v>
      </c>
      <c r="OH18" s="50"/>
      <c r="OI18" s="94">
        <v>2.5925E-2</v>
      </c>
      <c r="OJ18" s="50">
        <v>2.4736999999999999E-2</v>
      </c>
      <c r="OK18" s="50"/>
      <c r="OL18" s="50">
        <v>2.4736999999999999E-2</v>
      </c>
      <c r="OM18" s="50">
        <v>5.8434E-2</v>
      </c>
      <c r="ON18" s="50"/>
      <c r="OO18" s="50">
        <v>5.8434E-2</v>
      </c>
      <c r="OP18" s="50">
        <v>0.32735399999999998</v>
      </c>
      <c r="OQ18" s="50"/>
      <c r="OR18" s="50">
        <v>0.32735399999999998</v>
      </c>
      <c r="OS18" s="50">
        <v>4.3083000000000003E-2</v>
      </c>
      <c r="OT18" s="50"/>
      <c r="OU18" s="50">
        <v>4.3083000000000003E-2</v>
      </c>
      <c r="OV18" s="44">
        <f t="shared" si="60"/>
        <v>0.77989799999999998</v>
      </c>
      <c r="OW18" s="50">
        <f>NM18+NP18+NS18+NV18+NY18+OB18+OE18+OH18+OK18+ON18+OQ18+OT18</f>
        <v>0</v>
      </c>
      <c r="OX18" s="50">
        <f t="shared" si="9"/>
        <v>0.77989799999999998</v>
      </c>
      <c r="OY18" s="85">
        <v>0.78791800000000001</v>
      </c>
      <c r="OZ18" s="85">
        <v>1.7831E-2</v>
      </c>
      <c r="PA18" s="50"/>
      <c r="PB18" s="50">
        <v>1.7831E-2</v>
      </c>
      <c r="PC18" s="50">
        <v>1.6782999999999999E-2</v>
      </c>
      <c r="PD18" s="50"/>
      <c r="PE18" s="50">
        <v>1.6782999999999999E-2</v>
      </c>
      <c r="PF18" s="85">
        <v>0.35505500000000001</v>
      </c>
      <c r="PG18" s="50"/>
      <c r="PH18" s="50">
        <v>0.35505500000000001</v>
      </c>
      <c r="PI18" s="85">
        <v>4.0820000000000002E-2</v>
      </c>
      <c r="PJ18" s="50"/>
      <c r="PK18" s="50">
        <v>4.0820000000000002E-2</v>
      </c>
      <c r="PL18" s="50">
        <v>3.5386000000000001E-2</v>
      </c>
      <c r="PM18" s="50"/>
      <c r="PN18" s="50">
        <v>3.5386000000000001E-2</v>
      </c>
      <c r="PO18" s="50">
        <v>8.8677000000000006E-2</v>
      </c>
      <c r="PP18" s="50"/>
      <c r="PQ18" s="50">
        <v>8.8677000000000006E-2</v>
      </c>
      <c r="PR18" s="50">
        <v>3.9959000000000001E-2</v>
      </c>
      <c r="PS18" s="50"/>
      <c r="PT18" s="50">
        <v>3.9959000000000001E-2</v>
      </c>
      <c r="PU18" s="50">
        <v>0.15971399999999999</v>
      </c>
      <c r="PV18" s="50"/>
      <c r="PW18" s="50">
        <v>0.15971399999999999</v>
      </c>
      <c r="PX18" s="50">
        <v>1.2472E-2</v>
      </c>
      <c r="PY18" s="50"/>
      <c r="PZ18" s="50">
        <v>1.2472E-2</v>
      </c>
      <c r="QA18" s="50">
        <v>8.2232E-2</v>
      </c>
      <c r="QB18" s="50"/>
      <c r="QC18" s="50">
        <v>8.2232E-2</v>
      </c>
      <c r="QD18" s="50">
        <v>7.6562000000000005E-2</v>
      </c>
      <c r="QE18" s="50"/>
      <c r="QF18" s="50">
        <v>7.6562000000000005E-2</v>
      </c>
      <c r="QG18" s="50">
        <v>3.4789E-2</v>
      </c>
      <c r="QH18" s="50"/>
      <c r="QI18" s="50">
        <v>3.4789E-2</v>
      </c>
      <c r="QJ18" s="44">
        <f t="shared" si="38"/>
        <v>0.96028000000000002</v>
      </c>
      <c r="QK18" s="50">
        <f t="shared" si="39"/>
        <v>0</v>
      </c>
      <c r="QL18" s="50">
        <f t="shared" si="40"/>
        <v>0.96028000000000002</v>
      </c>
      <c r="QM18" s="50">
        <v>0.96027899999999999</v>
      </c>
      <c r="QN18" s="50">
        <v>9.0020000000000003E-2</v>
      </c>
      <c r="QO18" s="50"/>
      <c r="QP18" s="50">
        <v>9.0020000000000003E-2</v>
      </c>
      <c r="QQ18" s="50">
        <v>3.0330000000000001E-3</v>
      </c>
      <c r="QR18" s="50"/>
      <c r="QS18" s="50">
        <v>3.0330000000000001E-3</v>
      </c>
      <c r="QT18" s="50">
        <v>2.4930999999999998E-2</v>
      </c>
      <c r="QU18" s="50"/>
      <c r="QV18" s="50">
        <v>2.4930999999999998E-2</v>
      </c>
      <c r="QW18" s="50">
        <v>2.9454000000000001E-2</v>
      </c>
      <c r="QX18" s="50"/>
      <c r="QY18" s="50">
        <v>2.9454000000000001E-2</v>
      </c>
      <c r="QZ18" s="50">
        <v>0.170206</v>
      </c>
      <c r="RA18" s="50"/>
      <c r="RB18" s="50">
        <v>0.170206</v>
      </c>
      <c r="RC18" s="50">
        <v>0.11172600000000001</v>
      </c>
      <c r="RD18" s="50"/>
      <c r="RE18" s="50">
        <v>0.11172600000000001</v>
      </c>
      <c r="RF18" s="50">
        <v>5.9441000000000001E-2</v>
      </c>
      <c r="RG18" s="50"/>
      <c r="RH18" s="50">
        <v>5.9441000000000001E-2</v>
      </c>
      <c r="RI18" s="50">
        <v>2.5954000000000001E-2</v>
      </c>
      <c r="RJ18" s="50"/>
      <c r="RK18" s="50">
        <v>2.5954000000000001E-2</v>
      </c>
      <c r="RL18" s="50">
        <v>2.3803000000000001E-2</v>
      </c>
      <c r="RM18" s="50"/>
      <c r="RN18" s="50">
        <v>2.3803000000000001E-2</v>
      </c>
      <c r="RO18" s="50">
        <v>4.0002999999999997E-2</v>
      </c>
      <c r="RP18" s="50"/>
      <c r="RQ18" s="50">
        <v>4.0002999999999997E-2</v>
      </c>
      <c r="RR18" s="50">
        <v>7.6468999999999995E-2</v>
      </c>
      <c r="RS18" s="50"/>
      <c r="RT18" s="50">
        <v>7.6468999999999995E-2</v>
      </c>
      <c r="RU18" s="50">
        <v>0.11641</v>
      </c>
      <c r="RV18" s="50"/>
      <c r="RW18" s="50">
        <v>0.11641</v>
      </c>
      <c r="RX18" s="44">
        <f t="shared" si="41"/>
        <v>0.77145000000000008</v>
      </c>
      <c r="RY18" s="50">
        <f t="shared" si="42"/>
        <v>0</v>
      </c>
      <c r="RZ18" s="50">
        <f t="shared" si="43"/>
        <v>0.77145000000000008</v>
      </c>
      <c r="SA18" s="50">
        <v>0.77133300000000005</v>
      </c>
      <c r="SB18" s="50">
        <v>1.7642999999999999E-2</v>
      </c>
      <c r="SC18" s="50"/>
      <c r="SD18" s="50">
        <v>1.7642999999999999E-2</v>
      </c>
      <c r="SE18" s="50">
        <v>1.4498E-2</v>
      </c>
      <c r="SF18" s="50"/>
      <c r="SG18" s="50">
        <v>1.4498E-2</v>
      </c>
      <c r="SH18" s="50">
        <v>6.3257999999999995E-2</v>
      </c>
      <c r="SI18" s="50"/>
      <c r="SJ18" s="50">
        <v>6.3257999999999995E-2</v>
      </c>
      <c r="SK18" s="50">
        <v>2.1509E-2</v>
      </c>
      <c r="SL18" s="50"/>
      <c r="SM18" s="50">
        <v>2.1509E-2</v>
      </c>
      <c r="SN18" s="50">
        <f t="shared" si="44"/>
        <v>0.12922800000000001</v>
      </c>
      <c r="SO18" s="50"/>
      <c r="SP18" s="50">
        <v>0.12922800000000001</v>
      </c>
      <c r="SQ18" s="50">
        <v>7.7654000000000001E-2</v>
      </c>
      <c r="SR18" s="50"/>
      <c r="SS18" s="50">
        <v>7.7654000000000001E-2</v>
      </c>
      <c r="ST18" s="50">
        <v>3.4806999999999998E-2</v>
      </c>
      <c r="SU18" s="50"/>
      <c r="SV18" s="50">
        <v>3.4806999999999998E-2</v>
      </c>
      <c r="SW18" s="50">
        <v>0.54226700000000005</v>
      </c>
      <c r="SX18" s="50"/>
      <c r="SY18" s="50">
        <v>0.54226700000000005</v>
      </c>
      <c r="SZ18" s="50">
        <v>5.3039999999999997E-2</v>
      </c>
      <c r="TA18" s="50"/>
      <c r="TB18" s="50">
        <v>5.3039999999999997E-2</v>
      </c>
      <c r="TC18" s="50">
        <v>5.6231000000000003E-2</v>
      </c>
      <c r="TD18" s="50"/>
      <c r="TE18" s="50">
        <v>5.6231000000000003E-2</v>
      </c>
      <c r="TF18" s="50">
        <v>0.14341899999999999</v>
      </c>
      <c r="TG18" s="50"/>
      <c r="TH18" s="50">
        <v>0.14341899999999999</v>
      </c>
      <c r="TI18" s="50">
        <v>0.19946700000000001</v>
      </c>
      <c r="TJ18" s="50"/>
      <c r="TK18" s="50">
        <v>0.19946700000000001</v>
      </c>
      <c r="TL18" s="44">
        <f t="shared" si="45"/>
        <v>1.353021</v>
      </c>
      <c r="TM18" s="50">
        <f t="shared" si="46"/>
        <v>0</v>
      </c>
      <c r="TN18" s="50">
        <f t="shared" si="47"/>
        <v>1.353021</v>
      </c>
      <c r="TO18" s="50">
        <v>2.1326000000000001E-2</v>
      </c>
      <c r="TP18" s="50"/>
      <c r="TQ18" s="50">
        <v>2.1326000000000001E-2</v>
      </c>
      <c r="TR18" s="50">
        <f t="shared" si="48"/>
        <v>2.3054999999999999E-2</v>
      </c>
      <c r="TS18" s="50"/>
      <c r="TT18" s="50">
        <v>2.3054999999999999E-2</v>
      </c>
      <c r="TU18" s="50">
        <v>5.7234E-2</v>
      </c>
      <c r="TV18" s="50"/>
      <c r="TW18" s="50">
        <v>5.7234E-2</v>
      </c>
      <c r="TX18" s="50">
        <f t="shared" si="49"/>
        <v>4.7447999999999997E-2</v>
      </c>
      <c r="TY18" s="50"/>
      <c r="TZ18" s="50">
        <v>4.7447999999999997E-2</v>
      </c>
      <c r="UA18" s="50"/>
      <c r="UB18" s="50"/>
      <c r="UC18" s="50"/>
      <c r="UD18" s="50"/>
      <c r="UE18" s="50"/>
      <c r="UF18" s="50"/>
      <c r="UG18" s="50"/>
      <c r="UH18" s="50"/>
      <c r="UI18" s="50"/>
      <c r="UJ18" s="50"/>
      <c r="UK18" s="50"/>
      <c r="UL18" s="50"/>
      <c r="UM18" s="50"/>
      <c r="UN18" s="50"/>
      <c r="UO18" s="50"/>
      <c r="UP18" s="50"/>
      <c r="UQ18" s="50"/>
      <c r="UR18" s="50"/>
      <c r="US18" s="50"/>
      <c r="UT18" s="50"/>
      <c r="UU18" s="50"/>
      <c r="UV18" s="50"/>
      <c r="UW18" s="50"/>
      <c r="UX18" s="50"/>
      <c r="UY18" s="292">
        <f t="shared" si="50"/>
        <v>0.116908</v>
      </c>
      <c r="UZ18" s="276">
        <f t="shared" si="51"/>
        <v>0</v>
      </c>
      <c r="VA18" s="276">
        <f t="shared" si="52"/>
        <v>0.116908</v>
      </c>
      <c r="VB18" s="292">
        <f t="shared" si="53"/>
        <v>0.149063</v>
      </c>
      <c r="VC18" s="276">
        <f t="shared" si="54"/>
        <v>0</v>
      </c>
      <c r="VD18" s="276">
        <f t="shared" si="55"/>
        <v>0.149063</v>
      </c>
      <c r="VE18" s="277">
        <f t="shared" si="56"/>
        <v>3.2155000000000003E-2</v>
      </c>
      <c r="VF18" s="277">
        <f t="shared" si="57"/>
        <v>27.504533479317075</v>
      </c>
    </row>
    <row r="19" spans="1:578" s="12" customFormat="1" ht="20.5">
      <c r="A19" s="42" t="s">
        <v>99</v>
      </c>
      <c r="B19" s="13" t="s">
        <v>100</v>
      </c>
      <c r="C19" s="42" t="s">
        <v>101</v>
      </c>
      <c r="D19" s="42">
        <f>D20+D21+D22</f>
        <v>685.29422285587452</v>
      </c>
      <c r="E19" s="43">
        <f>E20+E21+E22</f>
        <v>860.06035537646358</v>
      </c>
      <c r="F19" s="43">
        <f>F20+F21+F22</f>
        <v>733.86605511636253</v>
      </c>
      <c r="G19" s="43">
        <v>669.61871730952009</v>
      </c>
      <c r="H19" s="43">
        <f>H20+H21+H22</f>
        <v>45.45500452473236</v>
      </c>
      <c r="I19" s="43">
        <f t="shared" ref="I19:S19" si="63">I20+I21+I22</f>
        <v>42.913041189293182</v>
      </c>
      <c r="J19" s="43">
        <f t="shared" si="63"/>
        <v>54.412611482006369</v>
      </c>
      <c r="K19" s="43">
        <f t="shared" si="63"/>
        <v>49.129649233641246</v>
      </c>
      <c r="L19" s="43">
        <f t="shared" si="63"/>
        <v>49.921273925589496</v>
      </c>
      <c r="M19" s="43">
        <f t="shared" si="63"/>
        <v>83.733742266691706</v>
      </c>
      <c r="N19" s="43">
        <f t="shared" si="63"/>
        <v>42.456640827314587</v>
      </c>
      <c r="O19" s="43">
        <f t="shared" si="63"/>
        <v>34.406143106755231</v>
      </c>
      <c r="P19" s="43">
        <f t="shared" si="63"/>
        <v>61.797855447607013</v>
      </c>
      <c r="Q19" s="43">
        <f t="shared" si="63"/>
        <v>54.490468181740582</v>
      </c>
      <c r="R19" s="43">
        <f t="shared" si="63"/>
        <v>54.087468198815024</v>
      </c>
      <c r="S19" s="43">
        <f t="shared" si="63"/>
        <v>81.221526912197433</v>
      </c>
      <c r="T19" s="43">
        <f>T20+T21+T22</f>
        <v>452.63013870154396</v>
      </c>
      <c r="U19" s="43">
        <f>U20+U21+U22</f>
        <v>201.39528659484012</v>
      </c>
      <c r="V19" s="43">
        <f>V20+V21+V22</f>
        <v>654.02542529638413</v>
      </c>
      <c r="W19" s="43">
        <v>653.92598363128286</v>
      </c>
      <c r="X19" s="43">
        <f>X20+X21+X22</f>
        <v>51.09493969869267</v>
      </c>
      <c r="Y19" s="43">
        <f t="shared" ref="Y19:AI19" si="64">Y20+Y21+Y22</f>
        <v>45.395757565409419</v>
      </c>
      <c r="Z19" s="43">
        <f t="shared" si="64"/>
        <v>49.081211831463676</v>
      </c>
      <c r="AA19" s="43">
        <f t="shared" si="64"/>
        <v>45.501861116328307</v>
      </c>
      <c r="AB19" s="43">
        <f t="shared" si="64"/>
        <v>44.569998178724084</v>
      </c>
      <c r="AC19" s="43">
        <f t="shared" si="64"/>
        <v>73.757370475979087</v>
      </c>
      <c r="AD19" s="43">
        <f t="shared" si="64"/>
        <v>37.411801867946117</v>
      </c>
      <c r="AE19" s="43">
        <f t="shared" si="64"/>
        <v>22.235084034809137</v>
      </c>
      <c r="AF19" s="43">
        <f t="shared" si="64"/>
        <v>45.410084461670685</v>
      </c>
      <c r="AG19" s="43">
        <f t="shared" si="64"/>
        <v>50.123195087108201</v>
      </c>
      <c r="AH19" s="43">
        <f t="shared" si="64"/>
        <v>49.265310100682413</v>
      </c>
      <c r="AI19" s="43">
        <f t="shared" si="64"/>
        <v>67.23636746518234</v>
      </c>
      <c r="AJ19" s="43">
        <f>AJ20+AJ21+AJ22</f>
        <v>413.68010426804631</v>
      </c>
      <c r="AK19" s="43">
        <f>AK20+AK21+AK22</f>
        <v>167.40287761594982</v>
      </c>
      <c r="AL19" s="43">
        <f>AL20+AL21+AL22</f>
        <v>581.08298188399613</v>
      </c>
      <c r="AM19" s="43">
        <v>580.86328763069082</v>
      </c>
      <c r="AN19" s="43">
        <f>AN20+AN21+AN22</f>
        <v>43.260071086675659</v>
      </c>
      <c r="AO19" s="43">
        <f t="shared" ref="AO19:AY19" si="65">AO20+AO21+AO22</f>
        <v>45.35920683433789</v>
      </c>
      <c r="AP19" s="43">
        <f t="shared" si="65"/>
        <v>46.250665904007377</v>
      </c>
      <c r="AQ19" s="43">
        <f t="shared" si="65"/>
        <v>56.426551357135139</v>
      </c>
      <c r="AR19" s="43">
        <f t="shared" si="65"/>
        <v>48.590086282946601</v>
      </c>
      <c r="AS19" s="43">
        <f t="shared" si="65"/>
        <v>96.723814890068908</v>
      </c>
      <c r="AT19" s="43">
        <f t="shared" si="65"/>
        <v>33.513000779733744</v>
      </c>
      <c r="AU19" s="43">
        <f t="shared" si="65"/>
        <v>28.112883535096554</v>
      </c>
      <c r="AV19" s="43">
        <f t="shared" si="65"/>
        <v>54.036022845629788</v>
      </c>
      <c r="AW19" s="43">
        <f t="shared" si="65"/>
        <v>53.464086715499626</v>
      </c>
      <c r="AX19" s="43">
        <f t="shared" si="65"/>
        <v>52.208780826517788</v>
      </c>
      <c r="AY19" s="43">
        <f t="shared" si="65"/>
        <v>64.499408085326777</v>
      </c>
      <c r="AZ19" s="43">
        <f>AZ20+AZ21+AZ22</f>
        <v>442.19299121803505</v>
      </c>
      <c r="BA19" s="43">
        <f>BA20+BA21+BA22</f>
        <v>180.25158792494068</v>
      </c>
      <c r="BB19" s="42">
        <f>BB20+BB21+BB22</f>
        <v>622.44457914297573</v>
      </c>
      <c r="BC19" s="42">
        <v>623.4711526969113</v>
      </c>
      <c r="BD19" s="49">
        <f t="shared" ref="BD19:CG19" si="66">BD20+BD21+BD22</f>
        <v>38.234544</v>
      </c>
      <c r="BE19" s="42">
        <f t="shared" si="66"/>
        <v>11.395997999999999</v>
      </c>
      <c r="BF19" s="49">
        <f t="shared" si="66"/>
        <v>49.630541999999998</v>
      </c>
      <c r="BG19" s="49">
        <f t="shared" si="66"/>
        <v>36.881565000000002</v>
      </c>
      <c r="BH19" s="42">
        <f t="shared" si="66"/>
        <v>10.545774</v>
      </c>
      <c r="BI19" s="44">
        <f t="shared" si="66"/>
        <v>47.427339000000003</v>
      </c>
      <c r="BJ19" s="49">
        <f t="shared" si="66"/>
        <v>38.137949999999996</v>
      </c>
      <c r="BK19" s="49">
        <f t="shared" si="66"/>
        <v>11.302747</v>
      </c>
      <c r="BL19" s="44">
        <f t="shared" si="66"/>
        <v>49.440697</v>
      </c>
      <c r="BM19" s="49">
        <f t="shared" si="66"/>
        <v>43.266669</v>
      </c>
      <c r="BN19" s="49">
        <f t="shared" si="66"/>
        <v>8.36191</v>
      </c>
      <c r="BO19" s="44">
        <f t="shared" si="66"/>
        <v>51.628579000000002</v>
      </c>
      <c r="BP19" s="49">
        <f t="shared" si="66"/>
        <v>36.756909999999998</v>
      </c>
      <c r="BQ19" s="49">
        <f t="shared" si="66"/>
        <v>8.0416810000000005</v>
      </c>
      <c r="BR19" s="44">
        <f t="shared" si="66"/>
        <v>44.798590999999995</v>
      </c>
      <c r="BS19" s="49">
        <f t="shared" si="66"/>
        <v>75.204600999999997</v>
      </c>
      <c r="BT19" s="42">
        <f t="shared" si="66"/>
        <v>8.8522339999999993</v>
      </c>
      <c r="BU19" s="44">
        <f t="shared" si="66"/>
        <v>84.056834999999992</v>
      </c>
      <c r="BV19" s="49">
        <f t="shared" si="66"/>
        <v>26.855128000000008</v>
      </c>
      <c r="BW19" s="42">
        <f t="shared" si="66"/>
        <v>9.3148309999999999</v>
      </c>
      <c r="BX19" s="44">
        <f t="shared" si="66"/>
        <v>36.169959000000006</v>
      </c>
      <c r="BY19" s="49">
        <f t="shared" si="66"/>
        <v>13.119393999999998</v>
      </c>
      <c r="BZ19" s="42">
        <f t="shared" si="66"/>
        <v>9.7657670000000003</v>
      </c>
      <c r="CA19" s="44">
        <f t="shared" si="66"/>
        <v>22.885161000000004</v>
      </c>
      <c r="CB19" s="49">
        <f t="shared" si="66"/>
        <v>42.591789999999996</v>
      </c>
      <c r="CC19" s="42">
        <f t="shared" si="66"/>
        <v>10.515998</v>
      </c>
      <c r="CD19" s="44">
        <f t="shared" si="66"/>
        <v>53.107787999999999</v>
      </c>
      <c r="CE19" s="49">
        <f t="shared" si="66"/>
        <v>45.758341999999999</v>
      </c>
      <c r="CF19" s="49">
        <f t="shared" si="66"/>
        <v>11.692731999999999</v>
      </c>
      <c r="CG19" s="44">
        <f t="shared" si="66"/>
        <v>57.451073999999998</v>
      </c>
      <c r="CH19" s="49">
        <f t="shared" ref="CH19:CM19" si="67">CH20+CH21+CH22</f>
        <v>38.648913</v>
      </c>
      <c r="CI19" s="42">
        <f t="shared" si="67"/>
        <v>13.550088000000001</v>
      </c>
      <c r="CJ19" s="44">
        <f t="shared" si="67"/>
        <v>52.199001000000003</v>
      </c>
      <c r="CK19" s="49">
        <f t="shared" si="67"/>
        <v>40.442499000000005</v>
      </c>
      <c r="CL19" s="42">
        <f t="shared" si="67"/>
        <v>21.621887999999998</v>
      </c>
      <c r="CM19" s="44">
        <f t="shared" si="67"/>
        <v>62.064387000000004</v>
      </c>
      <c r="CN19" s="50">
        <f t="shared" si="20"/>
        <v>475.89830499999994</v>
      </c>
      <c r="CO19" s="50">
        <f>BE19+BH19+BK19+BN19+BQ19+BT19+BW19+BZ19+CC19+CF19+CI19+CL19</f>
        <v>134.961648</v>
      </c>
      <c r="CP19" s="50">
        <f t="shared" si="21"/>
        <v>610.85995300000002</v>
      </c>
      <c r="CQ19" s="52">
        <f>CQ20+CQ21+CQ22</f>
        <v>610.01164399999993</v>
      </c>
      <c r="CR19" s="49">
        <f>CR20+CR21+CR22</f>
        <v>41.459623999999998</v>
      </c>
      <c r="CS19" s="42">
        <f>CS20+CS21+CS22</f>
        <v>3.1131950000000002</v>
      </c>
      <c r="CT19" s="44">
        <f>CT20+CT21+CT22</f>
        <v>44.572818999999996</v>
      </c>
      <c r="CU19" s="49">
        <v>41.702596</v>
      </c>
      <c r="CV19" s="42">
        <v>8.2906709999999997</v>
      </c>
      <c r="CW19" s="44">
        <v>49.993267000000003</v>
      </c>
      <c r="CX19" s="49">
        <v>42.222228000000001</v>
      </c>
      <c r="CY19" s="42">
        <v>9.5303559999999994</v>
      </c>
      <c r="CZ19" s="44">
        <v>51.752583999999999</v>
      </c>
      <c r="DA19" s="49">
        <v>49.111426999999999</v>
      </c>
      <c r="DB19" s="42">
        <v>3.850193</v>
      </c>
      <c r="DC19" s="44">
        <v>52.961619999999996</v>
      </c>
      <c r="DD19" s="49">
        <v>44.418373000000003</v>
      </c>
      <c r="DE19" s="42">
        <v>6.5399330000000004</v>
      </c>
      <c r="DF19" s="44">
        <v>50.958306</v>
      </c>
      <c r="DG19" s="49">
        <v>89.452719999999999</v>
      </c>
      <c r="DH19" s="42">
        <v>4.4927869999999999</v>
      </c>
      <c r="DI19" s="44">
        <v>93.945507000000006</v>
      </c>
      <c r="DJ19" s="49">
        <v>27.972662999999997</v>
      </c>
      <c r="DK19" s="42">
        <v>6.8191829999999998</v>
      </c>
      <c r="DL19" s="44">
        <v>34.791846</v>
      </c>
      <c r="DM19" s="49">
        <v>14.687574999999999</v>
      </c>
      <c r="DN19" s="42">
        <v>5.3838850000000003</v>
      </c>
      <c r="DO19" s="44">
        <v>20.071459999999998</v>
      </c>
      <c r="DP19" s="49">
        <v>41.761609</v>
      </c>
      <c r="DQ19" s="42">
        <v>4.2714290000000004</v>
      </c>
      <c r="DR19" s="44">
        <v>46.033037999999998</v>
      </c>
      <c r="DS19" s="49">
        <v>43.499845999999998</v>
      </c>
      <c r="DT19" s="42">
        <v>7.0547789999999999</v>
      </c>
      <c r="DU19" s="44">
        <v>50.554625000000001</v>
      </c>
      <c r="DV19" s="49">
        <v>43.376400000000004</v>
      </c>
      <c r="DW19" s="42">
        <v>6.2643040000000001</v>
      </c>
      <c r="DX19" s="44">
        <v>49.640703999999999</v>
      </c>
      <c r="DY19" s="49">
        <v>44.468519999999998</v>
      </c>
      <c r="DZ19" s="42">
        <v>15.503598</v>
      </c>
      <c r="EA19" s="44">
        <v>59.972118000000002</v>
      </c>
      <c r="EB19" s="44">
        <f t="shared" si="22"/>
        <v>524.13358099999994</v>
      </c>
      <c r="EC19" s="50">
        <f t="shared" si="23"/>
        <v>81.114312999999996</v>
      </c>
      <c r="ED19" s="50">
        <f t="shared" si="24"/>
        <v>605.24789399999997</v>
      </c>
      <c r="EE19" s="140">
        <f>EE20+EE21+EE22</f>
        <v>604.76511999999991</v>
      </c>
      <c r="EF19" s="50">
        <v>43.391563999999995</v>
      </c>
      <c r="EG19" s="50">
        <v>2.0452819999999998</v>
      </c>
      <c r="EH19" s="50">
        <v>45.436845999999996</v>
      </c>
      <c r="EI19" s="50">
        <v>41.953339</v>
      </c>
      <c r="EJ19" s="50">
        <v>2.5889820000000001</v>
      </c>
      <c r="EK19" s="50">
        <v>44.542321000000001</v>
      </c>
      <c r="EL19" s="50">
        <v>42.230476000000003</v>
      </c>
      <c r="EM19" s="50">
        <v>6.321796</v>
      </c>
      <c r="EN19" s="50">
        <v>48.552272000000002</v>
      </c>
      <c r="EO19" s="50">
        <v>49.987811000000001</v>
      </c>
      <c r="EP19" s="50">
        <v>1.921564</v>
      </c>
      <c r="EQ19" s="50">
        <v>51.909374999999997</v>
      </c>
      <c r="ER19" s="50">
        <v>40.990839999999999</v>
      </c>
      <c r="ES19" s="50">
        <v>0.50890199999999997</v>
      </c>
      <c r="ET19" s="50">
        <v>41.499741999999998</v>
      </c>
      <c r="EU19" s="50">
        <v>81.784741999999994</v>
      </c>
      <c r="EV19" s="50">
        <v>0.546068</v>
      </c>
      <c r="EW19" s="50">
        <v>82.33081</v>
      </c>
      <c r="EX19" s="50">
        <v>29.322858</v>
      </c>
      <c r="EY19" s="50">
        <v>0.59439299999999995</v>
      </c>
      <c r="EZ19" s="50">
        <v>29.917251</v>
      </c>
      <c r="FA19" s="50">
        <v>15.568165</v>
      </c>
      <c r="FB19" s="50">
        <v>1.5105360000000001</v>
      </c>
      <c r="FC19" s="50">
        <v>17.078701000000002</v>
      </c>
      <c r="FD19" s="50">
        <v>21.966811</v>
      </c>
      <c r="FE19" s="50">
        <v>0.88461000000000001</v>
      </c>
      <c r="FF19" s="50">
        <v>22.851420999999998</v>
      </c>
      <c r="FG19" s="50">
        <v>66.637433999999999</v>
      </c>
      <c r="FH19" s="50">
        <v>1.545434</v>
      </c>
      <c r="FI19" s="50">
        <v>68.182867999999999</v>
      </c>
      <c r="FJ19" s="50">
        <v>49.277190000000004</v>
      </c>
      <c r="FK19" s="50">
        <v>2.3747129999999999</v>
      </c>
      <c r="FL19" s="50">
        <v>51.651903000000004</v>
      </c>
      <c r="FM19" s="50">
        <v>48.691706000000003</v>
      </c>
      <c r="FN19" s="50">
        <v>3.5815000000000001</v>
      </c>
      <c r="FO19" s="50">
        <v>52.273206000000002</v>
      </c>
      <c r="FP19" s="50">
        <f t="shared" si="25"/>
        <v>531.80293599999993</v>
      </c>
      <c r="FQ19" s="50">
        <f t="shared" si="26"/>
        <v>24.423780000000001</v>
      </c>
      <c r="FR19" s="50">
        <f t="shared" si="27"/>
        <v>556.22671600000001</v>
      </c>
      <c r="FS19" s="94">
        <f>FS20+FS21+FS22</f>
        <v>556.28283499999998</v>
      </c>
      <c r="FT19" s="50">
        <v>47.463734000000002</v>
      </c>
      <c r="FU19" s="50">
        <v>1.166452</v>
      </c>
      <c r="FV19" s="50">
        <v>48.630186000000002</v>
      </c>
      <c r="FW19" s="50">
        <v>44.959106999999996</v>
      </c>
      <c r="FX19" s="50">
        <v>0.82833400000000001</v>
      </c>
      <c r="FY19" s="50">
        <v>45.787440999999994</v>
      </c>
      <c r="FZ19" s="50">
        <v>51.048226</v>
      </c>
      <c r="GA19" s="50">
        <v>2.260726</v>
      </c>
      <c r="GB19" s="50">
        <v>53.308951999999998</v>
      </c>
      <c r="GC19" s="50">
        <v>54.474913999999998</v>
      </c>
      <c r="GD19" s="50">
        <v>5.4142380000000001</v>
      </c>
      <c r="GE19" s="50">
        <v>59.889151999999996</v>
      </c>
      <c r="GF19" s="50">
        <v>46.569786999999998</v>
      </c>
      <c r="GG19" s="50">
        <v>10.847388</v>
      </c>
      <c r="GH19" s="50">
        <v>57.417175</v>
      </c>
      <c r="GI19" s="50">
        <v>95.829466999999994</v>
      </c>
      <c r="GJ19" s="50">
        <v>8.9066670000000006</v>
      </c>
      <c r="GK19" s="50">
        <v>104.73613399999999</v>
      </c>
      <c r="GL19" s="50">
        <v>25.844497</v>
      </c>
      <c r="GM19" s="50">
        <v>10.623419</v>
      </c>
      <c r="GN19" s="50">
        <v>36.467915999999995</v>
      </c>
      <c r="GO19" s="50">
        <v>15.167952999999999</v>
      </c>
      <c r="GP19" s="50">
        <v>12.184621999999999</v>
      </c>
      <c r="GQ19" s="50">
        <v>27.352574999999998</v>
      </c>
      <c r="GR19" s="50">
        <v>25.744592000000001</v>
      </c>
      <c r="GS19" s="50">
        <v>14.009304</v>
      </c>
      <c r="GT19" s="50">
        <v>39.753895999999997</v>
      </c>
      <c r="GU19" s="50">
        <v>67.821428999999995</v>
      </c>
      <c r="GV19" s="50">
        <v>15.513633</v>
      </c>
      <c r="GW19" s="50">
        <v>83.335061999999994</v>
      </c>
      <c r="GX19" s="50">
        <v>45.940579999999997</v>
      </c>
      <c r="GY19" s="50">
        <v>11.571345000000001</v>
      </c>
      <c r="GZ19" s="50">
        <v>57.511924999999998</v>
      </c>
      <c r="HA19" s="50">
        <v>45.977513000000002</v>
      </c>
      <c r="HB19" s="50">
        <v>14.598587</v>
      </c>
      <c r="HC19" s="50">
        <v>60.576099999999997</v>
      </c>
      <c r="HD19" s="50">
        <f t="shared" si="28"/>
        <v>566.84179900000004</v>
      </c>
      <c r="HE19" s="50">
        <f t="shared" si="29"/>
        <v>107.92471500000001</v>
      </c>
      <c r="HF19" s="50">
        <f t="shared" si="30"/>
        <v>674.76651399999992</v>
      </c>
      <c r="HG19" s="50">
        <f>HG20+HG21+HG22</f>
        <v>674.38825799999995</v>
      </c>
      <c r="HH19" s="50">
        <v>52.433605999999997</v>
      </c>
      <c r="HI19" s="50">
        <v>6.8990660000000004</v>
      </c>
      <c r="HJ19" s="50">
        <v>59.332672000000002</v>
      </c>
      <c r="HK19" s="50">
        <v>44.817658999999999</v>
      </c>
      <c r="HL19" s="50">
        <v>10.995771</v>
      </c>
      <c r="HM19" s="50">
        <v>55.813429999999997</v>
      </c>
      <c r="HN19" s="50">
        <v>47.142166000000003</v>
      </c>
      <c r="HO19" s="50">
        <v>13.411332</v>
      </c>
      <c r="HP19" s="50">
        <v>60.553497999999998</v>
      </c>
      <c r="HQ19" s="50">
        <v>54.584961</v>
      </c>
      <c r="HR19" s="50">
        <v>11.364378</v>
      </c>
      <c r="HS19" s="50">
        <v>65.949338999999995</v>
      </c>
      <c r="HT19" s="50">
        <v>44.760342999999999</v>
      </c>
      <c r="HU19" s="50">
        <v>17.026444999999999</v>
      </c>
      <c r="HV19" s="50">
        <v>61.786788000000001</v>
      </c>
      <c r="HW19" s="50">
        <v>94.732370000000003</v>
      </c>
      <c r="HX19" s="50">
        <v>17.795338999999998</v>
      </c>
      <c r="HY19" s="50">
        <v>112.527709</v>
      </c>
      <c r="HZ19" s="50">
        <v>33.795645999999998</v>
      </c>
      <c r="IA19" s="50">
        <v>24.530363999999999</v>
      </c>
      <c r="IB19" s="50">
        <v>58.326009999999997</v>
      </c>
      <c r="IC19" s="50">
        <v>18.480288999999999</v>
      </c>
      <c r="ID19" s="50">
        <v>18.86403</v>
      </c>
      <c r="IE19" s="50">
        <v>37.344318999999999</v>
      </c>
      <c r="IF19" s="50">
        <v>42.832304000000001</v>
      </c>
      <c r="IG19" s="50">
        <v>21.227367999999998</v>
      </c>
      <c r="IH19" s="50">
        <v>64.059672000000006</v>
      </c>
      <c r="II19" s="50">
        <v>63.141812999999999</v>
      </c>
      <c r="IJ19" s="50">
        <v>25.403292</v>
      </c>
      <c r="IK19" s="50">
        <v>88.545105000000007</v>
      </c>
      <c r="IL19" s="50">
        <v>48.324337999999997</v>
      </c>
      <c r="IM19" s="50">
        <v>24.387252</v>
      </c>
      <c r="IN19" s="50">
        <v>72.711590000000001</v>
      </c>
      <c r="IO19" s="50">
        <v>57.373792000000002</v>
      </c>
      <c r="IP19" s="50">
        <v>26.430978</v>
      </c>
      <c r="IQ19" s="50">
        <v>83.804770000000005</v>
      </c>
      <c r="IR19" s="44">
        <f t="shared" si="34"/>
        <v>602.41928699999994</v>
      </c>
      <c r="IS19" s="50">
        <f t="shared" si="35"/>
        <v>218.33561499999999</v>
      </c>
      <c r="IT19" s="50">
        <f t="shared" si="36"/>
        <v>820.75490200000002</v>
      </c>
      <c r="IU19" s="50">
        <f>IU20+IU21+IU22</f>
        <v>820.49181799999997</v>
      </c>
      <c r="IV19" s="44">
        <v>65.037486999999999</v>
      </c>
      <c r="IW19" s="50">
        <v>27.286785999999999</v>
      </c>
      <c r="IX19" s="50">
        <v>92.324273000000005</v>
      </c>
      <c r="IY19" s="44">
        <v>53.236566000000003</v>
      </c>
      <c r="IZ19" s="50">
        <v>24.014806</v>
      </c>
      <c r="JA19" s="50">
        <v>77.251372000000003</v>
      </c>
      <c r="JB19" s="44">
        <v>55.907837999999998</v>
      </c>
      <c r="JC19" s="50">
        <v>27.279170000000001</v>
      </c>
      <c r="JD19" s="50">
        <v>83.187008000000006</v>
      </c>
      <c r="JE19" s="44">
        <v>57.503923</v>
      </c>
      <c r="JF19" s="50">
        <v>14.737791</v>
      </c>
      <c r="JG19" s="50">
        <v>72.241714000000002</v>
      </c>
      <c r="JH19" s="44">
        <v>59.367890000000003</v>
      </c>
      <c r="JI19" s="50">
        <v>15.522231</v>
      </c>
      <c r="JJ19" s="50">
        <v>74.890120999999994</v>
      </c>
      <c r="JK19" s="44">
        <v>101.064341</v>
      </c>
      <c r="JL19" s="50">
        <v>19.058240999999999</v>
      </c>
      <c r="JM19" s="50">
        <v>120.12258199999999</v>
      </c>
      <c r="JN19" s="44">
        <v>40.389645999999999</v>
      </c>
      <c r="JO19" s="50">
        <v>24.337762999999999</v>
      </c>
      <c r="JP19" s="50">
        <v>64.727408999999994</v>
      </c>
      <c r="JQ19" s="44">
        <v>22.048705999999999</v>
      </c>
      <c r="JR19" s="50">
        <v>18.745334</v>
      </c>
      <c r="JS19" s="50">
        <v>40.794040000000003</v>
      </c>
      <c r="JT19" s="44">
        <v>54.222948000000002</v>
      </c>
      <c r="JU19" s="50">
        <v>15.868834</v>
      </c>
      <c r="JV19" s="50">
        <v>70.091781999999995</v>
      </c>
      <c r="JW19" s="44">
        <v>61.443807999999997</v>
      </c>
      <c r="JX19" s="50">
        <v>23.999623</v>
      </c>
      <c r="JY19" s="50">
        <v>85.443431000000004</v>
      </c>
      <c r="JZ19" s="44">
        <v>51.097130999999997</v>
      </c>
      <c r="KA19" s="50">
        <v>16.330618999999999</v>
      </c>
      <c r="KB19" s="50">
        <v>67.427750000000003</v>
      </c>
      <c r="KC19" s="44">
        <v>51.361742999999997</v>
      </c>
      <c r="KD19" s="50">
        <v>29.266886</v>
      </c>
      <c r="KE19" s="50">
        <v>80.628629000000004</v>
      </c>
      <c r="KF19" s="44">
        <f t="shared" si="37"/>
        <v>672.68202700000006</v>
      </c>
      <c r="KG19" s="50">
        <f t="shared" si="3"/>
        <v>256.44808399999999</v>
      </c>
      <c r="KH19" s="50">
        <f t="shared" si="4"/>
        <v>929.13011099999994</v>
      </c>
      <c r="KI19" s="50">
        <f>KI20+KI21+KI22</f>
        <v>928.89790699999992</v>
      </c>
      <c r="KJ19" s="44">
        <v>67.91046</v>
      </c>
      <c r="KK19" s="50">
        <v>30.273132</v>
      </c>
      <c r="KL19" s="50">
        <v>98.183592000000004</v>
      </c>
      <c r="KM19" s="44">
        <v>58.570016000000003</v>
      </c>
      <c r="KN19" s="50">
        <v>15.679892000000001</v>
      </c>
      <c r="KO19" s="50">
        <v>74.249908000000005</v>
      </c>
      <c r="KP19" s="44">
        <v>66.043875999999997</v>
      </c>
      <c r="KQ19" s="50">
        <v>18.267863999999999</v>
      </c>
      <c r="KR19" s="50">
        <v>84.31174</v>
      </c>
      <c r="KS19" s="50">
        <v>64.865852000000004</v>
      </c>
      <c r="KT19" s="50">
        <v>13.86434</v>
      </c>
      <c r="KU19" s="50">
        <v>78.730192000000002</v>
      </c>
      <c r="KV19" s="50">
        <v>58.369256</v>
      </c>
      <c r="KW19" s="50">
        <v>11.965705</v>
      </c>
      <c r="KX19" s="50">
        <v>70.334961000000007</v>
      </c>
      <c r="KY19" s="50">
        <v>104.32091699999999</v>
      </c>
      <c r="KZ19" s="50">
        <v>13.250515</v>
      </c>
      <c r="LA19" s="50">
        <v>117.571432</v>
      </c>
      <c r="LB19" s="44">
        <v>44.649428999999998</v>
      </c>
      <c r="LC19" s="50">
        <v>22.828527999999999</v>
      </c>
      <c r="LD19" s="50">
        <v>67.477957000000004</v>
      </c>
      <c r="LE19" s="44">
        <v>27.190369</v>
      </c>
      <c r="LF19" s="44">
        <v>19.470406000000001</v>
      </c>
      <c r="LG19" s="44">
        <v>46.660775000000001</v>
      </c>
      <c r="LH19" s="44">
        <v>59.059435000000001</v>
      </c>
      <c r="LI19" s="50">
        <v>16.934476</v>
      </c>
      <c r="LJ19" s="50">
        <v>75.993910999999997</v>
      </c>
      <c r="LK19" s="44">
        <v>63.257998000000001</v>
      </c>
      <c r="LL19" s="50">
        <v>8.8818180000000009</v>
      </c>
      <c r="LM19" s="50">
        <v>72.139815999999996</v>
      </c>
      <c r="LN19" s="44">
        <v>62.539966999999997</v>
      </c>
      <c r="LO19" s="50">
        <v>11.119738</v>
      </c>
      <c r="LP19" s="50">
        <v>73.659705000000002</v>
      </c>
      <c r="LQ19" s="44">
        <v>62.686591</v>
      </c>
      <c r="LR19" s="50">
        <v>27.14622</v>
      </c>
      <c r="LS19" s="50">
        <v>89.832811000000007</v>
      </c>
      <c r="LT19" s="44">
        <f t="shared" si="58"/>
        <v>739.46416600000009</v>
      </c>
      <c r="LU19" s="50">
        <f t="shared" si="5"/>
        <v>209.68263400000001</v>
      </c>
      <c r="LV19" s="50">
        <f t="shared" si="5"/>
        <v>949.1468000000001</v>
      </c>
      <c r="LW19" s="50">
        <f>LW20+LW21+LW22</f>
        <v>948.05432200000007</v>
      </c>
      <c r="LX19" s="44">
        <v>60.536631999999997</v>
      </c>
      <c r="LY19" s="50">
        <v>9.9987929999999992</v>
      </c>
      <c r="LZ19" s="50">
        <v>70.535425000000004</v>
      </c>
      <c r="MA19" s="44">
        <v>77.464751000000007</v>
      </c>
      <c r="MB19" s="50">
        <v>18.031399</v>
      </c>
      <c r="MC19" s="50">
        <v>95.49615</v>
      </c>
      <c r="MD19" s="44">
        <v>73.767162999999996</v>
      </c>
      <c r="ME19" s="50">
        <v>10.134968000000001</v>
      </c>
      <c r="MF19" s="50">
        <v>83.902130999999997</v>
      </c>
      <c r="MG19" s="44">
        <v>74.591586000000007</v>
      </c>
      <c r="MH19" s="50">
        <v>13.866690999999999</v>
      </c>
      <c r="MI19" s="50">
        <v>88.458276999999995</v>
      </c>
      <c r="MJ19" s="44">
        <v>57.403235000000002</v>
      </c>
      <c r="MK19" s="50">
        <v>17.880752999999999</v>
      </c>
      <c r="ML19" s="50">
        <v>75.283987999999994</v>
      </c>
      <c r="MM19" s="44">
        <v>134.16140999999999</v>
      </c>
      <c r="MN19" s="50">
        <v>15.80199</v>
      </c>
      <c r="MO19" s="50">
        <v>149.96340000000001</v>
      </c>
      <c r="MP19" s="44">
        <v>52.742634000000002</v>
      </c>
      <c r="MQ19" s="50">
        <v>8.0342509999999994</v>
      </c>
      <c r="MR19" s="50">
        <v>60.776885</v>
      </c>
      <c r="MS19" s="44">
        <v>26.230070999999999</v>
      </c>
      <c r="MT19" s="50">
        <v>9.5102740000000008</v>
      </c>
      <c r="MU19" s="50">
        <v>35.740344999999998</v>
      </c>
      <c r="MV19" s="44">
        <v>59.065412000000002</v>
      </c>
      <c r="MW19" s="50">
        <v>12.556507999999999</v>
      </c>
      <c r="MX19" s="50">
        <v>71.621920000000003</v>
      </c>
      <c r="MY19" s="44">
        <v>83.206350999999998</v>
      </c>
      <c r="MZ19" s="50">
        <v>14.508839</v>
      </c>
      <c r="NA19" s="50">
        <v>97.715190000000007</v>
      </c>
      <c r="NB19" s="44">
        <v>63.119920999999998</v>
      </c>
      <c r="NC19" s="50">
        <v>12.583244000000001</v>
      </c>
      <c r="ND19" s="50">
        <v>75.703164999999998</v>
      </c>
      <c r="NE19" s="44">
        <v>70.607175999999995</v>
      </c>
      <c r="NF19" s="50">
        <v>18.822849000000001</v>
      </c>
      <c r="NG19" s="50">
        <v>89.430025000000001</v>
      </c>
      <c r="NH19" s="44">
        <f t="shared" si="59"/>
        <v>832.896342</v>
      </c>
      <c r="NI19" s="50">
        <f t="shared" si="6"/>
        <v>161.730559</v>
      </c>
      <c r="NJ19" s="50">
        <f t="shared" si="7"/>
        <v>994.62690100000009</v>
      </c>
      <c r="NK19" s="50">
        <f>NK20+NK21+NK22</f>
        <v>994.380763</v>
      </c>
      <c r="NL19" s="50">
        <v>79.858804000000006</v>
      </c>
      <c r="NM19" s="50">
        <v>9.8357559999999999</v>
      </c>
      <c r="NN19" s="50">
        <v>89.694559999999996</v>
      </c>
      <c r="NO19" s="50">
        <v>64.582800999999989</v>
      </c>
      <c r="NP19" s="50">
        <v>7.0953410000000003</v>
      </c>
      <c r="NQ19" s="50">
        <v>71.678141999999994</v>
      </c>
      <c r="NR19" s="50">
        <v>69.927067000000008</v>
      </c>
      <c r="NS19" s="50">
        <v>15.080602000000001</v>
      </c>
      <c r="NT19" s="50">
        <v>85.007669000000007</v>
      </c>
      <c r="NU19" s="50">
        <v>89.230117000000007</v>
      </c>
      <c r="NV19" s="50">
        <v>6.2457739999999999</v>
      </c>
      <c r="NW19" s="50">
        <v>95.475891000000004</v>
      </c>
      <c r="NX19" s="50">
        <v>63.531030999999992</v>
      </c>
      <c r="NY19" s="50">
        <v>4.4239030000000001</v>
      </c>
      <c r="NZ19" s="50">
        <v>67.954933999999994</v>
      </c>
      <c r="OA19" s="50">
        <v>144.25966199999999</v>
      </c>
      <c r="OB19" s="50">
        <v>6.8633240000000004</v>
      </c>
      <c r="OC19" s="50">
        <v>151.122986</v>
      </c>
      <c r="OD19" s="50">
        <v>72.530142999999995</v>
      </c>
      <c r="OE19" s="50">
        <v>10.845848</v>
      </c>
      <c r="OF19" s="50">
        <v>83.375990999999999</v>
      </c>
      <c r="OG19" s="50">
        <v>40.947687000000002</v>
      </c>
      <c r="OH19" s="94">
        <v>6.7505290000000002</v>
      </c>
      <c r="OI19" s="94">
        <v>47.698216000000002</v>
      </c>
      <c r="OJ19" s="50">
        <v>74.741022000000001</v>
      </c>
      <c r="OK19" s="50">
        <v>11.45204</v>
      </c>
      <c r="OL19" s="50">
        <v>86.193061999999998</v>
      </c>
      <c r="OM19" s="50">
        <v>123.423181</v>
      </c>
      <c r="ON19" s="50">
        <v>5.096463</v>
      </c>
      <c r="OO19" s="50">
        <v>128.519644</v>
      </c>
      <c r="OP19" s="50">
        <v>67.276403999999999</v>
      </c>
      <c r="OQ19" s="50">
        <v>8.8184349999999991</v>
      </c>
      <c r="OR19" s="50">
        <v>76.094838999999993</v>
      </c>
      <c r="OS19" s="50">
        <v>81.813340999999994</v>
      </c>
      <c r="OT19" s="50">
        <v>13.348416</v>
      </c>
      <c r="OU19" s="50">
        <v>95.161756999999994</v>
      </c>
      <c r="OV19" s="44">
        <f t="shared" si="60"/>
        <v>972.12126000000001</v>
      </c>
      <c r="OW19" s="50">
        <f t="shared" ref="OW19:OW26" si="68">NM19+NP19+NS19+NV19+NY19+OB19+OE19+OH19+OK19+ON19+OQ19+OT19</f>
        <v>105.85643099999999</v>
      </c>
      <c r="OX19" s="50">
        <f t="shared" si="9"/>
        <v>1077.9776909999998</v>
      </c>
      <c r="OY19" s="50">
        <f>OY20+OY21+OY22</f>
        <v>1079.4578689999998</v>
      </c>
      <c r="OZ19" s="85">
        <f>PB19-PA19</f>
        <v>82.667377999999999</v>
      </c>
      <c r="PA19" s="50">
        <v>15.108375000000001</v>
      </c>
      <c r="PB19" s="50">
        <v>97.775752999999995</v>
      </c>
      <c r="PC19" s="50">
        <v>67.933149</v>
      </c>
      <c r="PD19" s="50">
        <v>6.2124309999999996</v>
      </c>
      <c r="PE19" s="50">
        <v>74.145579999999995</v>
      </c>
      <c r="PF19" s="85">
        <v>66.28432699999999</v>
      </c>
      <c r="PG19" s="50">
        <v>12.065447000000001</v>
      </c>
      <c r="PH19" s="50">
        <v>78.349773999999996</v>
      </c>
      <c r="PI19" s="85">
        <v>96.832658000000009</v>
      </c>
      <c r="PJ19" s="50">
        <v>9.9706949999999992</v>
      </c>
      <c r="PK19" s="50">
        <v>106.803353</v>
      </c>
      <c r="PL19" s="85">
        <v>64.574148000000008</v>
      </c>
      <c r="PM19" s="50">
        <v>12.643198999999999</v>
      </c>
      <c r="PN19" s="50">
        <v>77.217347000000004</v>
      </c>
      <c r="PO19" s="50">
        <v>160.18241</v>
      </c>
      <c r="PP19" s="50">
        <v>17.516746000000001</v>
      </c>
      <c r="PQ19" s="50">
        <v>177.69915600000002</v>
      </c>
      <c r="PR19" s="50">
        <v>53.380188999999994</v>
      </c>
      <c r="PS19" s="50">
        <v>26.830525999999999</v>
      </c>
      <c r="PT19" s="50">
        <v>80.210714999999993</v>
      </c>
      <c r="PU19" s="50">
        <v>26.004041999999998</v>
      </c>
      <c r="PV19" s="50">
        <v>8.927467</v>
      </c>
      <c r="PW19" s="50">
        <v>34.931508999999998</v>
      </c>
      <c r="PX19" s="50">
        <v>56.471933</v>
      </c>
      <c r="PY19" s="50">
        <v>17.374867999999999</v>
      </c>
      <c r="PZ19" s="50">
        <v>73.846800999999999</v>
      </c>
      <c r="QA19" s="50">
        <v>113.075737</v>
      </c>
      <c r="QB19" s="50">
        <v>7.7781339999999997</v>
      </c>
      <c r="QC19" s="50">
        <v>120.853871</v>
      </c>
      <c r="QD19" s="50">
        <v>71.539251999999991</v>
      </c>
      <c r="QE19" s="50">
        <v>5.2768069999999998</v>
      </c>
      <c r="QF19" s="50">
        <v>76.816058999999996</v>
      </c>
      <c r="QG19" s="50">
        <v>77.73942000000001</v>
      </c>
      <c r="QH19" s="50">
        <v>11.087977</v>
      </c>
      <c r="QI19" s="50">
        <v>88.827397000000005</v>
      </c>
      <c r="QJ19" s="44">
        <f t="shared" si="38"/>
        <v>936.68464300000005</v>
      </c>
      <c r="QK19" s="50">
        <f t="shared" si="39"/>
        <v>150.79267199999998</v>
      </c>
      <c r="QL19" s="50">
        <f t="shared" si="40"/>
        <v>1087.4773149999999</v>
      </c>
      <c r="QM19" s="50">
        <f>QM20+QM21+QM22</f>
        <v>1087.4257769999999</v>
      </c>
      <c r="QN19" s="50">
        <v>93.329748000000009</v>
      </c>
      <c r="QO19" s="50">
        <v>3.6952189999999998</v>
      </c>
      <c r="QP19" s="50">
        <v>97.024967000000004</v>
      </c>
      <c r="QQ19" s="50">
        <v>71.553056999999995</v>
      </c>
      <c r="QR19" s="50">
        <v>4.3835319999999998</v>
      </c>
      <c r="QS19" s="50">
        <v>75.936588999999998</v>
      </c>
      <c r="QT19" s="50">
        <v>82.380684000000002</v>
      </c>
      <c r="QU19" s="50">
        <v>6.49526</v>
      </c>
      <c r="QV19" s="50">
        <v>88.875944000000004</v>
      </c>
      <c r="QW19" s="50">
        <v>108.80997000000001</v>
      </c>
      <c r="QX19" s="50">
        <v>14.788276</v>
      </c>
      <c r="QY19" s="50">
        <v>123.598246</v>
      </c>
      <c r="QZ19" s="50">
        <v>70.100642999999991</v>
      </c>
      <c r="RA19" s="50">
        <v>5.4278440000000003</v>
      </c>
      <c r="RB19" s="50">
        <v>75.528486999999998</v>
      </c>
      <c r="RC19" s="50">
        <v>181.057726</v>
      </c>
      <c r="RD19" s="50">
        <v>3.8061400000000001</v>
      </c>
      <c r="RE19" s="50">
        <v>184.863866</v>
      </c>
      <c r="RF19" s="50">
        <v>39.031205</v>
      </c>
      <c r="RG19" s="50">
        <v>15.052052</v>
      </c>
      <c r="RH19" s="50">
        <v>54.083257000000003</v>
      </c>
      <c r="RI19" s="50">
        <v>37.560411000000002</v>
      </c>
      <c r="RJ19" s="50">
        <v>3.822711</v>
      </c>
      <c r="RK19" s="50">
        <v>41.383122</v>
      </c>
      <c r="RL19" s="50">
        <v>57.366911999999999</v>
      </c>
      <c r="RM19" s="50">
        <v>10.121161000000001</v>
      </c>
      <c r="RN19" s="50">
        <v>67.488073</v>
      </c>
      <c r="RO19" s="50">
        <v>111.809459</v>
      </c>
      <c r="RP19" s="50">
        <v>3.7677010000000002</v>
      </c>
      <c r="RQ19" s="50">
        <v>115.57716000000001</v>
      </c>
      <c r="RR19" s="50">
        <v>76.479680999999999</v>
      </c>
      <c r="RS19" s="50">
        <v>6.9958590000000003</v>
      </c>
      <c r="RT19" s="50">
        <v>83.475539999999995</v>
      </c>
      <c r="RU19" s="50">
        <v>70.409295</v>
      </c>
      <c r="RV19" s="50">
        <v>23.274096</v>
      </c>
      <c r="RW19" s="50">
        <v>93.683391</v>
      </c>
      <c r="RX19" s="44">
        <f t="shared" si="41"/>
        <v>999.88879099999997</v>
      </c>
      <c r="RY19" s="50">
        <f t="shared" si="42"/>
        <v>101.629851</v>
      </c>
      <c r="RZ19" s="50">
        <f t="shared" si="43"/>
        <v>1101.518642</v>
      </c>
      <c r="SA19" s="50">
        <f>SA20+SA21+SA22</f>
        <v>1101.325646</v>
      </c>
      <c r="SB19" s="50">
        <v>107.71550599999999</v>
      </c>
      <c r="SC19" s="50">
        <v>38.619894000000002</v>
      </c>
      <c r="SD19" s="50">
        <v>146.33539999999999</v>
      </c>
      <c r="SE19" s="50">
        <v>79.263809999999992</v>
      </c>
      <c r="SF19" s="50">
        <v>14.625365</v>
      </c>
      <c r="SG19" s="50">
        <v>93.889174999999994</v>
      </c>
      <c r="SH19" s="50">
        <v>82.909139999999994</v>
      </c>
      <c r="SI19" s="50">
        <v>8.2147369999999995</v>
      </c>
      <c r="SJ19" s="50">
        <v>91.123876999999993</v>
      </c>
      <c r="SK19" s="50">
        <v>112.70697699999999</v>
      </c>
      <c r="SL19" s="50">
        <v>20.061046000000001</v>
      </c>
      <c r="SM19" s="50">
        <v>132.768023</v>
      </c>
      <c r="SN19" s="50">
        <f t="shared" si="44"/>
        <v>83.130832999999996</v>
      </c>
      <c r="SO19" s="50">
        <v>14.074280999999999</v>
      </c>
      <c r="SP19" s="50">
        <v>97.205113999999995</v>
      </c>
      <c r="SQ19" s="50">
        <v>180.75698799999998</v>
      </c>
      <c r="SR19" s="50">
        <v>37.961426000000003</v>
      </c>
      <c r="SS19" s="50">
        <v>218.718414</v>
      </c>
      <c r="ST19" s="50">
        <v>49.936895</v>
      </c>
      <c r="SU19" s="50">
        <v>22.811185999999999</v>
      </c>
      <c r="SV19" s="50">
        <v>72.748080999999999</v>
      </c>
      <c r="SW19" s="50">
        <v>21.946933000000001</v>
      </c>
      <c r="SX19" s="50">
        <v>28.041893000000002</v>
      </c>
      <c r="SY19" s="50">
        <v>49.988826000000003</v>
      </c>
      <c r="SZ19" s="50">
        <v>115.78968500000001</v>
      </c>
      <c r="TA19" s="50">
        <v>14.732251</v>
      </c>
      <c r="TB19" s="50">
        <v>130.52193600000001</v>
      </c>
      <c r="TC19" s="50">
        <v>79.294530000000009</v>
      </c>
      <c r="TD19" s="50">
        <v>44.844365000000003</v>
      </c>
      <c r="TE19" s="50">
        <v>124.13889500000001</v>
      </c>
      <c r="TF19" s="50">
        <v>77.786504000000008</v>
      </c>
      <c r="TG19" s="50">
        <v>13.598474</v>
      </c>
      <c r="TH19" s="50">
        <v>91.384978000000004</v>
      </c>
      <c r="TI19" s="50">
        <v>87.417401000000012</v>
      </c>
      <c r="TJ19" s="50">
        <v>16.616675999999998</v>
      </c>
      <c r="TK19" s="50">
        <v>104.03407700000001</v>
      </c>
      <c r="TL19" s="44">
        <f t="shared" si="45"/>
        <v>1078.6552019999999</v>
      </c>
      <c r="TM19" s="50">
        <f t="shared" si="46"/>
        <v>274.201594</v>
      </c>
      <c r="TN19" s="50">
        <f t="shared" si="47"/>
        <v>1352.856796</v>
      </c>
      <c r="TO19" s="50">
        <v>103.154004</v>
      </c>
      <c r="TP19" s="50">
        <v>25.849529</v>
      </c>
      <c r="TQ19" s="50">
        <v>129.003533</v>
      </c>
      <c r="TR19" s="50">
        <f t="shared" si="48"/>
        <v>104.86163000000001</v>
      </c>
      <c r="TS19" s="50">
        <v>17.221475000000002</v>
      </c>
      <c r="TT19" s="50">
        <v>122.083105</v>
      </c>
      <c r="TU19" s="50">
        <v>81.97090399999999</v>
      </c>
      <c r="TV19" s="50">
        <v>13.821541</v>
      </c>
      <c r="TW19" s="50">
        <v>95.792444999999987</v>
      </c>
      <c r="TX19" s="50">
        <f t="shared" si="49"/>
        <v>113.725027</v>
      </c>
      <c r="TY19" s="50">
        <v>9.4168599999999998</v>
      </c>
      <c r="TZ19" s="50">
        <v>123.141887</v>
      </c>
      <c r="UA19" s="50"/>
      <c r="UB19" s="50"/>
      <c r="UC19" s="50"/>
      <c r="UD19" s="50"/>
      <c r="UE19" s="50"/>
      <c r="UF19" s="50"/>
      <c r="UG19" s="50"/>
      <c r="UH19" s="50"/>
      <c r="UI19" s="50"/>
      <c r="UJ19" s="50"/>
      <c r="UK19" s="50"/>
      <c r="UL19" s="50"/>
      <c r="UM19" s="50"/>
      <c r="UN19" s="50"/>
      <c r="UO19" s="50"/>
      <c r="UP19" s="50"/>
      <c r="UQ19" s="50"/>
      <c r="UR19" s="50"/>
      <c r="US19" s="50"/>
      <c r="UT19" s="50"/>
      <c r="UU19" s="50"/>
      <c r="UV19" s="50"/>
      <c r="UW19" s="50"/>
      <c r="UX19" s="50"/>
      <c r="UY19" s="292">
        <f t="shared" si="50"/>
        <v>382.59543300000001</v>
      </c>
      <c r="UZ19" s="276">
        <f t="shared" si="51"/>
        <v>81.521041999999994</v>
      </c>
      <c r="VA19" s="276">
        <f t="shared" si="52"/>
        <v>464.11647499999998</v>
      </c>
      <c r="VB19" s="292">
        <f t="shared" si="53"/>
        <v>403.71156500000001</v>
      </c>
      <c r="VC19" s="276">
        <f t="shared" si="54"/>
        <v>66.309404999999998</v>
      </c>
      <c r="VD19" s="276">
        <f t="shared" si="55"/>
        <v>470.02096999999998</v>
      </c>
      <c r="VE19" s="277">
        <f t="shared" si="56"/>
        <v>5.9044949999999972</v>
      </c>
      <c r="VF19" s="277">
        <f t="shared" si="57"/>
        <v>1.2722011214964795</v>
      </c>
    </row>
    <row r="20" spans="1:578" s="12" customFormat="1" ht="20.5">
      <c r="A20" s="51" t="s">
        <v>236</v>
      </c>
      <c r="B20" s="13" t="s">
        <v>103</v>
      </c>
      <c r="C20" s="51" t="s">
        <v>104</v>
      </c>
      <c r="D20" s="42">
        <v>685.29422285587452</v>
      </c>
      <c r="E20" s="42">
        <v>860.06035537646358</v>
      </c>
      <c r="F20" s="42">
        <v>733.86605511636253</v>
      </c>
      <c r="G20" s="42">
        <v>669.59962236982142</v>
      </c>
      <c r="H20" s="42">
        <v>45.45500452473236</v>
      </c>
      <c r="I20" s="42">
        <v>42.913041189293182</v>
      </c>
      <c r="J20" s="42">
        <v>54.412611482006369</v>
      </c>
      <c r="K20" s="42">
        <v>49.129649233641246</v>
      </c>
      <c r="L20" s="42">
        <v>49.921273925589496</v>
      </c>
      <c r="M20" s="42">
        <v>83.733742266691706</v>
      </c>
      <c r="N20" s="42">
        <v>42.456640827314587</v>
      </c>
      <c r="O20" s="42">
        <v>34.406143106755231</v>
      </c>
      <c r="P20" s="42">
        <v>61.797855447607013</v>
      </c>
      <c r="Q20" s="42">
        <v>54.490468181740582</v>
      </c>
      <c r="R20" s="42">
        <v>54.087468198815024</v>
      </c>
      <c r="S20" s="42">
        <v>81.221526912197433</v>
      </c>
      <c r="T20" s="42">
        <v>452.63013870154396</v>
      </c>
      <c r="U20" s="42">
        <v>201.39528659484012</v>
      </c>
      <c r="V20" s="42">
        <v>654.02542529638413</v>
      </c>
      <c r="W20" s="42">
        <v>653.92580577230649</v>
      </c>
      <c r="X20" s="42">
        <v>51.068262275115117</v>
      </c>
      <c r="Y20" s="42">
        <v>45.379824246873952</v>
      </c>
      <c r="Z20" s="42">
        <v>49.065864736114193</v>
      </c>
      <c r="AA20" s="42">
        <v>45.504210277687662</v>
      </c>
      <c r="AB20" s="42">
        <v>44.561830894531049</v>
      </c>
      <c r="AC20" s="42">
        <v>73.743821890598241</v>
      </c>
      <c r="AD20" s="42">
        <v>37.279116225860982</v>
      </c>
      <c r="AE20" s="42">
        <v>22.231283544202938</v>
      </c>
      <c r="AF20" s="42">
        <v>45.255944758424832</v>
      </c>
      <c r="AG20" s="42">
        <v>50.03797218001035</v>
      </c>
      <c r="AH20" s="42">
        <v>49.26527737463077</v>
      </c>
      <c r="AI20" s="42">
        <v>66.983988423514958</v>
      </c>
      <c r="AJ20" s="42">
        <v>412.97451921161519</v>
      </c>
      <c r="AK20" s="42">
        <v>167.40287761594982</v>
      </c>
      <c r="AL20" s="42">
        <v>580.37739682756501</v>
      </c>
      <c r="AM20" s="42">
        <v>580.17063648069086</v>
      </c>
      <c r="AN20" s="42">
        <v>43.053976642136355</v>
      </c>
      <c r="AO20" s="42">
        <v>45.322425598033028</v>
      </c>
      <c r="AP20" s="42">
        <v>46.338587998930002</v>
      </c>
      <c r="AQ20" s="42">
        <v>56.378288968190283</v>
      </c>
      <c r="AR20" s="42">
        <v>48.536398483787799</v>
      </c>
      <c r="AS20" s="42">
        <v>96.573529746558052</v>
      </c>
      <c r="AT20" s="42">
        <v>33.441539888788334</v>
      </c>
      <c r="AU20" s="42">
        <v>27.986085736563819</v>
      </c>
      <c r="AV20" s="42">
        <v>53.977574117392614</v>
      </c>
      <c r="AW20" s="42">
        <v>53.464088138371437</v>
      </c>
      <c r="AX20" s="42">
        <v>52.206645095930028</v>
      </c>
      <c r="AY20" s="42">
        <v>64.263295314198558</v>
      </c>
      <c r="AZ20" s="42">
        <v>441.29084780393953</v>
      </c>
      <c r="BA20" s="42">
        <v>180.25158792494068</v>
      </c>
      <c r="BB20" s="42">
        <v>621.54243572888015</v>
      </c>
      <c r="BC20" s="42">
        <v>622.54792089971033</v>
      </c>
      <c r="BD20" s="49">
        <v>38.090130000000002</v>
      </c>
      <c r="BE20" s="42">
        <v>11.395997999999999</v>
      </c>
      <c r="BF20" s="49">
        <f>BD20+BE20</f>
        <v>49.486128000000001</v>
      </c>
      <c r="BG20" s="44">
        <f>44.843037-7.94125</f>
        <v>36.901786999999999</v>
      </c>
      <c r="BH20" s="42">
        <v>10.545774</v>
      </c>
      <c r="BI20" s="44">
        <f>BG20+BH20</f>
        <v>47.447561</v>
      </c>
      <c r="BJ20" s="44">
        <v>37.936462999999996</v>
      </c>
      <c r="BK20" s="44">
        <v>11.302747</v>
      </c>
      <c r="BL20" s="44">
        <f>BJ20+BK20</f>
        <v>49.23921</v>
      </c>
      <c r="BM20" s="44">
        <v>43.235991999999996</v>
      </c>
      <c r="BN20" s="44">
        <v>8.36191</v>
      </c>
      <c r="BO20" s="44">
        <f>BM20+BN20</f>
        <v>51.597901999999998</v>
      </c>
      <c r="BP20" s="44">
        <v>36.668740999999997</v>
      </c>
      <c r="BQ20" s="44">
        <v>8.0416810000000005</v>
      </c>
      <c r="BR20" s="44">
        <f>BP20+BQ20</f>
        <v>44.710421999999994</v>
      </c>
      <c r="BS20" s="44">
        <v>75.091261000000003</v>
      </c>
      <c r="BT20" s="42">
        <v>8.8522339999999993</v>
      </c>
      <c r="BU20" s="44">
        <f>BS20+BT20</f>
        <v>83.943494999999999</v>
      </c>
      <c r="BV20" s="44">
        <v>26.629239000000005</v>
      </c>
      <c r="BW20" s="42">
        <v>9.3148309999999999</v>
      </c>
      <c r="BX20" s="44">
        <f>BV20+BW20</f>
        <v>35.944070000000004</v>
      </c>
      <c r="BY20" s="44">
        <v>12.952022999999999</v>
      </c>
      <c r="BZ20" s="42">
        <v>9.7657670000000003</v>
      </c>
      <c r="CA20" s="44">
        <f>BY20+BZ20</f>
        <v>22.717790000000001</v>
      </c>
      <c r="CB20" s="44">
        <v>42.239066000000001</v>
      </c>
      <c r="CC20" s="42">
        <v>10.515998</v>
      </c>
      <c r="CD20" s="44">
        <f>CB20+CC20</f>
        <v>52.755064000000004</v>
      </c>
      <c r="CE20" s="44">
        <v>45.630015999999998</v>
      </c>
      <c r="CF20" s="44">
        <v>11.692731999999999</v>
      </c>
      <c r="CG20" s="44">
        <f>CE20+CF20</f>
        <v>57.322747999999997</v>
      </c>
      <c r="CH20" s="44">
        <v>38.491546999999997</v>
      </c>
      <c r="CI20" s="42">
        <v>13.550088000000001</v>
      </c>
      <c r="CJ20" s="44">
        <f>CH20+CI20</f>
        <v>52.041634999999999</v>
      </c>
      <c r="CK20" s="44">
        <v>40.215493000000002</v>
      </c>
      <c r="CL20" s="42">
        <v>21.621887999999998</v>
      </c>
      <c r="CM20" s="44">
        <f>CK20+CL20</f>
        <v>61.837381000000001</v>
      </c>
      <c r="CN20" s="50">
        <f t="shared" si="20"/>
        <v>474.08175799999998</v>
      </c>
      <c r="CO20" s="50">
        <f>BE20+BH20+BK20+BN20+BQ20+BT20+BW20+BZ20+CC20+CF20+CI20+CL20</f>
        <v>134.961648</v>
      </c>
      <c r="CP20" s="50">
        <f t="shared" si="21"/>
        <v>609.043406</v>
      </c>
      <c r="CQ20" s="50">
        <v>609.02113799999995</v>
      </c>
      <c r="CR20" s="44">
        <v>41.197747999999997</v>
      </c>
      <c r="CS20" s="42">
        <v>3.1131950000000002</v>
      </c>
      <c r="CT20" s="44">
        <f>CR20+CS20</f>
        <v>44.310942999999995</v>
      </c>
      <c r="CU20" s="44">
        <v>41.634782000000001</v>
      </c>
      <c r="CV20" s="44">
        <v>8.2906709999999997</v>
      </c>
      <c r="CW20" s="44">
        <v>49.925453000000005</v>
      </c>
      <c r="CX20" s="44">
        <v>42.068578000000002</v>
      </c>
      <c r="CY20" s="44">
        <v>9.5303559999999994</v>
      </c>
      <c r="CZ20" s="44">
        <v>51.598934</v>
      </c>
      <c r="DA20" s="44">
        <v>48.968682000000001</v>
      </c>
      <c r="DB20" s="44">
        <v>3.850193</v>
      </c>
      <c r="DC20" s="44">
        <v>52.818874999999998</v>
      </c>
      <c r="DD20" s="44">
        <v>44.245274000000002</v>
      </c>
      <c r="DE20" s="44">
        <v>6.5399330000000004</v>
      </c>
      <c r="DF20" s="44">
        <v>50.785207</v>
      </c>
      <c r="DG20" s="44">
        <v>89.401685999999998</v>
      </c>
      <c r="DH20" s="44">
        <v>4.4927869999999999</v>
      </c>
      <c r="DI20" s="44">
        <v>93.894473000000005</v>
      </c>
      <c r="DJ20" s="44">
        <v>27.798472</v>
      </c>
      <c r="DK20" s="44">
        <v>6.8191829999999998</v>
      </c>
      <c r="DL20" s="44">
        <v>34.617654999999999</v>
      </c>
      <c r="DM20" s="44">
        <v>14.71031</v>
      </c>
      <c r="DN20" s="44">
        <v>5.3838850000000003</v>
      </c>
      <c r="DO20" s="44">
        <v>20.094194999999999</v>
      </c>
      <c r="DP20" s="44">
        <v>41.494028</v>
      </c>
      <c r="DQ20" s="44">
        <v>4.2714290000000004</v>
      </c>
      <c r="DR20" s="44">
        <v>45.765456999999998</v>
      </c>
      <c r="DS20" s="44">
        <v>43.419497999999997</v>
      </c>
      <c r="DT20" s="44">
        <v>7.0547789999999999</v>
      </c>
      <c r="DU20" s="44">
        <v>50.474277000000001</v>
      </c>
      <c r="DV20" s="44">
        <v>43.387982000000001</v>
      </c>
      <c r="DW20" s="44">
        <v>6.2643040000000001</v>
      </c>
      <c r="DX20" s="44">
        <v>49.652286000000004</v>
      </c>
      <c r="DY20" s="44">
        <v>43.884515999999998</v>
      </c>
      <c r="DZ20" s="44">
        <v>15.503598</v>
      </c>
      <c r="EA20" s="44">
        <v>59.388114000000002</v>
      </c>
      <c r="EB20" s="44">
        <f t="shared" si="22"/>
        <v>522.21155599999997</v>
      </c>
      <c r="EC20" s="50">
        <f t="shared" si="23"/>
        <v>81.114312999999996</v>
      </c>
      <c r="ED20" s="50">
        <f t="shared" si="24"/>
        <v>603.32586900000001</v>
      </c>
      <c r="EE20" s="140">
        <v>603.49519999999995</v>
      </c>
      <c r="EF20" s="50">
        <v>43.391413999999997</v>
      </c>
      <c r="EG20" s="50">
        <v>2.0452819999999998</v>
      </c>
      <c r="EH20" s="50">
        <v>45.436695999999998</v>
      </c>
      <c r="EI20" s="50">
        <v>41.953339</v>
      </c>
      <c r="EJ20" s="50">
        <v>2.5889820000000001</v>
      </c>
      <c r="EK20" s="50">
        <v>44.542321000000001</v>
      </c>
      <c r="EL20" s="50">
        <v>42.230476000000003</v>
      </c>
      <c r="EM20" s="50">
        <v>6.321796</v>
      </c>
      <c r="EN20" s="50">
        <v>48.552272000000002</v>
      </c>
      <c r="EO20" s="50">
        <v>49.987811000000001</v>
      </c>
      <c r="EP20" s="50">
        <v>1.921564</v>
      </c>
      <c r="EQ20" s="50">
        <v>51.909374999999997</v>
      </c>
      <c r="ER20" s="50">
        <v>40.947463999999997</v>
      </c>
      <c r="ES20" s="50">
        <v>0.50890199999999997</v>
      </c>
      <c r="ET20" s="50">
        <v>41.456365999999996</v>
      </c>
      <c r="EU20" s="50">
        <v>81.734775999999997</v>
      </c>
      <c r="EV20" s="50">
        <v>0.546068</v>
      </c>
      <c r="EW20" s="50">
        <v>82.280844000000002</v>
      </c>
      <c r="EX20" s="50">
        <v>29.317422000000001</v>
      </c>
      <c r="EY20" s="50">
        <v>0.59439299999999995</v>
      </c>
      <c r="EZ20" s="50">
        <v>29.911815000000001</v>
      </c>
      <c r="FA20" s="50">
        <v>15.566330000000001</v>
      </c>
      <c r="FB20" s="50">
        <v>1.5105360000000001</v>
      </c>
      <c r="FC20" s="50">
        <v>17.076866000000003</v>
      </c>
      <c r="FD20" s="50">
        <v>21.929943000000002</v>
      </c>
      <c r="FE20" s="50">
        <v>0.88461000000000001</v>
      </c>
      <c r="FF20" s="50">
        <v>22.814553</v>
      </c>
      <c r="FG20" s="50">
        <v>66.621194000000003</v>
      </c>
      <c r="FH20" s="50">
        <v>1.545434</v>
      </c>
      <c r="FI20" s="50">
        <v>68.166628000000003</v>
      </c>
      <c r="FJ20" s="50">
        <v>49.263288000000003</v>
      </c>
      <c r="FK20" s="50">
        <v>2.3747129999999999</v>
      </c>
      <c r="FL20" s="50">
        <v>51.638001000000003</v>
      </c>
      <c r="FM20" s="50">
        <v>48.227294000000001</v>
      </c>
      <c r="FN20" s="50">
        <v>3.5815000000000001</v>
      </c>
      <c r="FO20" s="50">
        <v>51.808793999999999</v>
      </c>
      <c r="FP20" s="50">
        <f t="shared" si="25"/>
        <v>531.170751</v>
      </c>
      <c r="FQ20" s="50">
        <f t="shared" si="26"/>
        <v>24.423780000000001</v>
      </c>
      <c r="FR20" s="50">
        <f t="shared" si="27"/>
        <v>555.59453100000007</v>
      </c>
      <c r="FS20" s="94">
        <v>555.63023499999997</v>
      </c>
      <c r="FT20" s="50">
        <v>47.441813000000003</v>
      </c>
      <c r="FU20" s="50">
        <v>1.166452</v>
      </c>
      <c r="FV20" s="50">
        <v>48.608265000000003</v>
      </c>
      <c r="FW20" s="50">
        <v>44.931126999999996</v>
      </c>
      <c r="FX20" s="50">
        <v>0.82833400000000001</v>
      </c>
      <c r="FY20" s="50">
        <v>45.759460999999995</v>
      </c>
      <c r="FZ20" s="50">
        <v>51.025371999999997</v>
      </c>
      <c r="GA20" s="50">
        <v>2.260726</v>
      </c>
      <c r="GB20" s="50">
        <v>53.286097999999996</v>
      </c>
      <c r="GC20" s="50">
        <v>54.443176999999999</v>
      </c>
      <c r="GD20" s="50">
        <v>5.4142380000000001</v>
      </c>
      <c r="GE20" s="50">
        <v>59.857414999999996</v>
      </c>
      <c r="GF20" s="50">
        <v>45.986058999999997</v>
      </c>
      <c r="GG20" s="50">
        <v>10.847388</v>
      </c>
      <c r="GH20" s="50">
        <v>56.833447</v>
      </c>
      <c r="GI20" s="50">
        <v>95.785787999999997</v>
      </c>
      <c r="GJ20" s="50">
        <v>8.9066670000000006</v>
      </c>
      <c r="GK20" s="50">
        <v>104.692455</v>
      </c>
      <c r="GL20" s="50">
        <v>25.812125999999999</v>
      </c>
      <c r="GM20" s="50">
        <v>10.623419</v>
      </c>
      <c r="GN20" s="50">
        <v>36.435544999999998</v>
      </c>
      <c r="GO20" s="50">
        <v>15.156431</v>
      </c>
      <c r="GP20" s="50">
        <v>12.184621999999999</v>
      </c>
      <c r="GQ20" s="50">
        <v>27.341052999999999</v>
      </c>
      <c r="GR20" s="50">
        <v>25.732975</v>
      </c>
      <c r="GS20" s="50">
        <v>14.009304</v>
      </c>
      <c r="GT20" s="50">
        <v>39.742279000000003</v>
      </c>
      <c r="GU20" s="50">
        <v>67.804648999999998</v>
      </c>
      <c r="GV20" s="50">
        <v>15.513633</v>
      </c>
      <c r="GW20" s="50">
        <v>83.318281999999996</v>
      </c>
      <c r="GX20" s="50">
        <v>45.931339000000001</v>
      </c>
      <c r="GY20" s="50">
        <v>11.571345000000001</v>
      </c>
      <c r="GZ20" s="50">
        <v>57.502684000000002</v>
      </c>
      <c r="HA20" s="50">
        <v>45.925668000000002</v>
      </c>
      <c r="HB20" s="50">
        <v>14.598587</v>
      </c>
      <c r="HC20" s="50">
        <v>60.524254999999997</v>
      </c>
      <c r="HD20" s="50">
        <f t="shared" si="28"/>
        <v>565.97652399999993</v>
      </c>
      <c r="HE20" s="50">
        <f t="shared" si="29"/>
        <v>107.92471500000001</v>
      </c>
      <c r="HF20" s="50">
        <f t="shared" si="30"/>
        <v>673.90123900000003</v>
      </c>
      <c r="HG20" s="50">
        <v>673.498785</v>
      </c>
      <c r="HH20" s="50">
        <v>52.421131000000003</v>
      </c>
      <c r="HI20" s="50">
        <v>6.8990660000000004</v>
      </c>
      <c r="HJ20" s="50">
        <v>59.320197</v>
      </c>
      <c r="HK20" s="50">
        <v>44.798335000000002</v>
      </c>
      <c r="HL20" s="50">
        <v>10.995771</v>
      </c>
      <c r="HM20" s="50">
        <v>55.794105999999999</v>
      </c>
      <c r="HN20" s="50">
        <v>47.012374999999999</v>
      </c>
      <c r="HO20" s="50">
        <v>13.411332</v>
      </c>
      <c r="HP20" s="50">
        <v>60.423707</v>
      </c>
      <c r="HQ20" s="50">
        <v>54.558985</v>
      </c>
      <c r="HR20" s="50">
        <v>11.364378</v>
      </c>
      <c r="HS20" s="50">
        <v>65.923362999999995</v>
      </c>
      <c r="HT20" s="50">
        <v>44.681156999999999</v>
      </c>
      <c r="HU20" s="50">
        <v>17.026444999999999</v>
      </c>
      <c r="HV20" s="50">
        <v>61.707602000000001</v>
      </c>
      <c r="HW20" s="50">
        <v>94.627841000000004</v>
      </c>
      <c r="HX20" s="50">
        <v>17.795338999999998</v>
      </c>
      <c r="HY20" s="50">
        <v>112.42318</v>
      </c>
      <c r="HZ20" s="50">
        <v>33.689045</v>
      </c>
      <c r="IA20" s="50">
        <v>24.530363999999999</v>
      </c>
      <c r="IB20" s="50">
        <v>58.219408999999999</v>
      </c>
      <c r="IC20" s="50">
        <v>18.384014000000001</v>
      </c>
      <c r="ID20" s="50">
        <v>18.86403</v>
      </c>
      <c r="IE20" s="50">
        <v>37.248044</v>
      </c>
      <c r="IF20" s="50">
        <v>42.791452999999997</v>
      </c>
      <c r="IG20" s="50">
        <v>21.227367999999998</v>
      </c>
      <c r="IH20" s="50">
        <v>64.018821000000003</v>
      </c>
      <c r="II20" s="50">
        <v>63.082962000000002</v>
      </c>
      <c r="IJ20" s="50">
        <v>25.403292</v>
      </c>
      <c r="IK20" s="50">
        <v>88.486254000000002</v>
      </c>
      <c r="IL20" s="50">
        <v>48.205058000000001</v>
      </c>
      <c r="IM20" s="50">
        <v>24.387252</v>
      </c>
      <c r="IN20" s="50">
        <v>72.592309999999998</v>
      </c>
      <c r="IO20" s="50">
        <v>57.073352</v>
      </c>
      <c r="IP20" s="50">
        <v>26.430978</v>
      </c>
      <c r="IQ20" s="50">
        <v>83.504329999999996</v>
      </c>
      <c r="IR20" s="44">
        <f t="shared" si="34"/>
        <v>601.32570799999996</v>
      </c>
      <c r="IS20" s="50">
        <f t="shared" si="35"/>
        <v>218.33561499999999</v>
      </c>
      <c r="IT20" s="50">
        <f t="shared" si="36"/>
        <v>819.66132299999992</v>
      </c>
      <c r="IU20" s="50">
        <v>819.40418699999998</v>
      </c>
      <c r="IV20" s="44">
        <v>64.986778999999999</v>
      </c>
      <c r="IW20" s="50">
        <v>27.286785999999999</v>
      </c>
      <c r="IX20" s="50">
        <v>92.273565000000005</v>
      </c>
      <c r="IY20" s="44">
        <v>53.041764999999998</v>
      </c>
      <c r="IZ20" s="50">
        <v>24.014806</v>
      </c>
      <c r="JA20" s="50">
        <v>77.056571000000005</v>
      </c>
      <c r="JB20" s="44">
        <v>55.780605000000001</v>
      </c>
      <c r="JC20" s="50">
        <v>27.279170000000001</v>
      </c>
      <c r="JD20" s="50">
        <v>83.059775000000002</v>
      </c>
      <c r="JE20" s="44">
        <v>57.448</v>
      </c>
      <c r="JF20" s="50">
        <v>14.737791</v>
      </c>
      <c r="JG20" s="50">
        <v>72.185790999999995</v>
      </c>
      <c r="JH20" s="44">
        <v>59.158842</v>
      </c>
      <c r="JI20" s="50">
        <v>15.522231</v>
      </c>
      <c r="JJ20" s="50">
        <v>74.681072999999998</v>
      </c>
      <c r="JK20" s="44">
        <v>100.77971599999999</v>
      </c>
      <c r="JL20" s="50">
        <v>19.058240999999999</v>
      </c>
      <c r="JM20" s="50">
        <v>119.837957</v>
      </c>
      <c r="JN20" s="44">
        <v>40.050117</v>
      </c>
      <c r="JO20" s="50">
        <v>24.337762999999999</v>
      </c>
      <c r="JP20" s="50">
        <v>64.387879999999996</v>
      </c>
      <c r="JQ20" s="44">
        <v>21.970656999999999</v>
      </c>
      <c r="JR20" s="50">
        <v>18.745334</v>
      </c>
      <c r="JS20" s="50">
        <v>40.715991000000002</v>
      </c>
      <c r="JT20" s="44">
        <v>53.839131999999999</v>
      </c>
      <c r="JU20" s="50">
        <v>15.868834</v>
      </c>
      <c r="JV20" s="50">
        <v>69.707965999999999</v>
      </c>
      <c r="JW20" s="44">
        <v>61.116165000000002</v>
      </c>
      <c r="JX20" s="50">
        <v>23.999623</v>
      </c>
      <c r="JY20" s="50">
        <v>85.115787999999995</v>
      </c>
      <c r="JZ20" s="44">
        <v>50.724569000000002</v>
      </c>
      <c r="KA20" s="50">
        <v>16.330618999999999</v>
      </c>
      <c r="KB20" s="50">
        <v>67.055188000000001</v>
      </c>
      <c r="KC20" s="44">
        <v>51.049751999999998</v>
      </c>
      <c r="KD20" s="50">
        <v>29.266886</v>
      </c>
      <c r="KE20" s="50">
        <v>80.316637999999998</v>
      </c>
      <c r="KF20" s="44">
        <f t="shared" si="37"/>
        <v>669.946099</v>
      </c>
      <c r="KG20" s="50">
        <f t="shared" si="3"/>
        <v>256.44808399999999</v>
      </c>
      <c r="KH20" s="50">
        <f t="shared" si="4"/>
        <v>926.394183</v>
      </c>
      <c r="KI20" s="50">
        <v>926.15617599999996</v>
      </c>
      <c r="KJ20" s="44">
        <v>67.852902</v>
      </c>
      <c r="KK20" s="50">
        <v>30.273132</v>
      </c>
      <c r="KL20" s="50">
        <v>98.126034000000004</v>
      </c>
      <c r="KM20" s="44">
        <v>58.411039000000002</v>
      </c>
      <c r="KN20" s="50">
        <v>15.679892000000001</v>
      </c>
      <c r="KO20" s="50">
        <v>74.090930999999998</v>
      </c>
      <c r="KP20" s="44">
        <v>65.833162000000002</v>
      </c>
      <c r="KQ20" s="50">
        <v>18.267863999999999</v>
      </c>
      <c r="KR20" s="50">
        <v>84.101026000000005</v>
      </c>
      <c r="KS20" s="50">
        <v>64.697096999999999</v>
      </c>
      <c r="KT20" s="50">
        <v>13.86434</v>
      </c>
      <c r="KU20" s="50">
        <v>78.561436999999998</v>
      </c>
      <c r="KV20" s="50">
        <v>58.086061000000001</v>
      </c>
      <c r="KW20" s="50">
        <v>11.965705</v>
      </c>
      <c r="KX20" s="50">
        <v>70.051766000000001</v>
      </c>
      <c r="KY20" s="50">
        <v>104.092482</v>
      </c>
      <c r="KZ20" s="50">
        <v>13.250515</v>
      </c>
      <c r="LA20" s="50">
        <v>117.342997</v>
      </c>
      <c r="LB20" s="44">
        <v>44.499487000000002</v>
      </c>
      <c r="LC20" s="50">
        <v>22.828527999999999</v>
      </c>
      <c r="LD20" s="50">
        <v>67.328014999999994</v>
      </c>
      <c r="LE20" s="44">
        <v>26.942008000000001</v>
      </c>
      <c r="LF20" s="44">
        <v>19.470406000000001</v>
      </c>
      <c r="LG20" s="44">
        <v>46.412413999999998</v>
      </c>
      <c r="LH20" s="44">
        <v>58.732716000000003</v>
      </c>
      <c r="LI20" s="50">
        <v>16.934476</v>
      </c>
      <c r="LJ20" s="50">
        <v>75.667192</v>
      </c>
      <c r="LK20" s="44">
        <v>63.136401999999997</v>
      </c>
      <c r="LL20" s="50">
        <v>8.8818180000000009</v>
      </c>
      <c r="LM20" s="50">
        <v>72.018219999999999</v>
      </c>
      <c r="LN20" s="44">
        <v>62.293177</v>
      </c>
      <c r="LO20" s="50">
        <v>11.119738</v>
      </c>
      <c r="LP20" s="50">
        <v>73.412914999999998</v>
      </c>
      <c r="LQ20" s="44">
        <v>62.168872</v>
      </c>
      <c r="LR20" s="50">
        <v>27.14622</v>
      </c>
      <c r="LS20" s="50">
        <v>89.315092000000007</v>
      </c>
      <c r="LT20" s="44">
        <f t="shared" si="58"/>
        <v>736.74540500000001</v>
      </c>
      <c r="LU20" s="50">
        <f t="shared" si="5"/>
        <v>209.68263400000001</v>
      </c>
      <c r="LV20" s="50">
        <f t="shared" si="5"/>
        <v>946.42803900000013</v>
      </c>
      <c r="LW20" s="50">
        <v>945.33770000000004</v>
      </c>
      <c r="LX20" s="44">
        <v>60.423791000000001</v>
      </c>
      <c r="LY20" s="50">
        <v>9.9987929999999992</v>
      </c>
      <c r="LZ20" s="50">
        <v>70.422584000000001</v>
      </c>
      <c r="MA20" s="44">
        <v>77.25609</v>
      </c>
      <c r="MB20" s="50">
        <v>18.031399</v>
      </c>
      <c r="MC20" s="50">
        <v>95.287488999999994</v>
      </c>
      <c r="MD20" s="44">
        <v>73.467467999999997</v>
      </c>
      <c r="ME20" s="50">
        <v>10.134968000000001</v>
      </c>
      <c r="MF20" s="50">
        <v>83.602435999999997</v>
      </c>
      <c r="MG20" s="44">
        <v>74.261660000000006</v>
      </c>
      <c r="MH20" s="50">
        <v>13.866690999999999</v>
      </c>
      <c r="MI20" s="50">
        <v>88.128350999999995</v>
      </c>
      <c r="MJ20" s="44">
        <v>57.238464</v>
      </c>
      <c r="MK20" s="50">
        <v>17.880752999999999</v>
      </c>
      <c r="ML20" s="50">
        <v>75.119217000000006</v>
      </c>
      <c r="MM20" s="44">
        <v>133.78098399999999</v>
      </c>
      <c r="MN20" s="50">
        <v>15.80199</v>
      </c>
      <c r="MO20" s="50">
        <v>149.58297400000001</v>
      </c>
      <c r="MP20" s="44">
        <v>52.459215999999998</v>
      </c>
      <c r="MQ20" s="50">
        <v>8.0342509999999994</v>
      </c>
      <c r="MR20" s="50">
        <v>60.493467000000003</v>
      </c>
      <c r="MS20" s="44">
        <v>27.466004000000002</v>
      </c>
      <c r="MT20" s="50">
        <v>9.5102740000000008</v>
      </c>
      <c r="MU20" s="50">
        <v>36.976278000000001</v>
      </c>
      <c r="MV20" s="44">
        <v>58.625382999999999</v>
      </c>
      <c r="MW20" s="50">
        <v>12.556507999999999</v>
      </c>
      <c r="MX20" s="50">
        <v>71.181890999999993</v>
      </c>
      <c r="MY20" s="44">
        <v>82.835193000000004</v>
      </c>
      <c r="MZ20" s="50">
        <v>14.508839</v>
      </c>
      <c r="NA20" s="50">
        <v>97.344031999999999</v>
      </c>
      <c r="NB20" s="44">
        <v>62.819671999999997</v>
      </c>
      <c r="NC20" s="50">
        <v>12.583244000000001</v>
      </c>
      <c r="ND20" s="50">
        <v>75.402916000000005</v>
      </c>
      <c r="NE20" s="44">
        <v>69.63467</v>
      </c>
      <c r="NF20" s="50">
        <v>18.822849000000001</v>
      </c>
      <c r="NG20" s="50">
        <v>88.457519000000005</v>
      </c>
      <c r="NH20" s="44">
        <f t="shared" si="59"/>
        <v>830.26859499999989</v>
      </c>
      <c r="NI20" s="50">
        <f t="shared" si="6"/>
        <v>161.730559</v>
      </c>
      <c r="NJ20" s="50">
        <f t="shared" si="7"/>
        <v>991.99915399999998</v>
      </c>
      <c r="NK20" s="50">
        <v>990.417282</v>
      </c>
      <c r="NL20" s="50">
        <v>79.746578</v>
      </c>
      <c r="NM20" s="50">
        <v>9.8357559999999999</v>
      </c>
      <c r="NN20" s="50">
        <v>89.582334000000003</v>
      </c>
      <c r="NO20" s="50">
        <v>64.074358000000004</v>
      </c>
      <c r="NP20" s="50">
        <v>7.0953410000000003</v>
      </c>
      <c r="NQ20" s="50">
        <v>71.169698999999994</v>
      </c>
      <c r="NR20" s="50">
        <v>69.040962000000007</v>
      </c>
      <c r="NS20" s="50">
        <v>15.080602000000001</v>
      </c>
      <c r="NT20" s="50">
        <v>84.121564000000006</v>
      </c>
      <c r="NU20" s="50">
        <v>88.886251000000001</v>
      </c>
      <c r="NV20" s="50">
        <v>6.2457739999999999</v>
      </c>
      <c r="NW20" s="50">
        <v>95.132024999999999</v>
      </c>
      <c r="NX20" s="50">
        <v>62.829503999999993</v>
      </c>
      <c r="NY20" s="50">
        <v>4.4239030000000001</v>
      </c>
      <c r="NZ20" s="50">
        <v>67.253406999999996</v>
      </c>
      <c r="OA20" s="50">
        <v>143.21491599999999</v>
      </c>
      <c r="OB20" s="50">
        <v>6.8633240000000004</v>
      </c>
      <c r="OC20" s="50">
        <v>150.07823999999999</v>
      </c>
      <c r="OD20" s="50">
        <v>72.065607</v>
      </c>
      <c r="OE20" s="50">
        <v>10.845848</v>
      </c>
      <c r="OF20" s="50">
        <v>82.911455000000004</v>
      </c>
      <c r="OG20" s="50">
        <v>39.994587000000003</v>
      </c>
      <c r="OH20" s="94">
        <v>6.7505290000000002</v>
      </c>
      <c r="OI20" s="94">
        <v>46.745116000000003</v>
      </c>
      <c r="OJ20" s="50">
        <v>73.696680000000001</v>
      </c>
      <c r="OK20" s="50">
        <v>11.45204</v>
      </c>
      <c r="OL20" s="50">
        <v>85.148719999999997</v>
      </c>
      <c r="OM20" s="50">
        <v>122.830083</v>
      </c>
      <c r="ON20" s="50">
        <v>5.096463</v>
      </c>
      <c r="OO20" s="50">
        <v>127.926546</v>
      </c>
      <c r="OP20" s="50">
        <v>65.907744000000008</v>
      </c>
      <c r="OQ20" s="50">
        <v>8.8184349999999991</v>
      </c>
      <c r="OR20" s="50">
        <v>74.726179000000002</v>
      </c>
      <c r="OS20" s="50">
        <v>79.915329999999997</v>
      </c>
      <c r="OT20" s="50">
        <v>13.348416</v>
      </c>
      <c r="OU20" s="50">
        <v>93.263745999999998</v>
      </c>
      <c r="OV20" s="44">
        <f t="shared" si="60"/>
        <v>962.20259999999996</v>
      </c>
      <c r="OW20" s="50">
        <f t="shared" si="68"/>
        <v>105.85643099999999</v>
      </c>
      <c r="OX20" s="50">
        <f t="shared" si="9"/>
        <v>1068.0590310000002</v>
      </c>
      <c r="OY20" s="50">
        <v>1069.5371379999999</v>
      </c>
      <c r="OZ20" s="85">
        <f>PB20-PA20</f>
        <v>82.124773000000005</v>
      </c>
      <c r="PA20" s="50">
        <v>15.108375000000001</v>
      </c>
      <c r="PB20" s="50">
        <v>97.233148</v>
      </c>
      <c r="PC20" s="50">
        <v>66.765591000000001</v>
      </c>
      <c r="PD20" s="50">
        <v>6.2124309999999996</v>
      </c>
      <c r="PE20" s="50">
        <v>72.978021999999996</v>
      </c>
      <c r="PF20" s="85">
        <v>64.25948799999999</v>
      </c>
      <c r="PG20" s="50">
        <v>12.065447000000001</v>
      </c>
      <c r="PH20" s="50">
        <v>76.324934999999996</v>
      </c>
      <c r="PI20" s="85">
        <v>95.122163</v>
      </c>
      <c r="PJ20" s="50">
        <v>9.9706949999999992</v>
      </c>
      <c r="PK20" s="50">
        <v>105.09285800000001</v>
      </c>
      <c r="PL20" s="85">
        <v>62.805897999999999</v>
      </c>
      <c r="PM20" s="50">
        <v>12.643198999999999</v>
      </c>
      <c r="PN20" s="50">
        <v>75.449096999999995</v>
      </c>
      <c r="PO20" s="50">
        <v>156.947078</v>
      </c>
      <c r="PP20" s="50">
        <v>17.516746000000001</v>
      </c>
      <c r="PQ20" s="50">
        <v>174.46382400000002</v>
      </c>
      <c r="PR20" s="50">
        <v>52.009098999999999</v>
      </c>
      <c r="PS20" s="50">
        <v>26.830525999999999</v>
      </c>
      <c r="PT20" s="50">
        <v>78.839624999999998</v>
      </c>
      <c r="PU20" s="50">
        <v>23.662874000000002</v>
      </c>
      <c r="PV20" s="50">
        <v>8.927467</v>
      </c>
      <c r="PW20" s="50">
        <v>32.590341000000002</v>
      </c>
      <c r="PX20" s="50">
        <v>53.4985</v>
      </c>
      <c r="PY20" s="50">
        <v>17.374867999999999</v>
      </c>
      <c r="PZ20" s="50">
        <v>70.873367999999999</v>
      </c>
      <c r="QA20" s="50">
        <v>112.040638</v>
      </c>
      <c r="QB20" s="50">
        <v>7.7781339999999997</v>
      </c>
      <c r="QC20" s="50">
        <v>119.818772</v>
      </c>
      <c r="QD20" s="50">
        <v>67.932617999999991</v>
      </c>
      <c r="QE20" s="50">
        <v>5.2768069999999998</v>
      </c>
      <c r="QF20" s="50">
        <v>73.209424999999996</v>
      </c>
      <c r="QG20" s="50">
        <v>75.077738000000011</v>
      </c>
      <c r="QH20" s="50">
        <v>11.087977</v>
      </c>
      <c r="QI20" s="50">
        <v>86.165715000000006</v>
      </c>
      <c r="QJ20" s="44">
        <f t="shared" si="38"/>
        <v>912.24645800000008</v>
      </c>
      <c r="QK20" s="50">
        <f t="shared" si="39"/>
        <v>150.79267199999998</v>
      </c>
      <c r="QL20" s="50">
        <f t="shared" si="40"/>
        <v>1063.0391299999999</v>
      </c>
      <c r="QM20" s="50">
        <v>1063.0068630000001</v>
      </c>
      <c r="QN20" s="50">
        <v>93.12437700000001</v>
      </c>
      <c r="QO20" s="50">
        <v>3.6952189999999998</v>
      </c>
      <c r="QP20" s="50">
        <v>96.819596000000004</v>
      </c>
      <c r="QQ20" s="50">
        <v>71.285589000000002</v>
      </c>
      <c r="QR20" s="50">
        <v>4.3835319999999998</v>
      </c>
      <c r="QS20" s="50">
        <v>75.669121000000004</v>
      </c>
      <c r="QT20" s="50">
        <v>82.268142999999995</v>
      </c>
      <c r="QU20" s="50">
        <v>6.49526</v>
      </c>
      <c r="QV20" s="50">
        <v>88.763402999999997</v>
      </c>
      <c r="QW20" s="50">
        <v>108.66126100000001</v>
      </c>
      <c r="QX20" s="50">
        <v>14.788276</v>
      </c>
      <c r="QY20" s="50">
        <v>123.44953700000001</v>
      </c>
      <c r="QZ20" s="50">
        <v>69.996190000000013</v>
      </c>
      <c r="RA20" s="50">
        <v>5.4278440000000003</v>
      </c>
      <c r="RB20" s="50">
        <v>75.424034000000006</v>
      </c>
      <c r="RC20" s="50">
        <v>180.76306600000001</v>
      </c>
      <c r="RD20" s="50">
        <v>3.8061400000000001</v>
      </c>
      <c r="RE20" s="50">
        <v>184.56920600000001</v>
      </c>
      <c r="RF20" s="50">
        <v>38.913077000000001</v>
      </c>
      <c r="RG20" s="50">
        <v>15.052052</v>
      </c>
      <c r="RH20" s="50">
        <v>53.965128999999997</v>
      </c>
      <c r="RI20" s="50">
        <v>37.503166</v>
      </c>
      <c r="RJ20" s="50">
        <v>3.822711</v>
      </c>
      <c r="RK20" s="50">
        <v>41.325876999999998</v>
      </c>
      <c r="RL20" s="50">
        <v>57.116810999999998</v>
      </c>
      <c r="RM20" s="50">
        <v>10.121161000000001</v>
      </c>
      <c r="RN20" s="50">
        <v>67.237971999999999</v>
      </c>
      <c r="RO20" s="50">
        <v>111.75516</v>
      </c>
      <c r="RP20" s="50">
        <v>3.7677010000000002</v>
      </c>
      <c r="RQ20" s="50">
        <v>115.52286100000001</v>
      </c>
      <c r="RR20" s="50">
        <v>76.406494000000009</v>
      </c>
      <c r="RS20" s="50">
        <v>6.9958590000000003</v>
      </c>
      <c r="RT20" s="50">
        <v>83.402353000000005</v>
      </c>
      <c r="RU20" s="50">
        <v>70.434466999999998</v>
      </c>
      <c r="RV20" s="50">
        <v>23.274096</v>
      </c>
      <c r="RW20" s="50">
        <v>93.708562999999998</v>
      </c>
      <c r="RX20" s="44">
        <f t="shared" si="41"/>
        <v>998.22780100000023</v>
      </c>
      <c r="RY20" s="50">
        <f t="shared" si="42"/>
        <v>101.629851</v>
      </c>
      <c r="RZ20" s="50">
        <f t="shared" si="43"/>
        <v>1099.8576520000001</v>
      </c>
      <c r="SA20" s="50">
        <v>1099.664657</v>
      </c>
      <c r="SB20" s="50">
        <v>107.71283100000001</v>
      </c>
      <c r="SC20" s="50">
        <v>38.619894000000002</v>
      </c>
      <c r="SD20" s="50">
        <v>146.33272500000001</v>
      </c>
      <c r="SE20" s="50">
        <v>79.225642999999991</v>
      </c>
      <c r="SF20" s="50">
        <v>14.625365</v>
      </c>
      <c r="SG20" s="50">
        <v>93.851007999999993</v>
      </c>
      <c r="SH20" s="50">
        <v>82.869691000000003</v>
      </c>
      <c r="SI20" s="50">
        <v>8.2147369999999995</v>
      </c>
      <c r="SJ20" s="50">
        <v>91.084428000000003</v>
      </c>
      <c r="SK20" s="50">
        <v>112.68996799999999</v>
      </c>
      <c r="SL20" s="50">
        <v>20.061046000000001</v>
      </c>
      <c r="SM20" s="50">
        <v>132.751014</v>
      </c>
      <c r="SN20" s="50">
        <f t="shared" si="44"/>
        <v>83.047606000000002</v>
      </c>
      <c r="SO20" s="50">
        <v>14.074280999999999</v>
      </c>
      <c r="SP20" s="50">
        <v>97.121887000000001</v>
      </c>
      <c r="SQ20" s="50">
        <v>180.66827699999999</v>
      </c>
      <c r="SR20" s="50">
        <v>37.961426000000003</v>
      </c>
      <c r="SS20" s="50">
        <v>218.62970300000001</v>
      </c>
      <c r="ST20" s="50">
        <v>49.816763999999999</v>
      </c>
      <c r="SU20" s="50">
        <v>22.811185999999999</v>
      </c>
      <c r="SV20" s="50">
        <v>72.627949999999998</v>
      </c>
      <c r="SW20" s="50">
        <v>21.506974999999997</v>
      </c>
      <c r="SX20" s="50">
        <v>28.041893000000002</v>
      </c>
      <c r="SY20" s="50">
        <v>49.548867999999999</v>
      </c>
      <c r="SZ20" s="50">
        <v>115.472889</v>
      </c>
      <c r="TA20" s="50">
        <v>14.732251</v>
      </c>
      <c r="TB20" s="50">
        <v>130.20514</v>
      </c>
      <c r="TC20" s="50">
        <v>79.128199999999993</v>
      </c>
      <c r="TD20" s="50">
        <v>44.844365000000003</v>
      </c>
      <c r="TE20" s="50">
        <v>123.972565</v>
      </c>
      <c r="TF20" s="50">
        <v>77.722796000000002</v>
      </c>
      <c r="TG20" s="50">
        <v>13.598474</v>
      </c>
      <c r="TH20" s="50">
        <v>91.321269999999998</v>
      </c>
      <c r="TI20" s="50">
        <v>87.35003900000001</v>
      </c>
      <c r="TJ20" s="50">
        <v>16.616675999999998</v>
      </c>
      <c r="TK20" s="50">
        <v>103.96671500000001</v>
      </c>
      <c r="TL20" s="44">
        <f t="shared" si="45"/>
        <v>1077.211679</v>
      </c>
      <c r="TM20" s="50">
        <f t="shared" si="46"/>
        <v>274.201594</v>
      </c>
      <c r="TN20" s="50">
        <f t="shared" si="47"/>
        <v>1351.4132729999999</v>
      </c>
      <c r="TO20" s="50">
        <v>103.09612800000001</v>
      </c>
      <c r="TP20" s="50">
        <v>25.849529</v>
      </c>
      <c r="TQ20" s="50">
        <v>128.94565700000001</v>
      </c>
      <c r="TR20" s="50">
        <f t="shared" si="48"/>
        <v>104.685568</v>
      </c>
      <c r="TS20" s="50">
        <v>17.221475000000002</v>
      </c>
      <c r="TT20" s="50">
        <v>121.907043</v>
      </c>
      <c r="TU20" s="50">
        <v>81.885882999999993</v>
      </c>
      <c r="TV20" s="50">
        <v>13.821541</v>
      </c>
      <c r="TW20" s="50">
        <v>95.707423999999989</v>
      </c>
      <c r="TX20" s="50">
        <f t="shared" si="49"/>
        <v>113.672032</v>
      </c>
      <c r="TY20" s="50">
        <v>9.4168599999999998</v>
      </c>
      <c r="TZ20" s="50">
        <v>123.088892</v>
      </c>
      <c r="UA20" s="50"/>
      <c r="UB20" s="50"/>
      <c r="UC20" s="50"/>
      <c r="UD20" s="50"/>
      <c r="UE20" s="50"/>
      <c r="UF20" s="50"/>
      <c r="UG20" s="50"/>
      <c r="UH20" s="50"/>
      <c r="UI20" s="50"/>
      <c r="UJ20" s="50"/>
      <c r="UK20" s="50"/>
      <c r="UL20" s="50"/>
      <c r="UM20" s="50"/>
      <c r="UN20" s="50"/>
      <c r="UO20" s="50"/>
      <c r="UP20" s="50"/>
      <c r="UQ20" s="50"/>
      <c r="UR20" s="50"/>
      <c r="US20" s="50"/>
      <c r="UT20" s="50"/>
      <c r="UU20" s="50"/>
      <c r="UV20" s="50"/>
      <c r="UW20" s="50"/>
      <c r="UX20" s="50"/>
      <c r="UY20" s="292">
        <f t="shared" si="50"/>
        <v>382.498133</v>
      </c>
      <c r="UZ20" s="276">
        <f t="shared" si="51"/>
        <v>81.521041999999994</v>
      </c>
      <c r="VA20" s="276">
        <f t="shared" si="52"/>
        <v>464.01917500000002</v>
      </c>
      <c r="VB20" s="292">
        <f t="shared" si="53"/>
        <v>403.33961099999999</v>
      </c>
      <c r="VC20" s="276">
        <f t="shared" si="54"/>
        <v>66.309404999999998</v>
      </c>
      <c r="VD20" s="276">
        <f t="shared" si="55"/>
        <v>469.64901600000002</v>
      </c>
      <c r="VE20" s="277">
        <f t="shared" si="56"/>
        <v>5.629840999999999</v>
      </c>
      <c r="VF20" s="277">
        <f t="shared" si="57"/>
        <v>1.2132776625017669</v>
      </c>
    </row>
    <row r="21" spans="1:578" s="12" customFormat="1" ht="20.5" hidden="1">
      <c r="A21" s="51" t="s">
        <v>237</v>
      </c>
      <c r="B21" s="13" t="s">
        <v>106</v>
      </c>
      <c r="C21" s="51" t="s">
        <v>107</v>
      </c>
      <c r="D21" s="42">
        <v>0</v>
      </c>
      <c r="E21" s="42">
        <v>0</v>
      </c>
      <c r="F21" s="42">
        <v>0</v>
      </c>
      <c r="G21" s="42">
        <v>1.9094939698702889E-2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1.7785897632027628E-4</v>
      </c>
      <c r="X21" s="42">
        <v>0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42">
        <v>0</v>
      </c>
      <c r="AJ21" s="42">
        <v>0</v>
      </c>
      <c r="AK21" s="42">
        <v>0</v>
      </c>
      <c r="AL21" s="42">
        <v>0</v>
      </c>
      <c r="AM21" s="42">
        <v>0</v>
      </c>
      <c r="AN21" s="42">
        <v>0.12022128502398956</v>
      </c>
      <c r="AO21" s="42">
        <v>-8.4902760940461352E-3</v>
      </c>
      <c r="AP21" s="42">
        <v>-0.11173100892994342</v>
      </c>
      <c r="AQ21" s="42">
        <v>0</v>
      </c>
      <c r="AR21" s="42">
        <v>0</v>
      </c>
      <c r="AS21" s="42">
        <v>0</v>
      </c>
      <c r="AT21" s="42">
        <v>0</v>
      </c>
      <c r="AU21" s="42">
        <v>0</v>
      </c>
      <c r="AV21" s="42">
        <v>-2.0536165588310591E-15</v>
      </c>
      <c r="AW21" s="42">
        <v>1.5352758408568735E-15</v>
      </c>
      <c r="AX21" s="42">
        <v>-1.8956460543055928E-15</v>
      </c>
      <c r="AY21" s="42">
        <v>4.4231741267130498E-15</v>
      </c>
      <c r="AZ21" s="42">
        <v>0</v>
      </c>
      <c r="BA21" s="42">
        <v>0</v>
      </c>
      <c r="BB21" s="42">
        <v>0</v>
      </c>
      <c r="BC21" s="42"/>
      <c r="BD21" s="49">
        <v>4.0377999999999997E-2</v>
      </c>
      <c r="BE21" s="42"/>
      <c r="BF21" s="49">
        <f>BD21+BE21</f>
        <v>4.0377999999999997E-2</v>
      </c>
      <c r="BG21" s="44">
        <f>0.783054-0.823432</f>
        <v>-4.0378000000000025E-2</v>
      </c>
      <c r="BH21" s="42"/>
      <c r="BI21" s="44">
        <f>BG21+BH21</f>
        <v>-4.0378000000000025E-2</v>
      </c>
      <c r="BJ21" s="44">
        <f>1.863712-1.863712</f>
        <v>0</v>
      </c>
      <c r="BK21" s="44"/>
      <c r="BL21" s="44">
        <f>BJ21+BK21</f>
        <v>0</v>
      </c>
      <c r="BM21" s="44">
        <v>3.1798E-2</v>
      </c>
      <c r="BN21" s="44"/>
      <c r="BO21" s="44">
        <f>BM21+BN21</f>
        <v>3.1798E-2</v>
      </c>
      <c r="BP21" s="44">
        <v>1.0906000000000082E-2</v>
      </c>
      <c r="BQ21" s="44"/>
      <c r="BR21" s="44">
        <f>BP21+BQ21</f>
        <v>1.0906000000000082E-2</v>
      </c>
      <c r="BS21" s="44">
        <v>3.1587999999999998E-2</v>
      </c>
      <c r="BT21" s="42"/>
      <c r="BU21" s="44">
        <f>BS21+BT21</f>
        <v>3.1587999999999998E-2</v>
      </c>
      <c r="BV21" s="44">
        <v>9.0622999999999995E-2</v>
      </c>
      <c r="BW21" s="42"/>
      <c r="BX21" s="44">
        <f>BV21+BW21</f>
        <v>9.0622999999999995E-2</v>
      </c>
      <c r="BY21" s="44">
        <v>0.11722200000000038</v>
      </c>
      <c r="BZ21" s="42"/>
      <c r="CA21" s="44">
        <f>BY21+BZ21</f>
        <v>0.11722200000000038</v>
      </c>
      <c r="CB21" s="44">
        <v>0.20791000000000001</v>
      </c>
      <c r="CC21" s="42"/>
      <c r="CD21" s="44">
        <f>CB21+CC21</f>
        <v>0.20791000000000001</v>
      </c>
      <c r="CE21" s="44">
        <v>9.3816999999999998E-2</v>
      </c>
      <c r="CF21" s="44"/>
      <c r="CG21" s="44">
        <f>CE21+CF21</f>
        <v>9.3816999999999998E-2</v>
      </c>
      <c r="CH21" s="44">
        <v>8.3472000000000005E-2</v>
      </c>
      <c r="CI21" s="42"/>
      <c r="CJ21" s="44">
        <f>CH21+CI21</f>
        <v>8.3472000000000005E-2</v>
      </c>
      <c r="CK21" s="44">
        <v>0.158745</v>
      </c>
      <c r="CL21" s="42"/>
      <c r="CM21" s="44">
        <f>CK21+CL21</f>
        <v>0.158745</v>
      </c>
      <c r="CN21" s="50">
        <f t="shared" si="20"/>
        <v>0.82608100000000051</v>
      </c>
      <c r="CO21" s="50"/>
      <c r="CP21" s="50">
        <f t="shared" si="21"/>
        <v>0.82608100000000051</v>
      </c>
      <c r="CQ21" s="50"/>
      <c r="CR21" s="44"/>
      <c r="CS21" s="42"/>
      <c r="CT21" s="44">
        <f>CR21+CS21</f>
        <v>0</v>
      </c>
      <c r="CU21" s="44">
        <v>3.4264999999999997E-2</v>
      </c>
      <c r="CV21" s="44">
        <v>0</v>
      </c>
      <c r="CW21" s="44">
        <v>3.4264999999999997E-2</v>
      </c>
      <c r="CX21" s="44">
        <v>-1.0038E-2</v>
      </c>
      <c r="CY21" s="44">
        <v>0</v>
      </c>
      <c r="CZ21" s="44">
        <v>-1.0038E-2</v>
      </c>
      <c r="DA21" s="44">
        <v>0.104</v>
      </c>
      <c r="DB21" s="44">
        <v>0</v>
      </c>
      <c r="DC21" s="44">
        <v>0.104</v>
      </c>
      <c r="DD21" s="44">
        <v>-2.0539000000000002E-2</v>
      </c>
      <c r="DE21" s="44">
        <v>0</v>
      </c>
      <c r="DF21" s="44">
        <v>-2.0539000000000002E-2</v>
      </c>
      <c r="DG21" s="44">
        <v>4.0940999999999998E-2</v>
      </c>
      <c r="DH21" s="44">
        <v>0</v>
      </c>
      <c r="DI21" s="44">
        <v>4.0940999999999998E-2</v>
      </c>
      <c r="DJ21" s="44">
        <v>7.8869999999999996E-2</v>
      </c>
      <c r="DK21" s="44">
        <v>0</v>
      </c>
      <c r="DL21" s="44">
        <v>7.8869999999999996E-2</v>
      </c>
      <c r="DM21" s="44">
        <v>-0.106904</v>
      </c>
      <c r="DN21" s="44">
        <v>0</v>
      </c>
      <c r="DO21" s="44">
        <v>-0.106904</v>
      </c>
      <c r="DP21" s="44">
        <v>0.26680599999999999</v>
      </c>
      <c r="DQ21" s="44">
        <v>0</v>
      </c>
      <c r="DR21" s="44">
        <v>0.26680599999999999</v>
      </c>
      <c r="DS21" s="44">
        <v>1.9673E-2</v>
      </c>
      <c r="DT21" s="44">
        <v>0</v>
      </c>
      <c r="DU21" s="44">
        <v>1.9673E-2</v>
      </c>
      <c r="DV21" s="44">
        <v>-0.106407</v>
      </c>
      <c r="DW21" s="44">
        <v>0</v>
      </c>
      <c r="DX21" s="44">
        <v>-0.106407</v>
      </c>
      <c r="DY21" s="44">
        <v>0.37701299999999999</v>
      </c>
      <c r="DZ21" s="44">
        <v>0</v>
      </c>
      <c r="EA21" s="44">
        <v>0.37701299999999999</v>
      </c>
      <c r="EB21" s="44">
        <f t="shared" si="22"/>
        <v>0.67768000000000006</v>
      </c>
      <c r="EC21" s="50">
        <f t="shared" si="23"/>
        <v>0</v>
      </c>
      <c r="ED21" s="50">
        <f t="shared" si="24"/>
        <v>0.67768000000000006</v>
      </c>
      <c r="EE21" s="140"/>
      <c r="EF21" s="50">
        <v>0</v>
      </c>
      <c r="EG21" s="50">
        <v>0</v>
      </c>
      <c r="EH21" s="50">
        <v>0</v>
      </c>
      <c r="EI21" s="50">
        <v>0</v>
      </c>
      <c r="EJ21" s="50">
        <v>0</v>
      </c>
      <c r="EK21" s="50">
        <v>0</v>
      </c>
      <c r="EL21" s="50">
        <v>0</v>
      </c>
      <c r="EM21" s="50">
        <v>0</v>
      </c>
      <c r="EN21" s="50">
        <v>0</v>
      </c>
      <c r="EO21" s="50">
        <v>0</v>
      </c>
      <c r="EP21" s="50">
        <v>0</v>
      </c>
      <c r="EQ21" s="50">
        <v>0</v>
      </c>
      <c r="ER21" s="50">
        <v>0</v>
      </c>
      <c r="ES21" s="50">
        <v>0</v>
      </c>
      <c r="ET21" s="50">
        <v>0</v>
      </c>
      <c r="EU21" s="50">
        <v>0</v>
      </c>
      <c r="EV21" s="50">
        <v>0</v>
      </c>
      <c r="EW21" s="50">
        <v>0</v>
      </c>
      <c r="EX21" s="50">
        <v>0</v>
      </c>
      <c r="EY21" s="50">
        <v>0</v>
      </c>
      <c r="EZ21" s="50">
        <v>0</v>
      </c>
      <c r="FA21" s="50">
        <v>0</v>
      </c>
      <c r="FB21" s="50">
        <v>0</v>
      </c>
      <c r="FC21" s="50">
        <v>0</v>
      </c>
      <c r="FD21" s="50">
        <v>0</v>
      </c>
      <c r="FE21" s="50">
        <v>0</v>
      </c>
      <c r="FF21" s="50">
        <v>0</v>
      </c>
      <c r="FG21" s="50">
        <v>0</v>
      </c>
      <c r="FH21" s="50">
        <v>0</v>
      </c>
      <c r="FI21" s="50">
        <v>0</v>
      </c>
      <c r="FJ21" s="50">
        <v>0</v>
      </c>
      <c r="FK21" s="50">
        <v>0</v>
      </c>
      <c r="FL21" s="50">
        <v>0</v>
      </c>
      <c r="FM21" s="50">
        <v>0</v>
      </c>
      <c r="FN21" s="50">
        <v>0</v>
      </c>
      <c r="FO21" s="50">
        <v>0</v>
      </c>
      <c r="FP21" s="50">
        <f t="shared" si="25"/>
        <v>0</v>
      </c>
      <c r="FQ21" s="50">
        <f t="shared" si="26"/>
        <v>0</v>
      </c>
      <c r="FR21" s="50">
        <f t="shared" si="27"/>
        <v>0</v>
      </c>
      <c r="FS21" s="94"/>
      <c r="FT21" s="50">
        <v>0</v>
      </c>
      <c r="FU21" s="50">
        <v>0</v>
      </c>
      <c r="FV21" s="50">
        <v>0</v>
      </c>
      <c r="FW21" s="50">
        <v>0</v>
      </c>
      <c r="FX21" s="50">
        <v>0</v>
      </c>
      <c r="FY21" s="50">
        <v>0</v>
      </c>
      <c r="FZ21" s="50">
        <v>0</v>
      </c>
      <c r="GA21" s="50">
        <v>0</v>
      </c>
      <c r="GB21" s="50">
        <v>0</v>
      </c>
      <c r="GC21" s="50">
        <v>0</v>
      </c>
      <c r="GD21" s="50">
        <v>0</v>
      </c>
      <c r="GE21" s="50">
        <v>0</v>
      </c>
      <c r="GF21" s="50">
        <v>0</v>
      </c>
      <c r="GG21" s="50">
        <v>0</v>
      </c>
      <c r="GH21" s="50">
        <v>0</v>
      </c>
      <c r="GI21" s="50">
        <v>0</v>
      </c>
      <c r="GJ21" s="50">
        <v>0</v>
      </c>
      <c r="GK21" s="50">
        <v>0</v>
      </c>
      <c r="GL21" s="50">
        <v>0</v>
      </c>
      <c r="GM21" s="50">
        <v>0</v>
      </c>
      <c r="GN21" s="50">
        <v>0</v>
      </c>
      <c r="GO21" s="50">
        <v>0</v>
      </c>
      <c r="GP21" s="50">
        <v>0</v>
      </c>
      <c r="GQ21" s="50">
        <v>0</v>
      </c>
      <c r="GR21" s="50">
        <v>0</v>
      </c>
      <c r="GS21" s="50"/>
      <c r="GT21" s="50">
        <v>0</v>
      </c>
      <c r="GU21" s="50">
        <v>0</v>
      </c>
      <c r="GV21" s="50"/>
      <c r="GW21" s="50">
        <v>0</v>
      </c>
      <c r="GX21" s="50">
        <v>0</v>
      </c>
      <c r="GY21" s="50"/>
      <c r="GZ21" s="50">
        <v>0</v>
      </c>
      <c r="HA21" s="50">
        <v>0</v>
      </c>
      <c r="HB21" s="50"/>
      <c r="HC21" s="50">
        <v>0</v>
      </c>
      <c r="HD21" s="50">
        <f t="shared" si="28"/>
        <v>0</v>
      </c>
      <c r="HE21" s="50">
        <f t="shared" si="29"/>
        <v>0</v>
      </c>
      <c r="HF21" s="50">
        <f t="shared" si="30"/>
        <v>0</v>
      </c>
      <c r="HG21" s="50"/>
      <c r="HH21" s="50">
        <v>0</v>
      </c>
      <c r="HI21" s="50"/>
      <c r="HJ21" s="50">
        <v>0</v>
      </c>
      <c r="HK21" s="50">
        <v>0</v>
      </c>
      <c r="HL21" s="50">
        <v>0</v>
      </c>
      <c r="HM21" s="50">
        <v>0</v>
      </c>
      <c r="HN21" s="50">
        <v>0</v>
      </c>
      <c r="HO21" s="50">
        <v>0</v>
      </c>
      <c r="HP21" s="50">
        <v>0</v>
      </c>
      <c r="HQ21" s="50">
        <v>0</v>
      </c>
      <c r="HR21" s="50">
        <v>0</v>
      </c>
      <c r="HS21" s="50">
        <v>0</v>
      </c>
      <c r="HT21" s="50">
        <v>0</v>
      </c>
      <c r="HU21" s="50">
        <v>0</v>
      </c>
      <c r="HV21" s="50">
        <v>0</v>
      </c>
      <c r="HW21" s="50">
        <v>0</v>
      </c>
      <c r="HX21" s="50">
        <v>0</v>
      </c>
      <c r="HY21" s="50">
        <v>0</v>
      </c>
      <c r="HZ21" s="50">
        <v>0</v>
      </c>
      <c r="IA21" s="50">
        <v>0</v>
      </c>
      <c r="IB21" s="50">
        <v>0</v>
      </c>
      <c r="IC21" s="50">
        <v>0</v>
      </c>
      <c r="ID21" s="50">
        <v>0</v>
      </c>
      <c r="IE21" s="50">
        <v>0</v>
      </c>
      <c r="IF21" s="50">
        <v>0</v>
      </c>
      <c r="IG21" s="50">
        <v>0</v>
      </c>
      <c r="IH21" s="50">
        <v>0</v>
      </c>
      <c r="II21" s="50">
        <v>0</v>
      </c>
      <c r="IJ21" s="50">
        <v>0</v>
      </c>
      <c r="IK21" s="50">
        <v>0</v>
      </c>
      <c r="IL21" s="50">
        <v>0</v>
      </c>
      <c r="IM21" s="50">
        <v>0</v>
      </c>
      <c r="IN21" s="50">
        <v>0</v>
      </c>
      <c r="IO21" s="50">
        <v>6.0499999999999998E-3</v>
      </c>
      <c r="IP21" s="50">
        <v>0</v>
      </c>
      <c r="IQ21" s="50">
        <v>6.0499999999999998E-3</v>
      </c>
      <c r="IR21" s="44">
        <f t="shared" si="34"/>
        <v>6.0499999999999998E-3</v>
      </c>
      <c r="IS21" s="50">
        <f t="shared" si="35"/>
        <v>0</v>
      </c>
      <c r="IT21" s="50">
        <f t="shared" si="36"/>
        <v>6.0499999999999998E-3</v>
      </c>
      <c r="IU21" s="50">
        <v>0</v>
      </c>
      <c r="IV21" s="44">
        <v>0</v>
      </c>
      <c r="IW21" s="50">
        <v>0</v>
      </c>
      <c r="IX21" s="50">
        <v>0</v>
      </c>
      <c r="IY21" s="44">
        <v>9.5210000000000003E-2</v>
      </c>
      <c r="IZ21" s="50">
        <v>0</v>
      </c>
      <c r="JA21" s="50">
        <v>9.5210000000000003E-2</v>
      </c>
      <c r="JB21" s="44">
        <v>-4.1861000000000002E-2</v>
      </c>
      <c r="JC21" s="50">
        <v>0</v>
      </c>
      <c r="JD21" s="50">
        <v>-4.1861000000000002E-2</v>
      </c>
      <c r="JE21" s="44">
        <v>-5.3349000000000001E-2</v>
      </c>
      <c r="JF21" s="50">
        <v>0</v>
      </c>
      <c r="JG21" s="50">
        <v>-5.3349000000000001E-2</v>
      </c>
      <c r="JH21" s="44">
        <v>0</v>
      </c>
      <c r="JI21" s="50">
        <v>0</v>
      </c>
      <c r="JJ21" s="50">
        <v>0</v>
      </c>
      <c r="JK21" s="44">
        <v>0</v>
      </c>
      <c r="JL21" s="50">
        <v>0</v>
      </c>
      <c r="JM21" s="50">
        <v>0</v>
      </c>
      <c r="JN21" s="44">
        <v>0</v>
      </c>
      <c r="JO21" s="50">
        <v>0</v>
      </c>
      <c r="JP21" s="50">
        <v>0</v>
      </c>
      <c r="JQ21" s="44">
        <v>0</v>
      </c>
      <c r="JR21" s="50">
        <v>0</v>
      </c>
      <c r="JS21" s="50">
        <v>0</v>
      </c>
      <c r="JT21" s="44">
        <v>0</v>
      </c>
      <c r="JU21" s="50">
        <v>0</v>
      </c>
      <c r="JV21" s="50">
        <v>0</v>
      </c>
      <c r="JW21" s="44">
        <v>0</v>
      </c>
      <c r="JX21" s="50">
        <v>0</v>
      </c>
      <c r="JY21" s="50">
        <v>0</v>
      </c>
      <c r="JZ21" s="44">
        <v>9.5650000000000006E-3</v>
      </c>
      <c r="KA21" s="50">
        <v>0</v>
      </c>
      <c r="KB21" s="50">
        <v>9.5650000000000006E-3</v>
      </c>
      <c r="KC21" s="44">
        <v>-9.5650000000000006E-3</v>
      </c>
      <c r="KD21" s="50">
        <v>0</v>
      </c>
      <c r="KE21" s="50">
        <v>-9.5650000000000006E-3</v>
      </c>
      <c r="KF21" s="44">
        <f t="shared" si="37"/>
        <v>0</v>
      </c>
      <c r="KG21" s="50">
        <f t="shared" si="3"/>
        <v>0</v>
      </c>
      <c r="KH21" s="50">
        <f t="shared" si="4"/>
        <v>0</v>
      </c>
      <c r="KI21" s="50">
        <v>0</v>
      </c>
      <c r="KJ21" s="44">
        <v>1.7049999999999999E-3</v>
      </c>
      <c r="KK21" s="50">
        <v>0</v>
      </c>
      <c r="KL21" s="50">
        <v>1.7049999999999999E-3</v>
      </c>
      <c r="KM21" s="44">
        <v>6.1009999999999997E-3</v>
      </c>
      <c r="KN21" s="50">
        <v>0</v>
      </c>
      <c r="KO21" s="50">
        <v>6.1009999999999997E-3</v>
      </c>
      <c r="KP21" s="44">
        <v>-7.8050000000000003E-3</v>
      </c>
      <c r="KQ21" s="50">
        <v>0</v>
      </c>
      <c r="KR21" s="50">
        <v>-7.8050000000000003E-3</v>
      </c>
      <c r="KS21" s="50">
        <v>0</v>
      </c>
      <c r="KT21" s="50">
        <v>0</v>
      </c>
      <c r="KU21" s="50"/>
      <c r="KV21" s="50"/>
      <c r="KW21" s="50"/>
      <c r="KX21" s="50">
        <v>0</v>
      </c>
      <c r="KY21" s="50">
        <v>0</v>
      </c>
      <c r="KZ21" s="50"/>
      <c r="LA21" s="50"/>
      <c r="LB21" s="44">
        <v>0</v>
      </c>
      <c r="LC21" s="50"/>
      <c r="LD21" s="50">
        <v>0</v>
      </c>
      <c r="LE21" s="44"/>
      <c r="LF21" s="44">
        <v>0</v>
      </c>
      <c r="LG21" s="44">
        <v>0</v>
      </c>
      <c r="LH21" s="44">
        <v>0</v>
      </c>
      <c r="LI21" s="50">
        <v>0</v>
      </c>
      <c r="LJ21" s="50">
        <v>0</v>
      </c>
      <c r="LK21" s="44">
        <v>0</v>
      </c>
      <c r="LL21" s="50">
        <v>0</v>
      </c>
      <c r="LM21" s="50">
        <v>0</v>
      </c>
      <c r="LN21" s="44">
        <v>0</v>
      </c>
      <c r="LO21" s="50">
        <v>0</v>
      </c>
      <c r="LP21" s="50">
        <v>0</v>
      </c>
      <c r="LQ21" s="44">
        <v>0</v>
      </c>
      <c r="LR21" s="50">
        <v>0</v>
      </c>
      <c r="LS21" s="50">
        <v>0</v>
      </c>
      <c r="LT21" s="44">
        <f t="shared" si="58"/>
        <v>9.9999999999926537E-7</v>
      </c>
      <c r="LU21" s="50">
        <f t="shared" si="5"/>
        <v>0</v>
      </c>
      <c r="LV21" s="50">
        <f t="shared" si="5"/>
        <v>9.9999999999926537E-7</v>
      </c>
      <c r="LW21" s="50"/>
      <c r="LX21" s="44">
        <v>0</v>
      </c>
      <c r="LY21" s="50">
        <v>0</v>
      </c>
      <c r="LZ21" s="50">
        <v>0</v>
      </c>
      <c r="MA21" s="44">
        <v>9.3035999999999994E-2</v>
      </c>
      <c r="MB21" s="50">
        <v>0</v>
      </c>
      <c r="MC21" s="50">
        <v>9.3035999999999994E-2</v>
      </c>
      <c r="MD21" s="44">
        <v>-9.0475E-2</v>
      </c>
      <c r="ME21" s="50">
        <v>0</v>
      </c>
      <c r="MF21" s="50">
        <v>-9.0475E-2</v>
      </c>
      <c r="MG21" s="44">
        <v>7.5248999999999996E-2</v>
      </c>
      <c r="MH21" s="50">
        <v>0</v>
      </c>
      <c r="MI21" s="50">
        <v>7.5248999999999996E-2</v>
      </c>
      <c r="MJ21" s="44">
        <v>-2.0806999999999999E-2</v>
      </c>
      <c r="MK21" s="50">
        <v>0</v>
      </c>
      <c r="ML21" s="50">
        <v>-2.0806999999999999E-2</v>
      </c>
      <c r="MM21" s="44">
        <v>-5.7002999999999998E-2</v>
      </c>
      <c r="MN21" s="50">
        <v>0</v>
      </c>
      <c r="MO21" s="50">
        <v>-5.7002999999999998E-2</v>
      </c>
      <c r="MP21" s="44">
        <v>0.160362</v>
      </c>
      <c r="MQ21" s="50">
        <v>0</v>
      </c>
      <c r="MR21" s="50">
        <v>0.160362</v>
      </c>
      <c r="MS21" s="44">
        <v>-1.495438</v>
      </c>
      <c r="MT21" s="50">
        <v>0</v>
      </c>
      <c r="MU21" s="50">
        <v>-1.495438</v>
      </c>
      <c r="MV21" s="44">
        <v>0</v>
      </c>
      <c r="MW21" s="50">
        <v>0</v>
      </c>
      <c r="MX21" s="50">
        <v>0</v>
      </c>
      <c r="MY21" s="44">
        <v>0</v>
      </c>
      <c r="MZ21" s="50">
        <v>0</v>
      </c>
      <c r="NA21" s="50">
        <v>0</v>
      </c>
      <c r="NB21" s="44">
        <v>0</v>
      </c>
      <c r="NC21" s="50">
        <v>0</v>
      </c>
      <c r="ND21" s="50">
        <v>0</v>
      </c>
      <c r="NE21" s="44">
        <v>0</v>
      </c>
      <c r="NF21" s="50">
        <v>0</v>
      </c>
      <c r="NG21" s="50">
        <v>0</v>
      </c>
      <c r="NH21" s="44">
        <f t="shared" si="59"/>
        <v>-1.3350759999999999</v>
      </c>
      <c r="NI21" s="50">
        <f t="shared" si="6"/>
        <v>0</v>
      </c>
      <c r="NJ21" s="50">
        <f t="shared" si="7"/>
        <v>-1.3350759999999999</v>
      </c>
      <c r="NK21" s="50"/>
      <c r="NL21" s="50">
        <v>2.6068999999999998E-2</v>
      </c>
      <c r="NM21" s="50">
        <v>0</v>
      </c>
      <c r="NN21" s="50">
        <v>2.6068999999999998E-2</v>
      </c>
      <c r="NO21" s="50">
        <v>4.6430000000000004E-3</v>
      </c>
      <c r="NP21" s="50">
        <v>0</v>
      </c>
      <c r="NQ21" s="50">
        <v>4.6430000000000004E-3</v>
      </c>
      <c r="NR21" s="50">
        <v>-3.0712E-2</v>
      </c>
      <c r="NS21" s="50"/>
      <c r="NT21" s="50">
        <v>-3.0712E-2</v>
      </c>
      <c r="NU21" s="50">
        <v>7.9422999999999994E-2</v>
      </c>
      <c r="NV21" s="50"/>
      <c r="NW21" s="50">
        <v>7.9422999999999994E-2</v>
      </c>
      <c r="NX21" s="50">
        <v>2.0233000000000001E-2</v>
      </c>
      <c r="NY21" s="50"/>
      <c r="NZ21" s="50">
        <v>2.0233000000000001E-2</v>
      </c>
      <c r="OA21" s="50">
        <v>4.3660999999999998E-2</v>
      </c>
      <c r="OB21" s="50"/>
      <c r="OC21" s="50">
        <v>4.3660999999999998E-2</v>
      </c>
      <c r="OD21" s="50">
        <v>2.8944999999999999E-2</v>
      </c>
      <c r="OE21" s="50"/>
      <c r="OF21" s="50">
        <v>2.8944999999999999E-2</v>
      </c>
      <c r="OG21" s="50">
        <v>3.1877999999999997E-2</v>
      </c>
      <c r="OH21" s="50"/>
      <c r="OI21" s="94">
        <v>3.1877999999999997E-2</v>
      </c>
      <c r="OJ21" s="50">
        <v>1.4572999999999999E-2</v>
      </c>
      <c r="OK21" s="50"/>
      <c r="OL21" s="50">
        <v>1.4572999999999999E-2</v>
      </c>
      <c r="OM21" s="50">
        <v>-0.12126199999999999</v>
      </c>
      <c r="ON21" s="50"/>
      <c r="OO21" s="50">
        <v>-0.12126199999999999</v>
      </c>
      <c r="OP21" s="50">
        <v>0.16663500000000001</v>
      </c>
      <c r="OQ21" s="50"/>
      <c r="OR21" s="50">
        <v>0.16663500000000001</v>
      </c>
      <c r="OS21" s="50">
        <v>-0.26408599999999999</v>
      </c>
      <c r="OT21" s="50"/>
      <c r="OU21" s="50">
        <v>-0.26408599999999999</v>
      </c>
      <c r="OV21" s="44">
        <f t="shared" si="60"/>
        <v>0</v>
      </c>
      <c r="OW21" s="50">
        <f t="shared" si="68"/>
        <v>0</v>
      </c>
      <c r="OX21" s="50">
        <f t="shared" si="9"/>
        <v>0</v>
      </c>
      <c r="OY21" s="85"/>
      <c r="OZ21" s="85">
        <v>0</v>
      </c>
      <c r="PA21" s="36"/>
      <c r="PB21" s="117"/>
      <c r="PC21" s="50">
        <v>3.1004E-2</v>
      </c>
      <c r="PD21" s="50"/>
      <c r="PE21" s="50">
        <v>3.1004E-2</v>
      </c>
      <c r="PF21" s="85">
        <v>-3.1004E-2</v>
      </c>
      <c r="PG21" s="50"/>
      <c r="PH21" s="50">
        <v>-3.1004E-2</v>
      </c>
      <c r="PI21" s="85">
        <v>2.2985999999999999E-2</v>
      </c>
      <c r="PJ21" s="50"/>
      <c r="PK21" s="50">
        <v>2.2985999999999999E-2</v>
      </c>
      <c r="PL21" s="50">
        <v>-2.2985999999999999E-2</v>
      </c>
      <c r="PM21" s="50"/>
      <c r="PN21" s="50">
        <v>-2.2985999999999999E-2</v>
      </c>
      <c r="PO21" s="50">
        <v>2.3000000000000001E-4</v>
      </c>
      <c r="PP21" s="50"/>
      <c r="PQ21" s="50">
        <v>2.3000000000000001E-4</v>
      </c>
      <c r="PR21" s="50">
        <v>5.7507999999999997E-2</v>
      </c>
      <c r="PS21" s="50"/>
      <c r="PT21" s="50">
        <v>5.7507999999999997E-2</v>
      </c>
      <c r="PU21" s="50">
        <v>-5.7507999999999997E-2</v>
      </c>
      <c r="PV21" s="50"/>
      <c r="PW21" s="50">
        <v>-5.7507999999999997E-2</v>
      </c>
      <c r="PX21" s="50">
        <v>0</v>
      </c>
      <c r="PY21" s="50"/>
      <c r="PZ21" s="50"/>
      <c r="QA21" s="50">
        <v>3.5874000000000003E-2</v>
      </c>
      <c r="QB21" s="50"/>
      <c r="QC21" s="50">
        <v>3.5874000000000003E-2</v>
      </c>
      <c r="QD21" s="50">
        <v>0.33335999999999999</v>
      </c>
      <c r="QE21" s="50"/>
      <c r="QF21" s="50">
        <v>0.33335999999999999</v>
      </c>
      <c r="QG21" s="50">
        <v>-0.350632</v>
      </c>
      <c r="QH21" s="50"/>
      <c r="QI21" s="50">
        <v>-0.350632</v>
      </c>
      <c r="QJ21" s="44">
        <f t="shared" si="38"/>
        <v>1.8832000000000015E-2</v>
      </c>
      <c r="QK21" s="50">
        <f t="shared" si="39"/>
        <v>0</v>
      </c>
      <c r="QL21" s="248">
        <f t="shared" si="40"/>
        <v>1.8832000000000015E-2</v>
      </c>
      <c r="QM21" s="50">
        <v>4.79E-3</v>
      </c>
      <c r="QN21" s="50">
        <v>0</v>
      </c>
      <c r="QO21" s="50"/>
      <c r="QP21" s="50"/>
      <c r="QQ21" s="50">
        <v>0</v>
      </c>
      <c r="QR21" s="50"/>
      <c r="QS21" s="50"/>
      <c r="QT21" s="50"/>
      <c r="QU21" s="50"/>
      <c r="QV21" s="50"/>
      <c r="QW21" s="50">
        <v>0</v>
      </c>
      <c r="QX21" s="50"/>
      <c r="QY21" s="50"/>
      <c r="QZ21" s="50">
        <v>0</v>
      </c>
      <c r="RA21" s="50"/>
      <c r="RB21" s="50"/>
      <c r="RC21" s="50">
        <v>0</v>
      </c>
      <c r="RD21" s="50"/>
      <c r="RE21" s="50"/>
      <c r="RF21" s="50">
        <v>0</v>
      </c>
      <c r="RG21" s="50"/>
      <c r="RH21" s="50"/>
      <c r="RI21" s="50">
        <v>0</v>
      </c>
      <c r="RJ21" s="50"/>
      <c r="RK21" s="50"/>
      <c r="RL21" s="50">
        <v>4.2236000000000003E-2</v>
      </c>
      <c r="RM21" s="50"/>
      <c r="RN21" s="50">
        <v>4.2236000000000003E-2</v>
      </c>
      <c r="RO21" s="50">
        <v>-4.2236000000000003E-2</v>
      </c>
      <c r="RP21" s="50"/>
      <c r="RQ21" s="50">
        <v>-4.2236000000000003E-2</v>
      </c>
      <c r="RR21" s="50">
        <v>4.7187E-2</v>
      </c>
      <c r="RS21" s="50"/>
      <c r="RT21" s="50">
        <v>4.7187E-2</v>
      </c>
      <c r="RU21" s="50">
        <v>-4.7187E-2</v>
      </c>
      <c r="RV21" s="50"/>
      <c r="RW21" s="50">
        <v>-4.7187E-2</v>
      </c>
      <c r="RX21" s="44">
        <f t="shared" si="41"/>
        <v>0</v>
      </c>
      <c r="RY21" s="50">
        <f t="shared" si="42"/>
        <v>0</v>
      </c>
      <c r="RZ21" s="248">
        <f t="shared" si="43"/>
        <v>0</v>
      </c>
      <c r="SA21" s="248"/>
      <c r="SB21" s="50">
        <v>1.763E-3</v>
      </c>
      <c r="SC21" s="50"/>
      <c r="SD21" s="50">
        <v>1.763E-3</v>
      </c>
      <c r="SE21" s="50">
        <v>-1.763E-3</v>
      </c>
      <c r="SF21" s="50"/>
      <c r="SG21" s="50">
        <v>-1.763E-3</v>
      </c>
      <c r="SH21" s="50">
        <v>0</v>
      </c>
      <c r="SI21" s="50"/>
      <c r="SJ21" s="50"/>
      <c r="SK21" s="50">
        <v>0</v>
      </c>
      <c r="SL21" s="50"/>
      <c r="SM21" s="50"/>
      <c r="SN21" s="50">
        <f t="shared" si="44"/>
        <v>0</v>
      </c>
      <c r="SO21" s="50"/>
      <c r="SP21" s="50"/>
      <c r="SQ21" s="50">
        <v>0</v>
      </c>
      <c r="SR21" s="50"/>
      <c r="SS21" s="50"/>
      <c r="ST21" s="50">
        <v>0</v>
      </c>
      <c r="SU21" s="50"/>
      <c r="SV21" s="50"/>
      <c r="SW21" s="50">
        <v>0</v>
      </c>
      <c r="SX21" s="50"/>
      <c r="SY21" s="50"/>
      <c r="SZ21" s="50">
        <v>0</v>
      </c>
      <c r="TA21" s="50"/>
      <c r="TB21" s="50"/>
      <c r="TC21" s="50"/>
      <c r="TD21" s="50"/>
      <c r="TE21" s="50"/>
      <c r="TF21" s="50">
        <v>0</v>
      </c>
      <c r="TG21" s="50"/>
      <c r="TH21" s="50"/>
      <c r="TI21" s="50">
        <v>0</v>
      </c>
      <c r="TJ21" s="50"/>
      <c r="TK21" s="50"/>
      <c r="TL21" s="44">
        <f t="shared" si="45"/>
        <v>0</v>
      </c>
      <c r="TM21" s="50">
        <f t="shared" si="46"/>
        <v>0</v>
      </c>
      <c r="TN21" s="248">
        <f t="shared" si="47"/>
        <v>0</v>
      </c>
      <c r="TO21" s="50">
        <v>0</v>
      </c>
      <c r="TP21" s="50"/>
      <c r="TQ21" s="50"/>
      <c r="TR21" s="50">
        <f t="shared" si="48"/>
        <v>0</v>
      </c>
      <c r="TS21" s="50"/>
      <c r="TT21" s="50"/>
      <c r="TU21" s="50">
        <v>0</v>
      </c>
      <c r="TV21" s="50"/>
      <c r="TW21" s="50"/>
      <c r="TX21" s="50">
        <f t="shared" si="49"/>
        <v>0</v>
      </c>
      <c r="TY21" s="50"/>
      <c r="TZ21" s="50"/>
      <c r="UA21" s="50"/>
      <c r="UB21" s="50"/>
      <c r="UC21" s="50"/>
      <c r="UD21" s="50"/>
      <c r="UE21" s="50"/>
      <c r="UF21" s="50"/>
      <c r="UG21" s="50"/>
      <c r="UH21" s="50"/>
      <c r="UI21" s="50"/>
      <c r="UJ21" s="50"/>
      <c r="UK21" s="50"/>
      <c r="UL21" s="50"/>
      <c r="UM21" s="50"/>
      <c r="UN21" s="50"/>
      <c r="UO21" s="50"/>
      <c r="UP21" s="50"/>
      <c r="UQ21" s="50"/>
      <c r="UR21" s="50"/>
      <c r="US21" s="50"/>
      <c r="UT21" s="50"/>
      <c r="UU21" s="50"/>
      <c r="UV21" s="50"/>
      <c r="UW21" s="50"/>
      <c r="UX21" s="50"/>
      <c r="UY21" s="292">
        <f t="shared" si="50"/>
        <v>0</v>
      </c>
      <c r="UZ21" s="276">
        <f t="shared" si="51"/>
        <v>0</v>
      </c>
      <c r="VA21" s="276">
        <f t="shared" si="52"/>
        <v>0</v>
      </c>
      <c r="VB21" s="292">
        <f t="shared" si="53"/>
        <v>0</v>
      </c>
      <c r="VC21" s="276">
        <f t="shared" si="54"/>
        <v>0</v>
      </c>
      <c r="VD21" s="276">
        <f t="shared" si="55"/>
        <v>0</v>
      </c>
      <c r="VE21" s="277">
        <f t="shared" si="56"/>
        <v>0</v>
      </c>
      <c r="VF21" s="277" t="e">
        <f t="shared" si="57"/>
        <v>#DIV/0!</v>
      </c>
    </row>
    <row r="22" spans="1:578" s="12" customFormat="1" ht="20.25" customHeight="1">
      <c r="A22" s="51" t="s">
        <v>238</v>
      </c>
      <c r="B22" s="13" t="s">
        <v>109</v>
      </c>
      <c r="C22" s="51" t="s">
        <v>110</v>
      </c>
      <c r="D22" s="42">
        <v>0</v>
      </c>
      <c r="E22" s="42">
        <v>0</v>
      </c>
      <c r="F22" s="42">
        <v>0</v>
      </c>
      <c r="G22" s="42">
        <v>0</v>
      </c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42">
        <v>0</v>
      </c>
      <c r="U22" s="42">
        <v>0</v>
      </c>
      <c r="V22" s="42">
        <v>0</v>
      </c>
      <c r="W22" s="42">
        <v>0</v>
      </c>
      <c r="X22" s="42">
        <v>2.6677423577555051E-2</v>
      </c>
      <c r="Y22" s="42">
        <v>1.5933318535466503E-2</v>
      </c>
      <c r="Z22" s="42">
        <v>1.5347095349485775E-2</v>
      </c>
      <c r="AA22" s="42">
        <v>-2.3491613593548131E-3</v>
      </c>
      <c r="AB22" s="42">
        <v>8.167284193032481E-3</v>
      </c>
      <c r="AC22" s="42">
        <v>1.3548585380845869E-2</v>
      </c>
      <c r="AD22" s="42">
        <v>0.13268564208513325</v>
      </c>
      <c r="AE22" s="42">
        <v>3.8004906062003067E-3</v>
      </c>
      <c r="AF22" s="42">
        <v>0.15413970324585516</v>
      </c>
      <c r="AG22" s="42">
        <v>8.5222907097853753E-2</v>
      </c>
      <c r="AH22" s="42">
        <v>3.2726051644555241E-5</v>
      </c>
      <c r="AI22" s="42">
        <v>0.25237904166737812</v>
      </c>
      <c r="AJ22" s="42">
        <v>0.70558505643109592</v>
      </c>
      <c r="AK22" s="42">
        <v>0</v>
      </c>
      <c r="AL22" s="42">
        <v>0.70558505643109592</v>
      </c>
      <c r="AM22" s="42">
        <v>0.69265114999999999</v>
      </c>
      <c r="AN22" s="42">
        <v>8.587315951531295E-2</v>
      </c>
      <c r="AO22" s="42">
        <v>4.5271512398904958E-2</v>
      </c>
      <c r="AP22" s="42">
        <v>2.3808914007319253E-2</v>
      </c>
      <c r="AQ22" s="42">
        <v>4.8262388944855177E-2</v>
      </c>
      <c r="AR22" s="42">
        <v>5.3687799158798191E-2</v>
      </c>
      <c r="AS22" s="42">
        <v>0.15028514351085082</v>
      </c>
      <c r="AT22" s="42">
        <v>7.1460890945412942E-2</v>
      </c>
      <c r="AU22" s="42">
        <v>0.1267977985327346</v>
      </c>
      <c r="AV22" s="42">
        <v>5.8448728237175659E-2</v>
      </c>
      <c r="AW22" s="42">
        <v>-1.4228718106328365E-6</v>
      </c>
      <c r="AX22" s="42">
        <v>2.1357305877598874E-3</v>
      </c>
      <c r="AY22" s="42">
        <v>0.23611277112822351</v>
      </c>
      <c r="AZ22" s="42">
        <v>0.90214341409553733</v>
      </c>
      <c r="BA22" s="42">
        <v>0</v>
      </c>
      <c r="BB22" s="42">
        <v>0.90214341409553733</v>
      </c>
      <c r="BC22" s="42">
        <v>0.92323179720092652</v>
      </c>
      <c r="BD22" s="49">
        <v>0.104036</v>
      </c>
      <c r="BE22" s="42"/>
      <c r="BF22" s="49">
        <f>BD22+BE22</f>
        <v>0.104036</v>
      </c>
      <c r="BG22" s="44">
        <v>2.0156E-2</v>
      </c>
      <c r="BH22" s="42"/>
      <c r="BI22" s="44">
        <f>BG22+BH22</f>
        <v>2.0156E-2</v>
      </c>
      <c r="BJ22" s="44">
        <v>0.201487</v>
      </c>
      <c r="BK22" s="44"/>
      <c r="BL22" s="44">
        <f>BJ22+BK22</f>
        <v>0.201487</v>
      </c>
      <c r="BM22" s="44">
        <v>-1.121E-3</v>
      </c>
      <c r="BN22" s="44"/>
      <c r="BO22" s="44">
        <f>BM22+BN22</f>
        <v>-1.121E-3</v>
      </c>
      <c r="BP22" s="44">
        <v>7.7262999999999998E-2</v>
      </c>
      <c r="BQ22" s="44"/>
      <c r="BR22" s="44">
        <f>BP22+BQ22</f>
        <v>7.7262999999999998E-2</v>
      </c>
      <c r="BS22" s="44">
        <v>8.1752000000000005E-2</v>
      </c>
      <c r="BT22" s="42"/>
      <c r="BU22" s="44">
        <f>BS22+BT22</f>
        <v>8.1752000000000005E-2</v>
      </c>
      <c r="BV22" s="44">
        <v>0.135266</v>
      </c>
      <c r="BW22" s="42"/>
      <c r="BX22" s="44">
        <f>BV22+BW22</f>
        <v>0.135266</v>
      </c>
      <c r="BY22" s="44">
        <v>5.0148999999999999E-2</v>
      </c>
      <c r="BZ22" s="42"/>
      <c r="CA22" s="44">
        <f>BY22+BZ22</f>
        <v>5.0148999999999999E-2</v>
      </c>
      <c r="CB22" s="44">
        <v>0.144814</v>
      </c>
      <c r="CC22" s="42"/>
      <c r="CD22" s="44">
        <f>CB22+CC22</f>
        <v>0.144814</v>
      </c>
      <c r="CE22" s="44">
        <v>3.4508999999999998E-2</v>
      </c>
      <c r="CF22" s="44"/>
      <c r="CG22" s="44">
        <f>CE22+CF22</f>
        <v>3.4508999999999998E-2</v>
      </c>
      <c r="CH22" s="44">
        <v>7.3894000000000001E-2</v>
      </c>
      <c r="CI22" s="42"/>
      <c r="CJ22" s="44">
        <f>CH22+CI22</f>
        <v>7.3894000000000001E-2</v>
      </c>
      <c r="CK22" s="44">
        <v>6.8261000000000002E-2</v>
      </c>
      <c r="CL22" s="42"/>
      <c r="CM22" s="44">
        <f>CK22+CL22</f>
        <v>6.8261000000000002E-2</v>
      </c>
      <c r="CN22" s="50">
        <f t="shared" si="20"/>
        <v>0.99046599999999996</v>
      </c>
      <c r="CO22" s="50"/>
      <c r="CP22" s="50">
        <f t="shared" si="21"/>
        <v>0.99046599999999996</v>
      </c>
      <c r="CQ22" s="50">
        <v>0.990506</v>
      </c>
      <c r="CR22" s="44">
        <v>0.261876</v>
      </c>
      <c r="CS22" s="42"/>
      <c r="CT22" s="44">
        <f>CR22+CS22</f>
        <v>0.261876</v>
      </c>
      <c r="CU22" s="44">
        <v>3.3549000000000002E-2</v>
      </c>
      <c r="CV22" s="44">
        <v>0</v>
      </c>
      <c r="CW22" s="44">
        <v>3.3549000000000002E-2</v>
      </c>
      <c r="CX22" s="44">
        <v>0.163688</v>
      </c>
      <c r="CY22" s="44">
        <v>0</v>
      </c>
      <c r="CZ22" s="44">
        <v>0.163688</v>
      </c>
      <c r="DA22" s="44">
        <v>3.8745000000000002E-2</v>
      </c>
      <c r="DB22" s="44">
        <v>0</v>
      </c>
      <c r="DC22" s="44">
        <v>3.8745000000000002E-2</v>
      </c>
      <c r="DD22" s="44">
        <v>0.193638</v>
      </c>
      <c r="DE22" s="44">
        <v>0</v>
      </c>
      <c r="DF22" s="44">
        <v>0.193638</v>
      </c>
      <c r="DG22" s="44">
        <v>1.0093E-2</v>
      </c>
      <c r="DH22" s="44">
        <v>0</v>
      </c>
      <c r="DI22" s="44">
        <v>1.0093E-2</v>
      </c>
      <c r="DJ22" s="44">
        <v>9.5321000000000003E-2</v>
      </c>
      <c r="DK22" s="44">
        <v>0</v>
      </c>
      <c r="DL22" s="44">
        <v>9.5321000000000003E-2</v>
      </c>
      <c r="DM22" s="44">
        <v>8.4168999999999994E-2</v>
      </c>
      <c r="DN22" s="44">
        <v>0</v>
      </c>
      <c r="DO22" s="44">
        <v>8.4168999999999994E-2</v>
      </c>
      <c r="DP22" s="44">
        <v>7.7499999999999997E-4</v>
      </c>
      <c r="DQ22" s="44">
        <v>0</v>
      </c>
      <c r="DR22" s="44">
        <v>7.7499999999999997E-4</v>
      </c>
      <c r="DS22" s="44">
        <v>6.0675E-2</v>
      </c>
      <c r="DT22" s="44">
        <v>0</v>
      </c>
      <c r="DU22" s="44">
        <v>6.0675E-2</v>
      </c>
      <c r="DV22" s="44">
        <v>9.4825000000000007E-2</v>
      </c>
      <c r="DW22" s="44">
        <v>0</v>
      </c>
      <c r="DX22" s="44">
        <v>9.4825000000000007E-2</v>
      </c>
      <c r="DY22" s="44">
        <v>0.20699100000000001</v>
      </c>
      <c r="DZ22" s="44">
        <v>0</v>
      </c>
      <c r="EA22" s="44">
        <v>0.20699100000000001</v>
      </c>
      <c r="EB22" s="44">
        <f t="shared" si="22"/>
        <v>1.2443449999999998</v>
      </c>
      <c r="EC22" s="50">
        <f t="shared" si="23"/>
        <v>0</v>
      </c>
      <c r="ED22" s="50">
        <f t="shared" si="24"/>
        <v>1.2443449999999998</v>
      </c>
      <c r="EE22" s="140">
        <v>1.2699199999999999</v>
      </c>
      <c r="EF22" s="50">
        <v>1.4999999999999999E-4</v>
      </c>
      <c r="EG22" s="50">
        <v>0</v>
      </c>
      <c r="EH22" s="50">
        <v>1.4999999999999999E-4</v>
      </c>
      <c r="EI22" s="50">
        <v>0</v>
      </c>
      <c r="EJ22" s="50">
        <v>0</v>
      </c>
      <c r="EK22" s="50">
        <v>0</v>
      </c>
      <c r="EL22" s="50">
        <v>0</v>
      </c>
      <c r="EM22" s="50">
        <v>0</v>
      </c>
      <c r="EN22" s="50">
        <v>0</v>
      </c>
      <c r="EO22" s="50">
        <v>0</v>
      </c>
      <c r="EP22" s="50">
        <v>0</v>
      </c>
      <c r="EQ22" s="50">
        <v>0</v>
      </c>
      <c r="ER22" s="50">
        <v>4.3375999999999998E-2</v>
      </c>
      <c r="ES22" s="50">
        <v>0</v>
      </c>
      <c r="ET22" s="50">
        <v>4.3375999999999998E-2</v>
      </c>
      <c r="EU22" s="50">
        <v>4.9966000000000003E-2</v>
      </c>
      <c r="EV22" s="50">
        <v>0</v>
      </c>
      <c r="EW22" s="50">
        <v>4.9966000000000003E-2</v>
      </c>
      <c r="EX22" s="50">
        <v>5.4359999999999999E-3</v>
      </c>
      <c r="EY22" s="50">
        <v>0</v>
      </c>
      <c r="EZ22" s="50">
        <v>5.4359999999999999E-3</v>
      </c>
      <c r="FA22" s="50">
        <v>1.835E-3</v>
      </c>
      <c r="FB22" s="50">
        <v>0</v>
      </c>
      <c r="FC22" s="50">
        <v>1.835E-3</v>
      </c>
      <c r="FD22" s="50">
        <v>3.6867999999999998E-2</v>
      </c>
      <c r="FE22" s="50">
        <v>0</v>
      </c>
      <c r="FF22" s="50">
        <v>3.6867999999999998E-2</v>
      </c>
      <c r="FG22" s="50">
        <v>1.6240000000000001E-2</v>
      </c>
      <c r="FH22" s="50">
        <v>0</v>
      </c>
      <c r="FI22" s="50">
        <v>1.6240000000000001E-2</v>
      </c>
      <c r="FJ22" s="50">
        <v>1.3901999999999999E-2</v>
      </c>
      <c r="FK22" s="50">
        <v>0</v>
      </c>
      <c r="FL22" s="50">
        <v>1.3901999999999999E-2</v>
      </c>
      <c r="FM22" s="50">
        <v>0.46441199999999999</v>
      </c>
      <c r="FN22" s="50">
        <v>0</v>
      </c>
      <c r="FO22" s="50">
        <v>0.46441199999999999</v>
      </c>
      <c r="FP22" s="50">
        <f t="shared" si="25"/>
        <v>0.632185</v>
      </c>
      <c r="FQ22" s="50">
        <f t="shared" si="26"/>
        <v>0</v>
      </c>
      <c r="FR22" s="50">
        <f t="shared" si="27"/>
        <v>0.632185</v>
      </c>
      <c r="FS22" s="94">
        <v>0.65259999999999996</v>
      </c>
      <c r="FT22" s="50">
        <v>2.1921E-2</v>
      </c>
      <c r="FU22" s="50">
        <v>0</v>
      </c>
      <c r="FV22" s="50">
        <v>2.1921E-2</v>
      </c>
      <c r="FW22" s="50">
        <v>2.7980000000000001E-2</v>
      </c>
      <c r="FX22" s="50">
        <v>0</v>
      </c>
      <c r="FY22" s="50">
        <v>2.7980000000000001E-2</v>
      </c>
      <c r="FZ22" s="50">
        <v>2.2853999999999999E-2</v>
      </c>
      <c r="GA22" s="50">
        <v>0</v>
      </c>
      <c r="GB22" s="50">
        <v>2.2853999999999999E-2</v>
      </c>
      <c r="GC22" s="50">
        <v>3.1737000000000001E-2</v>
      </c>
      <c r="GD22" s="50">
        <v>0</v>
      </c>
      <c r="GE22" s="50">
        <v>3.1737000000000001E-2</v>
      </c>
      <c r="GF22" s="50">
        <v>0.58372800000000002</v>
      </c>
      <c r="GG22" s="50">
        <v>0</v>
      </c>
      <c r="GH22" s="50">
        <v>0.58372800000000002</v>
      </c>
      <c r="GI22" s="50">
        <v>4.3679000000000003E-2</v>
      </c>
      <c r="GJ22" s="50">
        <v>0</v>
      </c>
      <c r="GK22" s="50">
        <v>4.3679000000000003E-2</v>
      </c>
      <c r="GL22" s="50">
        <v>3.2370999999999997E-2</v>
      </c>
      <c r="GM22" s="50">
        <v>0</v>
      </c>
      <c r="GN22" s="50">
        <v>3.2370999999999997E-2</v>
      </c>
      <c r="GO22" s="50">
        <v>1.1521999999999999E-2</v>
      </c>
      <c r="GP22" s="50">
        <v>0</v>
      </c>
      <c r="GQ22" s="50">
        <v>1.1521999999999999E-2</v>
      </c>
      <c r="GR22" s="50">
        <v>1.1617000000000001E-2</v>
      </c>
      <c r="GS22" s="50">
        <v>0</v>
      </c>
      <c r="GT22" s="50">
        <v>1.1617000000000001E-2</v>
      </c>
      <c r="GU22" s="50">
        <v>1.678E-2</v>
      </c>
      <c r="GV22" s="50">
        <v>0</v>
      </c>
      <c r="GW22" s="50">
        <v>1.678E-2</v>
      </c>
      <c r="GX22" s="50">
        <v>9.2409999999999992E-3</v>
      </c>
      <c r="GY22" s="50">
        <v>0</v>
      </c>
      <c r="GZ22" s="50">
        <v>9.2409999999999992E-3</v>
      </c>
      <c r="HA22" s="50">
        <v>5.1845000000000002E-2</v>
      </c>
      <c r="HB22" s="50">
        <v>0</v>
      </c>
      <c r="HC22" s="50">
        <v>5.1845000000000002E-2</v>
      </c>
      <c r="HD22" s="50">
        <f t="shared" si="28"/>
        <v>0.86527500000000013</v>
      </c>
      <c r="HE22" s="50">
        <f t="shared" si="29"/>
        <v>0</v>
      </c>
      <c r="HF22" s="50">
        <f t="shared" si="30"/>
        <v>0.86527500000000013</v>
      </c>
      <c r="HG22" s="50">
        <v>0.88947299999999996</v>
      </c>
      <c r="HH22" s="50">
        <v>1.2475E-2</v>
      </c>
      <c r="HI22" s="50">
        <v>0</v>
      </c>
      <c r="HJ22" s="50">
        <v>1.2475E-2</v>
      </c>
      <c r="HK22" s="50">
        <v>1.9324000000000001E-2</v>
      </c>
      <c r="HL22" s="50">
        <v>0</v>
      </c>
      <c r="HM22" s="50">
        <v>1.9324000000000001E-2</v>
      </c>
      <c r="HN22" s="50">
        <v>0.12979099999999999</v>
      </c>
      <c r="HO22" s="50">
        <v>0</v>
      </c>
      <c r="HP22" s="50">
        <v>0.12979099999999999</v>
      </c>
      <c r="HQ22" s="50">
        <v>2.5975999999999999E-2</v>
      </c>
      <c r="HR22" s="50">
        <v>0</v>
      </c>
      <c r="HS22" s="50">
        <v>2.5975999999999999E-2</v>
      </c>
      <c r="HT22" s="50">
        <v>7.9186000000000006E-2</v>
      </c>
      <c r="HU22" s="50">
        <v>0</v>
      </c>
      <c r="HV22" s="50">
        <v>7.9186000000000006E-2</v>
      </c>
      <c r="HW22" s="50">
        <v>0.104529</v>
      </c>
      <c r="HX22" s="50">
        <v>0</v>
      </c>
      <c r="HY22" s="50">
        <v>0.104529</v>
      </c>
      <c r="HZ22" s="50">
        <v>0.106601</v>
      </c>
      <c r="IA22" s="50">
        <v>0</v>
      </c>
      <c r="IB22" s="50">
        <v>0.106601</v>
      </c>
      <c r="IC22" s="50">
        <v>9.6274999999999999E-2</v>
      </c>
      <c r="ID22" s="50">
        <v>0</v>
      </c>
      <c r="IE22" s="50">
        <v>9.6274999999999999E-2</v>
      </c>
      <c r="IF22" s="50">
        <v>4.0850999999999998E-2</v>
      </c>
      <c r="IG22" s="50">
        <v>0</v>
      </c>
      <c r="IH22" s="50">
        <v>4.0850999999999998E-2</v>
      </c>
      <c r="II22" s="50">
        <v>5.8851000000000001E-2</v>
      </c>
      <c r="IJ22" s="50">
        <v>0</v>
      </c>
      <c r="IK22" s="50">
        <v>5.8851000000000001E-2</v>
      </c>
      <c r="IL22" s="50">
        <v>0.11928</v>
      </c>
      <c r="IM22" s="50">
        <v>0</v>
      </c>
      <c r="IN22" s="50">
        <v>0.11928</v>
      </c>
      <c r="IO22" s="50">
        <v>0.29438999999999999</v>
      </c>
      <c r="IP22" s="50">
        <v>0</v>
      </c>
      <c r="IQ22" s="50">
        <v>0.29438999999999999</v>
      </c>
      <c r="IR22" s="44">
        <f t="shared" si="34"/>
        <v>1.087529</v>
      </c>
      <c r="IS22" s="50">
        <f t="shared" si="35"/>
        <v>0</v>
      </c>
      <c r="IT22" s="50">
        <f t="shared" si="36"/>
        <v>1.087529</v>
      </c>
      <c r="IU22" s="50">
        <v>1.087631</v>
      </c>
      <c r="IV22" s="44">
        <v>5.0708000000000003E-2</v>
      </c>
      <c r="IW22" s="50">
        <v>0</v>
      </c>
      <c r="IX22" s="50">
        <v>5.0708000000000003E-2</v>
      </c>
      <c r="IY22" s="44">
        <v>9.9590999999999999E-2</v>
      </c>
      <c r="IZ22" s="50">
        <v>0</v>
      </c>
      <c r="JA22" s="50">
        <v>9.9590999999999999E-2</v>
      </c>
      <c r="JB22" s="44">
        <v>0.16909399999999999</v>
      </c>
      <c r="JC22" s="50">
        <v>0</v>
      </c>
      <c r="JD22" s="50">
        <v>0.16909399999999999</v>
      </c>
      <c r="JE22" s="44">
        <v>0.10927199999999999</v>
      </c>
      <c r="JF22" s="50">
        <v>0</v>
      </c>
      <c r="JG22" s="50">
        <v>0.10927199999999999</v>
      </c>
      <c r="JH22" s="44">
        <v>0.20904800000000001</v>
      </c>
      <c r="JI22" s="50">
        <v>0</v>
      </c>
      <c r="JJ22" s="50">
        <v>0.20904800000000001</v>
      </c>
      <c r="JK22" s="44">
        <v>0.28462500000000002</v>
      </c>
      <c r="JL22" s="50">
        <v>0</v>
      </c>
      <c r="JM22" s="50">
        <v>0.28462500000000002</v>
      </c>
      <c r="JN22" s="44">
        <v>0.33952900000000003</v>
      </c>
      <c r="JO22" s="50">
        <v>0</v>
      </c>
      <c r="JP22" s="50">
        <v>0.33952900000000003</v>
      </c>
      <c r="JQ22" s="44">
        <v>7.8048999999999993E-2</v>
      </c>
      <c r="JR22" s="50">
        <v>0</v>
      </c>
      <c r="JS22" s="50">
        <v>7.8048999999999993E-2</v>
      </c>
      <c r="JT22" s="44">
        <v>0.38381599999999999</v>
      </c>
      <c r="JU22" s="50">
        <v>0</v>
      </c>
      <c r="JV22" s="50">
        <v>0.38381599999999999</v>
      </c>
      <c r="JW22" s="44">
        <v>0.32764300000000002</v>
      </c>
      <c r="JX22" s="50">
        <v>0</v>
      </c>
      <c r="JY22" s="50">
        <v>0.32764300000000002</v>
      </c>
      <c r="JZ22" s="44">
        <v>0.36299700000000001</v>
      </c>
      <c r="KA22" s="50">
        <v>0</v>
      </c>
      <c r="KB22" s="50">
        <v>0.36299700000000001</v>
      </c>
      <c r="KC22" s="44">
        <v>0.32155600000000001</v>
      </c>
      <c r="KD22" s="50">
        <v>0</v>
      </c>
      <c r="KE22" s="50">
        <v>0.32155600000000001</v>
      </c>
      <c r="KF22" s="44">
        <f t="shared" si="37"/>
        <v>2.7359280000000004</v>
      </c>
      <c r="KG22" s="50">
        <f t="shared" si="3"/>
        <v>0</v>
      </c>
      <c r="KH22" s="50">
        <f t="shared" si="4"/>
        <v>2.7359280000000004</v>
      </c>
      <c r="KI22" s="50">
        <v>2.7417310000000001</v>
      </c>
      <c r="KJ22" s="44">
        <v>5.5853E-2</v>
      </c>
      <c r="KK22" s="50">
        <v>0</v>
      </c>
      <c r="KL22" s="50">
        <v>5.5853E-2</v>
      </c>
      <c r="KM22" s="44">
        <v>0.15287600000000001</v>
      </c>
      <c r="KN22" s="50">
        <v>0</v>
      </c>
      <c r="KO22" s="50">
        <v>0.15287600000000001</v>
      </c>
      <c r="KP22" s="44">
        <v>0.21851899999999999</v>
      </c>
      <c r="KQ22" s="50">
        <v>0</v>
      </c>
      <c r="KR22" s="50">
        <v>0.21851899999999999</v>
      </c>
      <c r="KS22" s="50">
        <v>0.16875499999999999</v>
      </c>
      <c r="KT22" s="50">
        <v>0</v>
      </c>
      <c r="KU22" s="50">
        <v>0.16875499999999999</v>
      </c>
      <c r="KV22" s="50">
        <v>0.28319499999999997</v>
      </c>
      <c r="KW22" s="50"/>
      <c r="KX22" s="50">
        <v>0.28319499999999997</v>
      </c>
      <c r="KY22" s="50">
        <v>0.228435</v>
      </c>
      <c r="KZ22" s="50">
        <v>0</v>
      </c>
      <c r="LA22" s="50">
        <v>0.228435</v>
      </c>
      <c r="LB22" s="44">
        <v>0.14994199999999999</v>
      </c>
      <c r="LC22" s="50">
        <v>0</v>
      </c>
      <c r="LD22" s="50">
        <v>0.14994199999999999</v>
      </c>
      <c r="LE22" s="44">
        <v>0.248361</v>
      </c>
      <c r="LF22" s="44">
        <v>0</v>
      </c>
      <c r="LG22" s="44">
        <v>0.248361</v>
      </c>
      <c r="LH22" s="44">
        <v>0.32671899999999998</v>
      </c>
      <c r="LI22" s="50">
        <v>0</v>
      </c>
      <c r="LJ22" s="50">
        <v>0.32671899999999998</v>
      </c>
      <c r="LK22" s="44">
        <v>0.121596</v>
      </c>
      <c r="LL22" s="50">
        <v>0</v>
      </c>
      <c r="LM22" s="50">
        <v>0.121596</v>
      </c>
      <c r="LN22" s="44">
        <v>0.24679000000000001</v>
      </c>
      <c r="LO22" s="50">
        <v>0</v>
      </c>
      <c r="LP22" s="50">
        <v>0.24679000000000001</v>
      </c>
      <c r="LQ22" s="44">
        <v>0.51771900000000004</v>
      </c>
      <c r="LR22" s="50">
        <v>0</v>
      </c>
      <c r="LS22" s="50">
        <v>0.51771900000000004</v>
      </c>
      <c r="LT22" s="44">
        <f t="shared" si="58"/>
        <v>2.7187600000000001</v>
      </c>
      <c r="LU22" s="50">
        <f t="shared" si="5"/>
        <v>0</v>
      </c>
      <c r="LV22" s="50">
        <f t="shared" si="5"/>
        <v>2.7187600000000001</v>
      </c>
      <c r="LW22" s="50">
        <v>2.7166220000000001</v>
      </c>
      <c r="LX22" s="44">
        <v>0.112841</v>
      </c>
      <c r="LY22" s="50">
        <v>0</v>
      </c>
      <c r="LZ22" s="50">
        <v>0.112841</v>
      </c>
      <c r="MA22" s="44">
        <v>0.11562500000000001</v>
      </c>
      <c r="MB22" s="50">
        <v>0</v>
      </c>
      <c r="MC22" s="50">
        <v>0.11562500000000001</v>
      </c>
      <c r="MD22" s="44">
        <v>0.39017000000000002</v>
      </c>
      <c r="ME22" s="50">
        <v>0</v>
      </c>
      <c r="MF22" s="50">
        <v>0.39017000000000002</v>
      </c>
      <c r="MG22" s="44">
        <v>0.25467699999999999</v>
      </c>
      <c r="MH22" s="50">
        <v>0</v>
      </c>
      <c r="MI22" s="50">
        <v>0.25467699999999999</v>
      </c>
      <c r="MJ22" s="44">
        <v>0.18557799999999999</v>
      </c>
      <c r="MK22" s="50">
        <v>0</v>
      </c>
      <c r="ML22" s="50">
        <v>0.18557799999999999</v>
      </c>
      <c r="MM22" s="44">
        <v>0.43742900000000001</v>
      </c>
      <c r="MN22" s="50">
        <v>0</v>
      </c>
      <c r="MO22" s="50">
        <v>0.43742900000000001</v>
      </c>
      <c r="MP22" s="44">
        <v>0.123056</v>
      </c>
      <c r="MQ22" s="50">
        <v>0</v>
      </c>
      <c r="MR22" s="50">
        <v>0.123056</v>
      </c>
      <c r="MS22" s="44">
        <v>0.25950499999999999</v>
      </c>
      <c r="MT22" s="50">
        <v>0</v>
      </c>
      <c r="MU22" s="50">
        <v>0.25950499999999999</v>
      </c>
      <c r="MV22" s="44">
        <v>0.440029</v>
      </c>
      <c r="MW22" s="50">
        <v>0</v>
      </c>
      <c r="MX22" s="50">
        <v>0.440029</v>
      </c>
      <c r="MY22" s="44">
        <v>0.37115799999999999</v>
      </c>
      <c r="MZ22" s="50">
        <v>0</v>
      </c>
      <c r="NA22" s="50">
        <v>0.37115799999999999</v>
      </c>
      <c r="NB22" s="44">
        <v>0.30024899999999999</v>
      </c>
      <c r="NC22" s="50">
        <v>0</v>
      </c>
      <c r="ND22" s="50">
        <v>0.30024899999999999</v>
      </c>
      <c r="NE22" s="44">
        <v>0.97245599999999999</v>
      </c>
      <c r="NF22" s="50">
        <v>0</v>
      </c>
      <c r="NG22" s="50">
        <v>0.97245599999999999</v>
      </c>
      <c r="NH22" s="44">
        <f t="shared" si="59"/>
        <v>3.9627730000000003</v>
      </c>
      <c r="NI22" s="50">
        <f t="shared" si="6"/>
        <v>0</v>
      </c>
      <c r="NJ22" s="50">
        <f t="shared" si="7"/>
        <v>3.9627730000000003</v>
      </c>
      <c r="NK22" s="50">
        <v>3.9634809999999998</v>
      </c>
      <c r="NL22" s="50">
        <v>8.6156999999999997E-2</v>
      </c>
      <c r="NM22" s="50">
        <v>0</v>
      </c>
      <c r="NN22" s="50">
        <v>8.6156999999999997E-2</v>
      </c>
      <c r="NO22" s="50">
        <v>0.50380000000000003</v>
      </c>
      <c r="NP22" s="50">
        <v>0</v>
      </c>
      <c r="NQ22" s="50">
        <v>0.50380000000000003</v>
      </c>
      <c r="NR22" s="50">
        <v>0.91681699999999999</v>
      </c>
      <c r="NS22" s="50"/>
      <c r="NT22" s="50">
        <v>0.91681699999999999</v>
      </c>
      <c r="NU22" s="50">
        <v>0.26444299999999998</v>
      </c>
      <c r="NV22" s="50"/>
      <c r="NW22" s="50">
        <v>0.26444299999999998</v>
      </c>
      <c r="NX22" s="50">
        <v>0.68129399999999996</v>
      </c>
      <c r="NY22" s="50"/>
      <c r="NZ22" s="50">
        <v>0.68129399999999996</v>
      </c>
      <c r="OA22" s="50">
        <v>1.001085</v>
      </c>
      <c r="OB22" s="50"/>
      <c r="OC22" s="50">
        <v>1.001085</v>
      </c>
      <c r="OD22" s="50">
        <v>0.43559100000000001</v>
      </c>
      <c r="OE22" s="50"/>
      <c r="OF22" s="50">
        <v>0.43559100000000001</v>
      </c>
      <c r="OG22" s="50">
        <v>0.92122199999999999</v>
      </c>
      <c r="OH22" s="50"/>
      <c r="OI22" s="94">
        <v>0.92122199999999999</v>
      </c>
      <c r="OJ22" s="50">
        <v>1.0297689999999999</v>
      </c>
      <c r="OK22" s="50"/>
      <c r="OL22" s="50">
        <v>1.0297689999999999</v>
      </c>
      <c r="OM22" s="50">
        <v>0.71435999999999999</v>
      </c>
      <c r="ON22" s="50"/>
      <c r="OO22" s="50">
        <v>0.71435999999999999</v>
      </c>
      <c r="OP22" s="50">
        <v>1.2020249999999999</v>
      </c>
      <c r="OQ22" s="50"/>
      <c r="OR22" s="50">
        <v>1.2020249999999999</v>
      </c>
      <c r="OS22" s="50">
        <v>2.1620970000000002</v>
      </c>
      <c r="OT22" s="50"/>
      <c r="OU22" s="50">
        <v>2.1620970000000002</v>
      </c>
      <c r="OV22" s="44">
        <f t="shared" si="60"/>
        <v>9.9186599999999991</v>
      </c>
      <c r="OW22" s="50">
        <f t="shared" si="68"/>
        <v>0</v>
      </c>
      <c r="OX22" s="50">
        <f t="shared" si="9"/>
        <v>9.9186599999999991</v>
      </c>
      <c r="OY22" s="85">
        <v>9.920731</v>
      </c>
      <c r="OZ22" s="85">
        <f>PB22-PA22</f>
        <v>0.542605</v>
      </c>
      <c r="PA22" s="50"/>
      <c r="PB22" s="50">
        <v>0.542605</v>
      </c>
      <c r="PC22" s="50">
        <v>1.1365540000000001</v>
      </c>
      <c r="PD22" s="50"/>
      <c r="PE22" s="50">
        <v>1.1365540000000001</v>
      </c>
      <c r="PF22" s="85">
        <v>2.0558429999999999</v>
      </c>
      <c r="PG22" s="50"/>
      <c r="PH22" s="50">
        <v>2.0558429999999999</v>
      </c>
      <c r="PI22" s="85">
        <v>1.6875089999999999</v>
      </c>
      <c r="PJ22" s="50"/>
      <c r="PK22" s="50">
        <v>1.6875089999999999</v>
      </c>
      <c r="PL22" s="50">
        <v>1.7912360000000001</v>
      </c>
      <c r="PM22" s="50"/>
      <c r="PN22" s="50">
        <v>1.7912360000000001</v>
      </c>
      <c r="PO22" s="50">
        <v>3.2353320000000001</v>
      </c>
      <c r="PP22" s="50"/>
      <c r="PQ22" s="50">
        <v>3.2353320000000001</v>
      </c>
      <c r="PR22" s="50">
        <v>1.313582</v>
      </c>
      <c r="PS22" s="50"/>
      <c r="PT22" s="50">
        <v>1.313582</v>
      </c>
      <c r="PU22" s="50">
        <v>2.398676</v>
      </c>
      <c r="PV22" s="50"/>
      <c r="PW22" s="50">
        <v>2.398676</v>
      </c>
      <c r="PX22" s="50">
        <v>2.973433</v>
      </c>
      <c r="PY22" s="50"/>
      <c r="PZ22" s="50">
        <v>2.973433</v>
      </c>
      <c r="QA22" s="50">
        <v>0.99922500000000003</v>
      </c>
      <c r="QB22" s="50"/>
      <c r="QC22" s="50">
        <v>0.99922500000000003</v>
      </c>
      <c r="QD22" s="50">
        <v>3.2732739999999998</v>
      </c>
      <c r="QE22" s="50"/>
      <c r="QF22" s="50">
        <v>3.2732739999999998</v>
      </c>
      <c r="QG22" s="50">
        <v>3.0123139999999999</v>
      </c>
      <c r="QH22" s="50"/>
      <c r="QI22" s="50">
        <v>3.0123139999999999</v>
      </c>
      <c r="QJ22" s="44">
        <f t="shared" si="38"/>
        <v>24.419582999999999</v>
      </c>
      <c r="QK22" s="50">
        <f t="shared" si="39"/>
        <v>0</v>
      </c>
      <c r="QL22" s="50">
        <f t="shared" si="40"/>
        <v>24.419582999999999</v>
      </c>
      <c r="QM22" s="50">
        <v>24.414124000000001</v>
      </c>
      <c r="QN22" s="50">
        <v>0.205371</v>
      </c>
      <c r="QO22" s="50"/>
      <c r="QP22" s="50">
        <v>0.205371</v>
      </c>
      <c r="QQ22" s="50">
        <v>0.26746799999999998</v>
      </c>
      <c r="QR22" s="50"/>
      <c r="QS22" s="50">
        <v>0.26746799999999998</v>
      </c>
      <c r="QT22" s="50">
        <v>0.112541</v>
      </c>
      <c r="QU22" s="50"/>
      <c r="QV22" s="50">
        <v>0.112541</v>
      </c>
      <c r="QW22" s="50">
        <v>0.14870900000000001</v>
      </c>
      <c r="QX22" s="50"/>
      <c r="QY22" s="50">
        <v>0.14870900000000001</v>
      </c>
      <c r="QZ22" s="50">
        <v>0.104453</v>
      </c>
      <c r="RA22" s="50"/>
      <c r="RB22" s="50">
        <v>0.104453</v>
      </c>
      <c r="RC22" s="50">
        <v>0.29465999999999998</v>
      </c>
      <c r="RD22" s="50"/>
      <c r="RE22" s="50">
        <v>0.29465999999999998</v>
      </c>
      <c r="RF22" s="50">
        <v>0.118128</v>
      </c>
      <c r="RG22" s="50"/>
      <c r="RH22" s="50">
        <v>0.118128</v>
      </c>
      <c r="RI22" s="50">
        <v>5.7244999999999997E-2</v>
      </c>
      <c r="RJ22" s="50"/>
      <c r="RK22" s="50">
        <v>5.7244999999999997E-2</v>
      </c>
      <c r="RL22" s="50">
        <v>0.20786499999999999</v>
      </c>
      <c r="RM22" s="50"/>
      <c r="RN22" s="50">
        <v>0.20786499999999999</v>
      </c>
      <c r="RO22" s="50">
        <v>9.6534999999999996E-2</v>
      </c>
      <c r="RP22" s="50"/>
      <c r="RQ22" s="50">
        <v>9.6534999999999996E-2</v>
      </c>
      <c r="RR22" s="50">
        <v>2.5999999999999999E-2</v>
      </c>
      <c r="RS22" s="50"/>
      <c r="RT22" s="50">
        <v>2.5999999999999999E-2</v>
      </c>
      <c r="RU22" s="50">
        <v>2.2015E-2</v>
      </c>
      <c r="RV22" s="50"/>
      <c r="RW22" s="50">
        <v>2.2015E-2</v>
      </c>
      <c r="RX22" s="44">
        <f t="shared" si="41"/>
        <v>1.66099</v>
      </c>
      <c r="RY22" s="50">
        <f t="shared" si="42"/>
        <v>0</v>
      </c>
      <c r="RZ22" s="50">
        <f t="shared" si="43"/>
        <v>1.66099</v>
      </c>
      <c r="SA22" s="50">
        <v>1.660989</v>
      </c>
      <c r="SB22" s="50">
        <v>9.1200000000000005E-4</v>
      </c>
      <c r="SC22" s="50"/>
      <c r="SD22" s="50">
        <v>9.1200000000000005E-4</v>
      </c>
      <c r="SE22" s="50">
        <v>3.993E-2</v>
      </c>
      <c r="SF22" s="50"/>
      <c r="SG22" s="50">
        <v>3.993E-2</v>
      </c>
      <c r="SH22" s="50">
        <v>3.9448999999999998E-2</v>
      </c>
      <c r="SI22" s="50"/>
      <c r="SJ22" s="50">
        <v>3.9448999999999998E-2</v>
      </c>
      <c r="SK22" s="50">
        <v>1.7009E-2</v>
      </c>
      <c r="SL22" s="50"/>
      <c r="SM22" s="50">
        <v>1.7009E-2</v>
      </c>
      <c r="SN22" s="50">
        <f t="shared" si="44"/>
        <v>8.3226999999999995E-2</v>
      </c>
      <c r="SO22" s="50"/>
      <c r="SP22" s="50">
        <v>8.3226999999999995E-2</v>
      </c>
      <c r="SQ22" s="50">
        <v>8.8710999999999998E-2</v>
      </c>
      <c r="SR22" s="50"/>
      <c r="SS22" s="50">
        <v>8.8710999999999998E-2</v>
      </c>
      <c r="ST22" s="50">
        <v>0.120131</v>
      </c>
      <c r="SU22" s="50"/>
      <c r="SV22" s="50">
        <v>0.120131</v>
      </c>
      <c r="SW22" s="50">
        <v>0.43995800000000002</v>
      </c>
      <c r="SX22" s="50"/>
      <c r="SY22" s="50">
        <v>0.43995800000000002</v>
      </c>
      <c r="SZ22" s="50">
        <v>0.31679600000000002</v>
      </c>
      <c r="TA22" s="50"/>
      <c r="TB22" s="50">
        <v>0.31679600000000002</v>
      </c>
      <c r="TC22" s="50">
        <v>0.16633000000000001</v>
      </c>
      <c r="TD22" s="50"/>
      <c r="TE22" s="50">
        <v>0.16633000000000001</v>
      </c>
      <c r="TF22" s="50">
        <v>6.3708000000000001E-2</v>
      </c>
      <c r="TG22" s="50"/>
      <c r="TH22" s="50">
        <v>6.3708000000000001E-2</v>
      </c>
      <c r="TI22" s="50">
        <v>6.7362000000000005E-2</v>
      </c>
      <c r="TJ22" s="50"/>
      <c r="TK22" s="50">
        <v>6.7362000000000005E-2</v>
      </c>
      <c r="TL22" s="44">
        <f t="shared" si="45"/>
        <v>1.4435230000000001</v>
      </c>
      <c r="TM22" s="50">
        <f t="shared" si="46"/>
        <v>0</v>
      </c>
      <c r="TN22" s="50">
        <f t="shared" si="47"/>
        <v>1.4435230000000001</v>
      </c>
      <c r="TO22" s="50">
        <v>5.7875999999999997E-2</v>
      </c>
      <c r="TP22" s="50"/>
      <c r="TQ22" s="50">
        <v>5.7875999999999997E-2</v>
      </c>
      <c r="TR22" s="50">
        <f t="shared" si="48"/>
        <v>0.176062</v>
      </c>
      <c r="TS22" s="50"/>
      <c r="TT22" s="50">
        <v>0.176062</v>
      </c>
      <c r="TU22" s="50">
        <v>8.5020999999999999E-2</v>
      </c>
      <c r="TV22" s="50"/>
      <c r="TW22" s="50">
        <v>8.5020999999999999E-2</v>
      </c>
      <c r="TX22" s="50">
        <f t="shared" si="49"/>
        <v>5.2995E-2</v>
      </c>
      <c r="TY22" s="50"/>
      <c r="TZ22" s="50">
        <v>5.2995E-2</v>
      </c>
      <c r="UA22" s="50"/>
      <c r="UB22" s="50"/>
      <c r="UC22" s="50"/>
      <c r="UD22" s="50"/>
      <c r="UE22" s="50"/>
      <c r="UF22" s="50"/>
      <c r="UG22" s="50"/>
      <c r="UH22" s="50"/>
      <c r="UI22" s="50"/>
      <c r="UJ22" s="50"/>
      <c r="UK22" s="50"/>
      <c r="UL22" s="50"/>
      <c r="UM22" s="50"/>
      <c r="UN22" s="50"/>
      <c r="UO22" s="50"/>
      <c r="UP22" s="50"/>
      <c r="UQ22" s="50"/>
      <c r="UR22" s="50"/>
      <c r="US22" s="50"/>
      <c r="UT22" s="50"/>
      <c r="UU22" s="50"/>
      <c r="UV22" s="50"/>
      <c r="UW22" s="50"/>
      <c r="UX22" s="50"/>
      <c r="UY22" s="292">
        <f t="shared" si="50"/>
        <v>9.7299999999999998E-2</v>
      </c>
      <c r="UZ22" s="276">
        <f t="shared" si="51"/>
        <v>0</v>
      </c>
      <c r="VA22" s="276">
        <f t="shared" si="52"/>
        <v>9.7299999999999998E-2</v>
      </c>
      <c r="VB22" s="292">
        <f t="shared" si="53"/>
        <v>0.37195400000000001</v>
      </c>
      <c r="VC22" s="276">
        <f t="shared" si="54"/>
        <v>0</v>
      </c>
      <c r="VD22" s="276">
        <f t="shared" si="55"/>
        <v>0.37195400000000001</v>
      </c>
      <c r="VE22" s="277">
        <f t="shared" si="56"/>
        <v>0.27465400000000001</v>
      </c>
      <c r="VF22" s="277">
        <f t="shared" si="57"/>
        <v>282.27543679342244</v>
      </c>
    </row>
    <row r="23" spans="1:578" s="12" customFormat="1" ht="20.5">
      <c r="A23" s="42" t="s">
        <v>111</v>
      </c>
      <c r="B23" s="13" t="s">
        <v>112</v>
      </c>
      <c r="C23" s="42" t="s">
        <v>113</v>
      </c>
      <c r="D23" s="42">
        <v>3.6170468580144681</v>
      </c>
      <c r="E23" s="43">
        <v>5.0007626592904995</v>
      </c>
      <c r="F23" s="43">
        <v>1.3728379462837434</v>
      </c>
      <c r="G23" s="43">
        <v>1.2583664862465211</v>
      </c>
      <c r="H23" s="43">
        <v>5.1429701595323868E-2</v>
      </c>
      <c r="I23" s="43">
        <v>8.0591459354243861E-2</v>
      </c>
      <c r="J23" s="43">
        <v>5.5876176003551489E-3</v>
      </c>
      <c r="K23" s="43">
        <v>8.7549302508238419E-3</v>
      </c>
      <c r="L23" s="43">
        <v>0.34915139925213856</v>
      </c>
      <c r="M23" s="43">
        <v>5.9642517686296609E-2</v>
      </c>
      <c r="N23" s="43">
        <v>0.43433588881110524</v>
      </c>
      <c r="O23" s="43">
        <v>1.1314676638152317E-2</v>
      </c>
      <c r="P23" s="43">
        <v>0.10446013397760968</v>
      </c>
      <c r="Q23" s="43">
        <v>4.9117534903045518E-3</v>
      </c>
      <c r="R23" s="43">
        <v>0.16741652011087019</v>
      </c>
      <c r="S23" s="43">
        <v>5.1182121900273769E-2</v>
      </c>
      <c r="T23" s="43">
        <v>0</v>
      </c>
      <c r="U23" s="43">
        <v>1.3287787206674975</v>
      </c>
      <c r="V23" s="43">
        <v>1.3287787206674975</v>
      </c>
      <c r="W23" s="43">
        <v>1.6148143721435848</v>
      </c>
      <c r="X23" s="43">
        <v>0.60131274153248992</v>
      </c>
      <c r="Y23" s="43">
        <v>4.0154865367869282E-2</v>
      </c>
      <c r="Z23" s="43">
        <v>0.17944547839796018</v>
      </c>
      <c r="AA23" s="43">
        <v>7.9202736467066215E-2</v>
      </c>
      <c r="AB23" s="43">
        <v>2.3251148257551185E-2</v>
      </c>
      <c r="AC23" s="43">
        <v>4.4087683052458436E-2</v>
      </c>
      <c r="AD23" s="43">
        <v>0.18752739028235468</v>
      </c>
      <c r="AE23" s="43">
        <v>3.2364642204654501E-2</v>
      </c>
      <c r="AF23" s="43">
        <v>0.21006425689096817</v>
      </c>
      <c r="AG23" s="43">
        <v>8.4403332934929229E-2</v>
      </c>
      <c r="AH23" s="43">
        <v>4.583496963591556E-2</v>
      </c>
      <c r="AI23" s="43">
        <v>0.18136350959869324</v>
      </c>
      <c r="AJ23" s="43">
        <v>0</v>
      </c>
      <c r="AK23" s="43">
        <v>1.7090127546229106</v>
      </c>
      <c r="AL23" s="43">
        <v>1.7090127546229106</v>
      </c>
      <c r="AM23" s="43">
        <v>1.7130152930262206</v>
      </c>
      <c r="AN23" s="43">
        <v>2.9060733860365055E-2</v>
      </c>
      <c r="AO23" s="43">
        <v>9.8875362120875804E-2</v>
      </c>
      <c r="AP23" s="43">
        <v>0</v>
      </c>
      <c r="AQ23" s="43">
        <v>0.15924781304602706</v>
      </c>
      <c r="AR23" s="43">
        <v>0.41552267773091783</v>
      </c>
      <c r="AS23" s="43">
        <v>0.28606980039954244</v>
      </c>
      <c r="AT23" s="43">
        <v>0.15425637873432707</v>
      </c>
      <c r="AU23" s="43">
        <v>0.69875100312462646</v>
      </c>
      <c r="AV23" s="43">
        <v>0.15141205798487203</v>
      </c>
      <c r="AW23" s="43">
        <v>0.13843831281552182</v>
      </c>
      <c r="AX23" s="43">
        <v>0.35030961690599371</v>
      </c>
      <c r="AY23" s="43">
        <v>0.6325789266993358</v>
      </c>
      <c r="AZ23" s="43">
        <v>0</v>
      </c>
      <c r="BA23" s="43">
        <v>3.1145226834224053</v>
      </c>
      <c r="BB23" s="42">
        <v>3.1145226834224053</v>
      </c>
      <c r="BC23" s="42">
        <v>3.1259454983181656</v>
      </c>
      <c r="BD23" s="49"/>
      <c r="BE23" s="42">
        <v>0.18590699999999999</v>
      </c>
      <c r="BF23" s="49">
        <f>BD23+BE23</f>
        <v>0.18590699999999999</v>
      </c>
      <c r="BG23" s="44"/>
      <c r="BH23" s="42">
        <v>0.33025399999999999</v>
      </c>
      <c r="BI23" s="44">
        <f>BG23+BH23</f>
        <v>0.33025399999999999</v>
      </c>
      <c r="BJ23" s="44"/>
      <c r="BK23" s="44">
        <v>0.30442900000000001</v>
      </c>
      <c r="BL23" s="44">
        <f>BJ23+BK23</f>
        <v>0.30442900000000001</v>
      </c>
      <c r="BM23" s="44"/>
      <c r="BN23" s="44">
        <v>0.15160799999999999</v>
      </c>
      <c r="BO23" s="44">
        <f>BM23+BN23</f>
        <v>0.15160799999999999</v>
      </c>
      <c r="BP23" s="44"/>
      <c r="BQ23" s="44">
        <v>5.3546000000000003E-2</v>
      </c>
      <c r="BR23" s="44">
        <f>BP23+BQ23</f>
        <v>5.3546000000000003E-2</v>
      </c>
      <c r="BS23" s="44"/>
      <c r="BT23" s="42">
        <v>0.283474</v>
      </c>
      <c r="BU23" s="44">
        <f>BS23+BT23</f>
        <v>0.283474</v>
      </c>
      <c r="BV23" s="44"/>
      <c r="BW23" s="42">
        <v>0.161132</v>
      </c>
      <c r="BX23" s="44">
        <f>BV23+BW23</f>
        <v>0.161132</v>
      </c>
      <c r="BY23" s="44"/>
      <c r="BZ23" s="42">
        <v>-1.6181000000000001E-2</v>
      </c>
      <c r="CA23" s="44">
        <f>BY23+BZ23</f>
        <v>-1.6181000000000001E-2</v>
      </c>
      <c r="CB23" s="44"/>
      <c r="CC23" s="42">
        <v>0.13193199999999999</v>
      </c>
      <c r="CD23" s="44">
        <f>CB23+CC23</f>
        <v>0.13193199999999999</v>
      </c>
      <c r="CE23" s="44"/>
      <c r="CF23" s="44">
        <v>3.6373000000000003E-2</v>
      </c>
      <c r="CG23" s="44">
        <f>CE23+CF23</f>
        <v>3.6373000000000003E-2</v>
      </c>
      <c r="CH23" s="44"/>
      <c r="CI23" s="42">
        <v>0.61957899999999999</v>
      </c>
      <c r="CJ23" s="44">
        <f>CH23+CI23</f>
        <v>0.61957899999999999</v>
      </c>
      <c r="CK23" s="44"/>
      <c r="CL23" s="42">
        <v>0.114054</v>
      </c>
      <c r="CM23" s="44">
        <f>CK23+CL23</f>
        <v>0.114054</v>
      </c>
      <c r="CN23" s="50"/>
      <c r="CO23" s="50">
        <f>BE23+BH23+BK23+BN23+BQ23+BT23+BW23+BZ23+CC23+CF23+CI23+CL23</f>
        <v>2.3561069999999997</v>
      </c>
      <c r="CP23" s="50">
        <f t="shared" si="21"/>
        <v>2.3561069999999997</v>
      </c>
      <c r="CQ23" s="50">
        <v>2.2929840000000001</v>
      </c>
      <c r="CR23" s="44"/>
      <c r="CS23" s="42">
        <v>2.6008E-2</v>
      </c>
      <c r="CT23" s="44">
        <f>CR23+CS23</f>
        <v>2.6008E-2</v>
      </c>
      <c r="CU23" s="44">
        <v>0</v>
      </c>
      <c r="CV23" s="44">
        <v>0.145317</v>
      </c>
      <c r="CW23" s="44">
        <v>0.145317</v>
      </c>
      <c r="CX23" s="44">
        <v>0</v>
      </c>
      <c r="CY23" s="44">
        <v>0.27906999999999998</v>
      </c>
      <c r="CZ23" s="44">
        <v>0.27906999999999998</v>
      </c>
      <c r="DA23" s="44">
        <v>0</v>
      </c>
      <c r="DB23" s="44">
        <v>4.3399E-2</v>
      </c>
      <c r="DC23" s="44">
        <v>4.3399E-2</v>
      </c>
      <c r="DD23" s="44">
        <v>0</v>
      </c>
      <c r="DE23" s="44">
        <v>0.38553199999999999</v>
      </c>
      <c r="DF23" s="44">
        <v>0.38553199999999999</v>
      </c>
      <c r="DG23" s="44">
        <v>0</v>
      </c>
      <c r="DH23" s="44">
        <v>0.151841</v>
      </c>
      <c r="DI23" s="44">
        <v>0.151841</v>
      </c>
      <c r="DJ23" s="44">
        <v>0</v>
      </c>
      <c r="DK23" s="44">
        <v>0.316195</v>
      </c>
      <c r="DL23" s="44">
        <v>0.316195</v>
      </c>
      <c r="DM23" s="44">
        <v>0</v>
      </c>
      <c r="DN23" s="44">
        <v>0.20627899999999999</v>
      </c>
      <c r="DO23" s="44">
        <v>0.20627899999999999</v>
      </c>
      <c r="DP23" s="44">
        <v>0</v>
      </c>
      <c r="DQ23" s="44">
        <v>0.38915899999999998</v>
      </c>
      <c r="DR23" s="44">
        <v>0.38915899999999998</v>
      </c>
      <c r="DS23" s="44">
        <v>0</v>
      </c>
      <c r="DT23" s="44">
        <v>0.117718</v>
      </c>
      <c r="DU23" s="44">
        <v>0.117718</v>
      </c>
      <c r="DV23" s="44">
        <v>0</v>
      </c>
      <c r="DW23" s="44">
        <v>7.1164000000000005E-2</v>
      </c>
      <c r="DX23" s="44">
        <v>7.1164000000000005E-2</v>
      </c>
      <c r="DY23" s="44">
        <v>0</v>
      </c>
      <c r="DZ23" s="44">
        <v>0.20250599999999999</v>
      </c>
      <c r="EA23" s="44">
        <v>0.20250599999999999</v>
      </c>
      <c r="EB23" s="44">
        <f t="shared" si="22"/>
        <v>0</v>
      </c>
      <c r="EC23" s="50">
        <f t="shared" si="23"/>
        <v>2.3341880000000002</v>
      </c>
      <c r="ED23" s="50">
        <f t="shared" si="24"/>
        <v>2.3341880000000002</v>
      </c>
      <c r="EE23" s="140">
        <v>2.5186920000000002</v>
      </c>
      <c r="EF23" s="50">
        <v>0</v>
      </c>
      <c r="EG23" s="50">
        <v>0.55457999999999996</v>
      </c>
      <c r="EH23" s="50">
        <v>0.55457999999999996</v>
      </c>
      <c r="EI23" s="50">
        <v>0</v>
      </c>
      <c r="EJ23" s="50">
        <v>5.5522000000000002E-2</v>
      </c>
      <c r="EK23" s="50">
        <v>5.5522000000000002E-2</v>
      </c>
      <c r="EL23" s="50">
        <v>0</v>
      </c>
      <c r="EM23" s="50">
        <v>0.10226499999999999</v>
      </c>
      <c r="EN23" s="50">
        <v>0.10226499999999999</v>
      </c>
      <c r="EO23" s="50">
        <v>0</v>
      </c>
      <c r="EP23" s="50">
        <v>9.8740000000000008E-3</v>
      </c>
      <c r="EQ23" s="50">
        <v>9.8740000000000008E-3</v>
      </c>
      <c r="ER23" s="50">
        <v>0</v>
      </c>
      <c r="ES23" s="50">
        <v>2.9648000000000001E-2</v>
      </c>
      <c r="ET23" s="50">
        <v>2.9648000000000001E-2</v>
      </c>
      <c r="EU23" s="50">
        <v>0</v>
      </c>
      <c r="EV23" s="50">
        <v>0.24477399999999999</v>
      </c>
      <c r="EW23" s="50">
        <v>0.24477399999999999</v>
      </c>
      <c r="EX23" s="50">
        <v>0</v>
      </c>
      <c r="EY23" s="50">
        <v>2.3385E-2</v>
      </c>
      <c r="EZ23" s="50">
        <v>2.3385E-2</v>
      </c>
      <c r="FA23" s="50">
        <v>0</v>
      </c>
      <c r="FB23" s="50">
        <v>6.1635000000000002E-2</v>
      </c>
      <c r="FC23" s="50">
        <v>6.1635000000000002E-2</v>
      </c>
      <c r="FD23" s="50">
        <v>0</v>
      </c>
      <c r="FE23" s="50">
        <v>0.12867999999999999</v>
      </c>
      <c r="FF23" s="50">
        <v>0.12867999999999999</v>
      </c>
      <c r="FG23" s="50">
        <v>0</v>
      </c>
      <c r="FH23" s="50">
        <v>0.18376400000000001</v>
      </c>
      <c r="FI23" s="50">
        <v>0.18376400000000001</v>
      </c>
      <c r="FJ23" s="50">
        <v>0</v>
      </c>
      <c r="FK23" s="50">
        <v>0.33347500000000002</v>
      </c>
      <c r="FL23" s="50">
        <v>0.33347500000000002</v>
      </c>
      <c r="FM23" s="50">
        <v>0</v>
      </c>
      <c r="FN23" s="50">
        <v>0.17363500000000001</v>
      </c>
      <c r="FO23" s="50">
        <v>0.17363500000000001</v>
      </c>
      <c r="FP23" s="50">
        <f t="shared" si="25"/>
        <v>0</v>
      </c>
      <c r="FQ23" s="50">
        <f t="shared" si="26"/>
        <v>1.9012370000000001</v>
      </c>
      <c r="FR23" s="50">
        <f t="shared" si="27"/>
        <v>1.9012370000000001</v>
      </c>
      <c r="FS23" s="94">
        <v>1.932202</v>
      </c>
      <c r="FT23" s="50">
        <v>0</v>
      </c>
      <c r="FU23" s="50">
        <v>6.9024000000000002E-2</v>
      </c>
      <c r="FV23" s="50">
        <v>6.9024000000000002E-2</v>
      </c>
      <c r="FW23" s="50">
        <v>0</v>
      </c>
      <c r="FX23" s="50">
        <v>0.20406099999999999</v>
      </c>
      <c r="FY23" s="50">
        <v>0.20406099999999999</v>
      </c>
      <c r="FZ23" s="50">
        <v>0</v>
      </c>
      <c r="GA23" s="50">
        <v>4.5071E-2</v>
      </c>
      <c r="GB23" s="50">
        <v>4.5071E-2</v>
      </c>
      <c r="GC23" s="50">
        <v>0</v>
      </c>
      <c r="GD23" s="50">
        <v>0.20344400000000001</v>
      </c>
      <c r="GE23" s="50">
        <v>0.20344400000000001</v>
      </c>
      <c r="GF23" s="50">
        <v>0</v>
      </c>
      <c r="GG23" s="50">
        <v>1.9664999999999998E-2</v>
      </c>
      <c r="GH23" s="50">
        <v>1.9664999999999998E-2</v>
      </c>
      <c r="GI23" s="50">
        <v>0</v>
      </c>
      <c r="GJ23" s="50">
        <v>6.9014000000000006E-2</v>
      </c>
      <c r="GK23" s="50">
        <v>6.9014000000000006E-2</v>
      </c>
      <c r="GL23" s="50">
        <v>0</v>
      </c>
      <c r="GM23" s="50">
        <v>0.113762</v>
      </c>
      <c r="GN23" s="50">
        <v>0.113762</v>
      </c>
      <c r="GO23" s="50">
        <v>0</v>
      </c>
      <c r="GP23" s="50">
        <v>0.49687900000000002</v>
      </c>
      <c r="GQ23" s="50">
        <v>0.49687900000000002</v>
      </c>
      <c r="GR23" s="50">
        <v>0</v>
      </c>
      <c r="GS23" s="50">
        <v>0.120363</v>
      </c>
      <c r="GT23" s="50">
        <v>0.120363</v>
      </c>
      <c r="GU23" s="50">
        <v>0</v>
      </c>
      <c r="GV23" s="50">
        <v>0.109449</v>
      </c>
      <c r="GW23" s="50">
        <v>0.109449</v>
      </c>
      <c r="GX23" s="50">
        <v>0</v>
      </c>
      <c r="GY23" s="50">
        <v>0.12224400000000001</v>
      </c>
      <c r="GZ23" s="50">
        <v>0.12224400000000001</v>
      </c>
      <c r="HA23" s="50">
        <v>0</v>
      </c>
      <c r="HB23" s="50">
        <v>0.177009</v>
      </c>
      <c r="HC23" s="50">
        <v>0.177009</v>
      </c>
      <c r="HD23" s="50">
        <f t="shared" si="28"/>
        <v>0</v>
      </c>
      <c r="HE23" s="50">
        <f t="shared" si="29"/>
        <v>1.7499850000000001</v>
      </c>
      <c r="HF23" s="50">
        <f t="shared" si="30"/>
        <v>1.7499850000000001</v>
      </c>
      <c r="HG23" s="50">
        <v>1.8013429999999999</v>
      </c>
      <c r="HH23" s="50">
        <v>0</v>
      </c>
      <c r="HI23" s="50">
        <v>0.35638999999999998</v>
      </c>
      <c r="HJ23" s="50">
        <v>0.35638999999999998</v>
      </c>
      <c r="HK23" s="50">
        <v>0</v>
      </c>
      <c r="HL23" s="50">
        <v>9.1900999999999997E-2</v>
      </c>
      <c r="HM23" s="50">
        <v>9.1900999999999997E-2</v>
      </c>
      <c r="HN23" s="50">
        <v>0</v>
      </c>
      <c r="HO23" s="50">
        <v>0.22459399999999999</v>
      </c>
      <c r="HP23" s="50">
        <v>0.22459399999999999</v>
      </c>
      <c r="HQ23" s="50">
        <v>0</v>
      </c>
      <c r="HR23" s="50">
        <v>0.178948</v>
      </c>
      <c r="HS23" s="50">
        <v>0.178948</v>
      </c>
      <c r="HT23" s="50">
        <v>0</v>
      </c>
      <c r="HU23" s="50">
        <v>3.2682999999999997E-2</v>
      </c>
      <c r="HV23" s="50">
        <v>3.2682999999999997E-2</v>
      </c>
      <c r="HW23" s="50">
        <v>0</v>
      </c>
      <c r="HX23" s="50">
        <v>0.12875600000000001</v>
      </c>
      <c r="HY23" s="50">
        <v>0.12875600000000001</v>
      </c>
      <c r="HZ23" s="50">
        <v>0</v>
      </c>
      <c r="IA23" s="50">
        <v>3.1775999999999999E-2</v>
      </c>
      <c r="IB23" s="50">
        <v>3.1775999999999999E-2</v>
      </c>
      <c r="IC23" s="50">
        <v>0</v>
      </c>
      <c r="ID23" s="50">
        <v>0.29034300000000002</v>
      </c>
      <c r="IE23" s="50">
        <v>0.29034300000000002</v>
      </c>
      <c r="IF23" s="50">
        <v>0</v>
      </c>
      <c r="IG23" s="50">
        <v>0.40735199999999999</v>
      </c>
      <c r="IH23" s="50">
        <v>0.40735199999999999</v>
      </c>
      <c r="II23" s="50">
        <v>0</v>
      </c>
      <c r="IJ23" s="50">
        <v>0.16556699999999999</v>
      </c>
      <c r="IK23" s="50">
        <v>0.16556699999999999</v>
      </c>
      <c r="IL23" s="50">
        <v>0</v>
      </c>
      <c r="IM23" s="50">
        <v>0.229078</v>
      </c>
      <c r="IN23" s="50">
        <v>0.229078</v>
      </c>
      <c r="IO23" s="50">
        <v>0</v>
      </c>
      <c r="IP23" s="50">
        <v>0.19825899999999999</v>
      </c>
      <c r="IQ23" s="50">
        <v>0.19825899999999999</v>
      </c>
      <c r="IR23" s="44">
        <f t="shared" si="34"/>
        <v>0</v>
      </c>
      <c r="IS23" s="50">
        <f t="shared" si="35"/>
        <v>2.3356470000000003</v>
      </c>
      <c r="IT23" s="50">
        <f t="shared" si="36"/>
        <v>2.3356470000000003</v>
      </c>
      <c r="IU23" s="50">
        <v>2.4190619999999998</v>
      </c>
      <c r="IV23" s="44">
        <v>0</v>
      </c>
      <c r="IW23" s="50">
        <v>0.146094</v>
      </c>
      <c r="IX23" s="50">
        <v>0.146094</v>
      </c>
      <c r="IY23" s="44">
        <v>0</v>
      </c>
      <c r="IZ23" s="50">
        <v>0.84561200000000003</v>
      </c>
      <c r="JA23" s="50">
        <v>0.84561200000000003</v>
      </c>
      <c r="JB23" s="44">
        <v>0</v>
      </c>
      <c r="JC23" s="50">
        <v>0.264988</v>
      </c>
      <c r="JD23" s="50">
        <v>0.264988</v>
      </c>
      <c r="JE23" s="44">
        <v>0</v>
      </c>
      <c r="JF23" s="50">
        <v>0.237266</v>
      </c>
      <c r="JG23" s="50">
        <v>0.237266</v>
      </c>
      <c r="JH23" s="44">
        <v>0</v>
      </c>
      <c r="JI23" s="50">
        <v>2.7824110000000002</v>
      </c>
      <c r="JJ23" s="50">
        <v>2.7824110000000002</v>
      </c>
      <c r="JK23" s="44">
        <v>0</v>
      </c>
      <c r="JL23" s="50">
        <v>0.207341</v>
      </c>
      <c r="JM23" s="50">
        <v>0.207341</v>
      </c>
      <c r="JN23" s="44">
        <v>0</v>
      </c>
      <c r="JO23" s="50">
        <v>0.21641099999999999</v>
      </c>
      <c r="JP23" s="50">
        <v>0.21641099999999999</v>
      </c>
      <c r="JQ23" s="44">
        <v>0</v>
      </c>
      <c r="JR23" s="50">
        <v>0.47984300000000002</v>
      </c>
      <c r="JS23" s="50">
        <v>0.47984300000000002</v>
      </c>
      <c r="JT23" s="44">
        <v>0</v>
      </c>
      <c r="JU23" s="50">
        <v>0.26161499999999999</v>
      </c>
      <c r="JV23" s="50">
        <v>0.26161499999999999</v>
      </c>
      <c r="JW23" s="44">
        <v>0</v>
      </c>
      <c r="JX23" s="50">
        <v>0.330679</v>
      </c>
      <c r="JY23" s="50">
        <v>0.330679</v>
      </c>
      <c r="JZ23" s="44">
        <v>0</v>
      </c>
      <c r="KA23" s="50">
        <v>0.61248199999999997</v>
      </c>
      <c r="KB23" s="50">
        <v>0.61248199999999997</v>
      </c>
      <c r="KC23" s="44">
        <v>0</v>
      </c>
      <c r="KD23" s="50">
        <v>0.17253099999999999</v>
      </c>
      <c r="KE23" s="50">
        <v>0.17253099999999999</v>
      </c>
      <c r="KF23" s="44">
        <f t="shared" si="37"/>
        <v>0</v>
      </c>
      <c r="KG23" s="50">
        <f t="shared" si="3"/>
        <v>6.5572730000000004</v>
      </c>
      <c r="KH23" s="50">
        <f t="shared" si="4"/>
        <v>6.5572730000000004</v>
      </c>
      <c r="KI23" s="50">
        <v>6.9331930000000002</v>
      </c>
      <c r="KJ23" s="44">
        <v>0</v>
      </c>
      <c r="KK23" s="50">
        <v>0.17727599999999999</v>
      </c>
      <c r="KL23" s="50">
        <v>0.17727599999999999</v>
      </c>
      <c r="KM23" s="44"/>
      <c r="KN23" s="50">
        <v>0.22057099999999999</v>
      </c>
      <c r="KO23" s="50">
        <v>0.22057099999999999</v>
      </c>
      <c r="KP23" s="44">
        <v>0</v>
      </c>
      <c r="KQ23" s="50">
        <v>0.36423899999999998</v>
      </c>
      <c r="KR23" s="50">
        <v>0.36423899999999998</v>
      </c>
      <c r="KS23" s="44">
        <v>0</v>
      </c>
      <c r="KT23" s="50">
        <v>0.36405100000000001</v>
      </c>
      <c r="KU23" s="50">
        <v>0.36405100000000001</v>
      </c>
      <c r="KV23" s="50">
        <v>0</v>
      </c>
      <c r="KW23" s="50">
        <v>0.24514</v>
      </c>
      <c r="KX23" s="50">
        <v>0.24514</v>
      </c>
      <c r="KY23" s="50">
        <v>0</v>
      </c>
      <c r="KZ23" s="50">
        <v>0.44475900000000002</v>
      </c>
      <c r="LA23" s="50">
        <v>0.44475900000000002</v>
      </c>
      <c r="LB23" s="44">
        <v>0</v>
      </c>
      <c r="LC23" s="50">
        <v>0.47484399999999999</v>
      </c>
      <c r="LD23" s="50">
        <v>0.47484399999999999</v>
      </c>
      <c r="LE23" s="44"/>
      <c r="LF23" s="44">
        <v>0.21695999999999999</v>
      </c>
      <c r="LG23" s="44">
        <v>0.21695999999999999</v>
      </c>
      <c r="LH23" s="44">
        <v>0</v>
      </c>
      <c r="LI23" s="50">
        <v>0.266849</v>
      </c>
      <c r="LJ23" s="50">
        <v>0.266849</v>
      </c>
      <c r="LK23" s="44">
        <v>0</v>
      </c>
      <c r="LL23" s="50">
        <v>0.31534499999999999</v>
      </c>
      <c r="LM23" s="50">
        <v>0.31534499999999999</v>
      </c>
      <c r="LN23" s="44">
        <v>0</v>
      </c>
      <c r="LO23" s="50">
        <v>0.39130999999999999</v>
      </c>
      <c r="LP23" s="50">
        <v>0.39130999999999999</v>
      </c>
      <c r="LQ23" s="44">
        <v>0</v>
      </c>
      <c r="LR23" s="50">
        <v>0.69884999999999997</v>
      </c>
      <c r="LS23" s="50">
        <v>0.69884999999999997</v>
      </c>
      <c r="LT23" s="44">
        <f t="shared" si="58"/>
        <v>0</v>
      </c>
      <c r="LU23" s="50">
        <f t="shared" si="5"/>
        <v>4.1801940000000002</v>
      </c>
      <c r="LV23" s="50">
        <f t="shared" si="5"/>
        <v>4.1801940000000002</v>
      </c>
      <c r="LW23" s="50">
        <v>4.3499720000000002</v>
      </c>
      <c r="LX23" s="44">
        <v>0</v>
      </c>
      <c r="LY23" s="50">
        <v>5.5414999999999999E-2</v>
      </c>
      <c r="LZ23" s="50">
        <v>5.5414999999999999E-2</v>
      </c>
      <c r="MA23" s="44">
        <v>0</v>
      </c>
      <c r="MB23" s="50">
        <v>0.39428800000000003</v>
      </c>
      <c r="MC23" s="50">
        <v>0.39428800000000003</v>
      </c>
      <c r="MD23" s="44">
        <v>0</v>
      </c>
      <c r="ME23" s="50">
        <v>1.7695270000000001</v>
      </c>
      <c r="MF23" s="50">
        <v>1.7695270000000001</v>
      </c>
      <c r="MG23" s="44">
        <v>0</v>
      </c>
      <c r="MH23" s="50">
        <v>0.16401199999999999</v>
      </c>
      <c r="MI23" s="50">
        <v>0.16401199999999999</v>
      </c>
      <c r="MJ23" s="44">
        <v>0</v>
      </c>
      <c r="MK23" s="50">
        <v>0.281584</v>
      </c>
      <c r="ML23" s="50">
        <v>0.281584</v>
      </c>
      <c r="MM23" s="44">
        <v>0</v>
      </c>
      <c r="MN23" s="50">
        <v>0.48760300000000001</v>
      </c>
      <c r="MO23" s="50">
        <v>0.48760300000000001</v>
      </c>
      <c r="MP23" s="44">
        <v>0</v>
      </c>
      <c r="MQ23" s="50">
        <v>0.47587200000000002</v>
      </c>
      <c r="MR23" s="50">
        <v>0.47587200000000002</v>
      </c>
      <c r="MS23" s="44">
        <v>0</v>
      </c>
      <c r="MT23" s="50">
        <v>0.28543400000000002</v>
      </c>
      <c r="MU23" s="50">
        <v>0.28543400000000002</v>
      </c>
      <c r="MV23" s="44">
        <v>0</v>
      </c>
      <c r="MW23" s="50">
        <v>0.31662299999999999</v>
      </c>
      <c r="MX23" s="50">
        <v>0.31662299999999999</v>
      </c>
      <c r="MY23" s="44">
        <v>0</v>
      </c>
      <c r="MZ23" s="50">
        <v>0.14410200000000001</v>
      </c>
      <c r="NA23" s="50">
        <v>0.14410200000000001</v>
      </c>
      <c r="NB23" s="44">
        <v>0</v>
      </c>
      <c r="NC23" s="50">
        <v>0.56219799999999998</v>
      </c>
      <c r="ND23" s="50">
        <v>0.56219799999999998</v>
      </c>
      <c r="NE23" s="44">
        <v>0</v>
      </c>
      <c r="NF23" s="50">
        <v>1.044505</v>
      </c>
      <c r="NG23" s="50">
        <v>1.044505</v>
      </c>
      <c r="NH23" s="44">
        <f t="shared" si="59"/>
        <v>0</v>
      </c>
      <c r="NI23" s="50">
        <f t="shared" si="6"/>
        <v>5.9811629999999996</v>
      </c>
      <c r="NJ23" s="50">
        <f t="shared" si="7"/>
        <v>5.9811629999999996</v>
      </c>
      <c r="NK23" s="50">
        <v>5.9892760000000003</v>
      </c>
      <c r="NL23" s="50">
        <v>0</v>
      </c>
      <c r="NM23" s="50">
        <v>0.42828899999999998</v>
      </c>
      <c r="NN23" s="50">
        <v>0.42828899999999998</v>
      </c>
      <c r="NO23" s="50">
        <v>0</v>
      </c>
      <c r="NP23" s="50">
        <v>0.22178899999999999</v>
      </c>
      <c r="NQ23" s="50">
        <v>0.22178899999999999</v>
      </c>
      <c r="NR23" s="50"/>
      <c r="NS23" s="50">
        <v>0.23771700000000001</v>
      </c>
      <c r="NT23" s="50">
        <v>0.23771700000000001</v>
      </c>
      <c r="NU23" s="50"/>
      <c r="NV23" s="50">
        <v>0.21773400000000001</v>
      </c>
      <c r="NW23" s="50">
        <v>0.21773400000000001</v>
      </c>
      <c r="NX23" s="50"/>
      <c r="NY23" s="50">
        <v>0.24077100000000001</v>
      </c>
      <c r="NZ23" s="50">
        <v>0.24077100000000001</v>
      </c>
      <c r="OA23" s="50"/>
      <c r="OB23" s="50">
        <v>0.33156099999999999</v>
      </c>
      <c r="OC23" s="50">
        <v>0.33156099999999999</v>
      </c>
      <c r="OD23" s="50"/>
      <c r="OE23" s="50">
        <v>0.60821599999999998</v>
      </c>
      <c r="OF23" s="50">
        <v>0.60821599999999998</v>
      </c>
      <c r="OG23" s="50">
        <v>0</v>
      </c>
      <c r="OH23" s="94">
        <v>0.25164700000000001</v>
      </c>
      <c r="OI23" s="94">
        <v>0.25164700000000001</v>
      </c>
      <c r="OJ23" s="50">
        <f>OL23-OK23</f>
        <v>0</v>
      </c>
      <c r="OK23" s="50">
        <v>1.144333</v>
      </c>
      <c r="OL23" s="50">
        <v>1.144333</v>
      </c>
      <c r="OM23" s="50">
        <v>0</v>
      </c>
      <c r="ON23" s="50">
        <v>0.14929300000000001</v>
      </c>
      <c r="OO23" s="50">
        <v>0.14929300000000001</v>
      </c>
      <c r="OP23" s="50">
        <v>0</v>
      </c>
      <c r="OQ23" s="50">
        <v>0.36742799999999998</v>
      </c>
      <c r="OR23" s="50">
        <v>0.36742799999999998</v>
      </c>
      <c r="OS23" s="50"/>
      <c r="OT23" s="50">
        <v>0.49223899999999998</v>
      </c>
      <c r="OU23" s="50">
        <v>0.49223899999999998</v>
      </c>
      <c r="OV23" s="44">
        <f t="shared" si="60"/>
        <v>0</v>
      </c>
      <c r="OW23" s="50">
        <f t="shared" si="68"/>
        <v>4.6910170000000004</v>
      </c>
      <c r="OX23" s="50">
        <f t="shared" si="9"/>
        <v>4.6910170000000004</v>
      </c>
      <c r="OY23" s="85">
        <v>4.7020229999999996</v>
      </c>
      <c r="OZ23" s="172">
        <v>0</v>
      </c>
      <c r="PA23" s="50">
        <v>0.171456</v>
      </c>
      <c r="PB23" s="50">
        <v>0.171456</v>
      </c>
      <c r="PC23" s="50">
        <f>PE23-PD23</f>
        <v>0</v>
      </c>
      <c r="PD23" s="50">
        <v>0.43720900000000001</v>
      </c>
      <c r="PE23" s="50">
        <v>0.43720900000000001</v>
      </c>
      <c r="PF23" s="85">
        <v>0</v>
      </c>
      <c r="PG23" s="50">
        <v>0.521594</v>
      </c>
      <c r="PH23" s="50">
        <v>0.521594</v>
      </c>
      <c r="PI23" s="179"/>
      <c r="PJ23" s="85">
        <v>0.117502</v>
      </c>
      <c r="PK23" s="50">
        <v>0.117502</v>
      </c>
      <c r="PL23" s="50"/>
      <c r="PM23" s="50">
        <v>0.39876499999999998</v>
      </c>
      <c r="PN23" s="50">
        <v>0.39876499999999998</v>
      </c>
      <c r="PO23" s="50">
        <v>0</v>
      </c>
      <c r="PP23" s="50">
        <v>0.650003</v>
      </c>
      <c r="PQ23" s="50">
        <v>0.650003</v>
      </c>
      <c r="PR23" s="50"/>
      <c r="PS23" s="50">
        <v>0.14107900000000001</v>
      </c>
      <c r="PT23" s="50">
        <v>0.14107900000000001</v>
      </c>
      <c r="PU23" s="50"/>
      <c r="PV23" s="50">
        <v>0.457903</v>
      </c>
      <c r="PW23" s="50">
        <v>0.457903</v>
      </c>
      <c r="PX23" s="50"/>
      <c r="PY23" s="50">
        <v>1.230942</v>
      </c>
      <c r="PZ23" s="50">
        <v>1.230942</v>
      </c>
      <c r="QA23" s="50">
        <v>0</v>
      </c>
      <c r="QB23" s="50">
        <v>0.85297800000000001</v>
      </c>
      <c r="QC23" s="50">
        <v>0.85297800000000001</v>
      </c>
      <c r="QD23" s="50">
        <v>0</v>
      </c>
      <c r="QE23" s="50">
        <v>0.35351199999999999</v>
      </c>
      <c r="QF23" s="50">
        <v>0.35351199999999999</v>
      </c>
      <c r="QG23" s="50">
        <v>0</v>
      </c>
      <c r="QH23" s="50">
        <v>2.1309979999999999</v>
      </c>
      <c r="QI23" s="50">
        <v>2.1309979999999999</v>
      </c>
      <c r="QJ23" s="44">
        <f t="shared" si="38"/>
        <v>0</v>
      </c>
      <c r="QK23" s="50">
        <f t="shared" si="39"/>
        <v>7.4639410000000002</v>
      </c>
      <c r="QL23" s="50">
        <f t="shared" si="40"/>
        <v>7.4639410000000002</v>
      </c>
      <c r="QM23" s="50">
        <v>7.5063630000000003</v>
      </c>
      <c r="QN23" s="50">
        <v>0</v>
      </c>
      <c r="QO23" s="50">
        <v>0.151535</v>
      </c>
      <c r="QP23" s="50">
        <v>0.151535</v>
      </c>
      <c r="QQ23" s="50">
        <v>0</v>
      </c>
      <c r="QR23" s="50">
        <v>0.43163200000000002</v>
      </c>
      <c r="QS23" s="50">
        <v>0.43163200000000002</v>
      </c>
      <c r="QT23" s="50"/>
      <c r="QU23" s="50">
        <v>1.0499529999999999</v>
      </c>
      <c r="QV23" s="50">
        <v>1.0499529999999999</v>
      </c>
      <c r="QW23" s="50"/>
      <c r="QX23" s="50">
        <v>0.235795</v>
      </c>
      <c r="QY23" s="50">
        <v>0.235795</v>
      </c>
      <c r="QZ23" s="50">
        <v>0</v>
      </c>
      <c r="RA23" s="50">
        <v>0.95643599999999995</v>
      </c>
      <c r="RB23" s="50">
        <v>0.95643599999999995</v>
      </c>
      <c r="RC23" s="50"/>
      <c r="RD23" s="50">
        <v>0.53838900000000001</v>
      </c>
      <c r="RE23" s="50">
        <v>0.53838900000000001</v>
      </c>
      <c r="RF23" s="50"/>
      <c r="RG23" s="50">
        <v>0.389015</v>
      </c>
      <c r="RH23" s="50">
        <v>0.389015</v>
      </c>
      <c r="RI23" s="50"/>
      <c r="RJ23" s="50">
        <v>0.78088199999999997</v>
      </c>
      <c r="RK23" s="50">
        <v>0.78088199999999997</v>
      </c>
      <c r="RL23" s="50"/>
      <c r="RM23" s="50">
        <v>1.207864</v>
      </c>
      <c r="RN23" s="50">
        <v>1.207864</v>
      </c>
      <c r="RO23" s="50"/>
      <c r="RP23" s="50">
        <v>0.45813599999999999</v>
      </c>
      <c r="RQ23" s="50">
        <v>0.45813599999999999</v>
      </c>
      <c r="RR23" s="50"/>
      <c r="RS23" s="50">
        <v>0.46206799999999998</v>
      </c>
      <c r="RT23" s="50">
        <v>0.46206799999999998</v>
      </c>
      <c r="RU23" s="50">
        <v>0</v>
      </c>
      <c r="RV23" s="50">
        <v>-2.9297E-2</v>
      </c>
      <c r="RW23" s="50">
        <v>-2.9297E-2</v>
      </c>
      <c r="RX23" s="44">
        <f t="shared" si="41"/>
        <v>0</v>
      </c>
      <c r="RY23" s="50">
        <f t="shared" si="42"/>
        <v>6.6324079999999999</v>
      </c>
      <c r="RZ23" s="50">
        <f t="shared" si="43"/>
        <v>6.6324079999999999</v>
      </c>
      <c r="SA23" s="50">
        <v>6.7456940000000003</v>
      </c>
      <c r="SB23" s="50">
        <v>0</v>
      </c>
      <c r="SC23" s="50">
        <v>0.13850100000000001</v>
      </c>
      <c r="SD23" s="50">
        <v>0.13850100000000001</v>
      </c>
      <c r="SE23" s="50">
        <v>0</v>
      </c>
      <c r="SF23" s="50">
        <v>0.46592099999999997</v>
      </c>
      <c r="SG23" s="50">
        <v>0.46592099999999997</v>
      </c>
      <c r="SH23" s="50"/>
      <c r="SI23" s="50">
        <v>0.49303799999999998</v>
      </c>
      <c r="SJ23" s="50">
        <v>0.49303799999999998</v>
      </c>
      <c r="SK23" s="50"/>
      <c r="SL23" s="50">
        <v>0.226163</v>
      </c>
      <c r="SM23" s="50">
        <v>0.226163</v>
      </c>
      <c r="SN23" s="50">
        <f t="shared" si="44"/>
        <v>0</v>
      </c>
      <c r="SO23" s="50">
        <v>1.1647959999999999</v>
      </c>
      <c r="SP23" s="50">
        <v>1.1647959999999999</v>
      </c>
      <c r="SQ23" s="50">
        <v>0</v>
      </c>
      <c r="SR23" s="50">
        <v>0.24952199999999999</v>
      </c>
      <c r="SS23" s="50">
        <v>0.24952199999999999</v>
      </c>
      <c r="ST23" s="50">
        <v>0</v>
      </c>
      <c r="SU23" s="50">
        <v>0.68954199999999999</v>
      </c>
      <c r="SV23" s="50">
        <v>0.68954199999999999</v>
      </c>
      <c r="SW23" s="50"/>
      <c r="SX23" s="50">
        <v>0.40787800000000002</v>
      </c>
      <c r="SY23" s="50">
        <v>0.40787800000000002</v>
      </c>
      <c r="SZ23" s="50">
        <v>0</v>
      </c>
      <c r="TA23" s="50">
        <v>1.011981</v>
      </c>
      <c r="TB23" s="50">
        <v>1.011981</v>
      </c>
      <c r="TC23" s="50"/>
      <c r="TD23" s="50">
        <v>0.977495</v>
      </c>
      <c r="TE23" s="50">
        <v>0.977495</v>
      </c>
      <c r="TF23" s="50">
        <v>0</v>
      </c>
      <c r="TG23" s="50">
        <v>0.33454800000000001</v>
      </c>
      <c r="TH23" s="50">
        <v>0.33454800000000001</v>
      </c>
      <c r="TI23" s="50">
        <v>0</v>
      </c>
      <c r="TJ23" s="50">
        <v>1.449759</v>
      </c>
      <c r="TK23" s="50">
        <v>1.449759</v>
      </c>
      <c r="TL23" s="44">
        <f t="shared" si="45"/>
        <v>0</v>
      </c>
      <c r="TM23" s="50">
        <f t="shared" si="46"/>
        <v>7.6091439999999997</v>
      </c>
      <c r="TN23" s="50">
        <f t="shared" si="47"/>
        <v>7.6091439999999997</v>
      </c>
      <c r="TO23" s="50"/>
      <c r="TP23" s="50">
        <v>0.22804000000000002</v>
      </c>
      <c r="TQ23" s="50">
        <v>0.22804000000000002</v>
      </c>
      <c r="TR23" s="50">
        <f t="shared" si="48"/>
        <v>0</v>
      </c>
      <c r="TS23" s="50">
        <v>1.010348</v>
      </c>
      <c r="TT23" s="50">
        <v>1.010348</v>
      </c>
      <c r="TU23" s="50">
        <v>0</v>
      </c>
      <c r="TV23" s="50">
        <v>0.55786800000000003</v>
      </c>
      <c r="TW23" s="50">
        <v>0.55786800000000003</v>
      </c>
      <c r="TX23" s="50">
        <f t="shared" si="49"/>
        <v>0</v>
      </c>
      <c r="TY23" s="50">
        <v>0.25397900000000001</v>
      </c>
      <c r="TZ23" s="50">
        <v>0.25397900000000001</v>
      </c>
      <c r="UA23" s="50"/>
      <c r="UB23" s="50"/>
      <c r="UC23" s="50"/>
      <c r="UD23" s="50"/>
      <c r="UE23" s="50"/>
      <c r="UF23" s="50"/>
      <c r="UG23" s="50"/>
      <c r="UH23" s="50"/>
      <c r="UI23" s="50"/>
      <c r="UJ23" s="50"/>
      <c r="UK23" s="50"/>
      <c r="UL23" s="50"/>
      <c r="UM23" s="50"/>
      <c r="UN23" s="50"/>
      <c r="UO23" s="50"/>
      <c r="UP23" s="50"/>
      <c r="UQ23" s="50"/>
      <c r="UR23" s="50"/>
      <c r="US23" s="50"/>
      <c r="UT23" s="50"/>
      <c r="UU23" s="50"/>
      <c r="UV23" s="50"/>
      <c r="UW23" s="50"/>
      <c r="UX23" s="50"/>
      <c r="UY23" s="292">
        <f t="shared" si="50"/>
        <v>0</v>
      </c>
      <c r="UZ23" s="276">
        <f t="shared" si="51"/>
        <v>1.323623</v>
      </c>
      <c r="VA23" s="276">
        <f t="shared" si="52"/>
        <v>1.323623</v>
      </c>
      <c r="VB23" s="292">
        <f t="shared" si="53"/>
        <v>0</v>
      </c>
      <c r="VC23" s="276">
        <f t="shared" si="54"/>
        <v>2.0502349999999998</v>
      </c>
      <c r="VD23" s="276">
        <f t="shared" si="55"/>
        <v>2.0502349999999998</v>
      </c>
      <c r="VE23" s="277">
        <f t="shared" si="56"/>
        <v>0.72661199999999981</v>
      </c>
      <c r="VF23" s="277">
        <f t="shared" si="57"/>
        <v>54.895691597985206</v>
      </c>
    </row>
    <row r="24" spans="1:578" s="12" customFormat="1" ht="19.5" customHeight="1">
      <c r="A24" s="92"/>
      <c r="B24" s="13"/>
      <c r="C24" s="9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13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9"/>
      <c r="BE24" s="42"/>
      <c r="BF24" s="49"/>
      <c r="BG24" s="44"/>
      <c r="BH24" s="42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2"/>
      <c r="BU24" s="44"/>
      <c r="BV24" s="44"/>
      <c r="BW24" s="42"/>
      <c r="BX24" s="44"/>
      <c r="BY24" s="44"/>
      <c r="BZ24" s="42"/>
      <c r="CA24" s="44"/>
      <c r="CB24" s="44"/>
      <c r="CC24" s="42"/>
      <c r="CD24" s="44"/>
      <c r="CE24" s="44"/>
      <c r="CF24" s="44"/>
      <c r="CG24" s="44"/>
      <c r="CH24" s="49"/>
      <c r="CI24" s="49"/>
      <c r="CJ24" s="44"/>
      <c r="CK24" s="49"/>
      <c r="CL24" s="49"/>
      <c r="CM24" s="44"/>
      <c r="CN24" s="50"/>
      <c r="CO24" s="50"/>
      <c r="CP24" s="50"/>
      <c r="CQ24" s="52"/>
      <c r="CR24" s="49"/>
      <c r="CS24" s="49"/>
      <c r="CT24" s="44"/>
      <c r="CU24" s="49"/>
      <c r="CV24" s="49"/>
      <c r="CW24" s="44"/>
      <c r="CX24" s="49"/>
      <c r="CY24" s="49"/>
      <c r="CZ24" s="44"/>
      <c r="DA24" s="49"/>
      <c r="DB24" s="49"/>
      <c r="DC24" s="44"/>
      <c r="DD24" s="49"/>
      <c r="DE24" s="49"/>
      <c r="DF24" s="44"/>
      <c r="DG24" s="49"/>
      <c r="DH24" s="49"/>
      <c r="DI24" s="44"/>
      <c r="DJ24" s="49"/>
      <c r="DK24" s="49"/>
      <c r="DL24" s="44"/>
      <c r="DM24" s="49"/>
      <c r="DN24" s="49"/>
      <c r="DO24" s="44"/>
      <c r="DP24" s="49"/>
      <c r="DQ24" s="49"/>
      <c r="DR24" s="44"/>
      <c r="DS24" s="49"/>
      <c r="DT24" s="49"/>
      <c r="DU24" s="44"/>
      <c r="DV24" s="49"/>
      <c r="DW24" s="49"/>
      <c r="DX24" s="44"/>
      <c r="DY24" s="49"/>
      <c r="DZ24" s="49"/>
      <c r="EA24" s="44"/>
      <c r="EB24" s="44"/>
      <c r="EC24" s="50"/>
      <c r="ED24" s="50"/>
      <c r="EE24" s="44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>
        <f t="shared" si="25"/>
        <v>0</v>
      </c>
      <c r="FQ24" s="50">
        <f t="shared" si="26"/>
        <v>0</v>
      </c>
      <c r="FR24" s="50">
        <f t="shared" si="27"/>
        <v>0</v>
      </c>
      <c r="FS24" s="94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>
        <f t="shared" si="28"/>
        <v>0</v>
      </c>
      <c r="HE24" s="50">
        <f t="shared" si="29"/>
        <v>0</v>
      </c>
      <c r="HF24" s="50">
        <f t="shared" si="30"/>
        <v>0</v>
      </c>
      <c r="HG24" s="50"/>
      <c r="HH24" s="50"/>
      <c r="HI24" s="50"/>
      <c r="HJ24" s="50"/>
      <c r="HK24" s="50">
        <v>0</v>
      </c>
      <c r="HL24" s="50"/>
      <c r="HM24" s="50"/>
      <c r="HN24" s="50">
        <v>0</v>
      </c>
      <c r="HO24" s="50"/>
      <c r="HP24" s="50"/>
      <c r="HQ24" s="50">
        <v>0</v>
      </c>
      <c r="HR24" s="50"/>
      <c r="HS24" s="50"/>
      <c r="HT24" s="50">
        <v>0</v>
      </c>
      <c r="HU24" s="50"/>
      <c r="HV24" s="50"/>
      <c r="HW24" s="50">
        <v>0</v>
      </c>
      <c r="HX24" s="50"/>
      <c r="HY24" s="50"/>
      <c r="HZ24" s="50">
        <v>0</v>
      </c>
      <c r="IA24" s="50"/>
      <c r="IB24" s="50"/>
      <c r="IC24" s="50">
        <v>0</v>
      </c>
      <c r="ID24" s="50"/>
      <c r="IE24" s="50"/>
      <c r="IF24" s="50">
        <v>0</v>
      </c>
      <c r="IG24" s="50"/>
      <c r="IH24" s="50"/>
      <c r="II24" s="50">
        <v>0</v>
      </c>
      <c r="IJ24" s="50"/>
      <c r="IK24" s="50"/>
      <c r="IL24" s="50">
        <v>0</v>
      </c>
      <c r="IM24" s="50"/>
      <c r="IN24" s="50"/>
      <c r="IO24" s="50">
        <v>0</v>
      </c>
      <c r="IP24" s="50"/>
      <c r="IQ24" s="50"/>
      <c r="IR24" s="44">
        <f t="shared" si="34"/>
        <v>0</v>
      </c>
      <c r="IS24" s="50">
        <f t="shared" si="35"/>
        <v>0</v>
      </c>
      <c r="IT24" s="50">
        <f t="shared" si="36"/>
        <v>0</v>
      </c>
      <c r="IU24" s="50"/>
      <c r="IV24" s="44"/>
      <c r="IW24" s="50"/>
      <c r="IX24" s="50"/>
      <c r="IY24" s="44"/>
      <c r="IZ24" s="50"/>
      <c r="JA24" s="50"/>
      <c r="JB24" s="44"/>
      <c r="JC24" s="50"/>
      <c r="JD24" s="50"/>
      <c r="JE24" s="44"/>
      <c r="JF24" s="50"/>
      <c r="JG24" s="50"/>
      <c r="JH24" s="44"/>
      <c r="JI24" s="50"/>
      <c r="JJ24" s="50"/>
      <c r="JK24" s="44"/>
      <c r="JL24" s="50"/>
      <c r="JM24" s="50"/>
      <c r="JN24" s="44"/>
      <c r="JO24" s="50"/>
      <c r="JP24" s="50"/>
      <c r="JQ24" s="44"/>
      <c r="JR24" s="50"/>
      <c r="JS24" s="50"/>
      <c r="JT24" s="44"/>
      <c r="JU24" s="50"/>
      <c r="JV24" s="50"/>
      <c r="JW24" s="44"/>
      <c r="JX24" s="50"/>
      <c r="JY24" s="50"/>
      <c r="JZ24" s="44"/>
      <c r="KA24" s="50"/>
      <c r="KB24" s="50"/>
      <c r="KC24" s="44"/>
      <c r="KD24" s="50"/>
      <c r="KE24" s="50"/>
      <c r="KF24" s="44">
        <f t="shared" si="37"/>
        <v>0</v>
      </c>
      <c r="KG24" s="50">
        <f t="shared" si="3"/>
        <v>0</v>
      </c>
      <c r="KH24" s="50">
        <f t="shared" si="4"/>
        <v>0</v>
      </c>
      <c r="KI24" s="50"/>
      <c r="KJ24" s="44"/>
      <c r="KK24" s="50"/>
      <c r="KL24" s="50"/>
      <c r="KM24" s="44"/>
      <c r="KN24" s="50"/>
      <c r="KO24" s="50"/>
      <c r="KP24" s="44"/>
      <c r="KQ24" s="50"/>
      <c r="KR24" s="50"/>
      <c r="KS24" s="44"/>
      <c r="KT24" s="50"/>
      <c r="KU24" s="50"/>
      <c r="KV24" s="50">
        <v>0</v>
      </c>
      <c r="KW24" s="50"/>
      <c r="KX24" s="50"/>
      <c r="KY24" s="50"/>
      <c r="KZ24" s="50"/>
      <c r="LA24" s="50"/>
      <c r="LB24" s="44">
        <v>0</v>
      </c>
      <c r="LC24" s="50"/>
      <c r="LD24" s="50"/>
      <c r="LE24" s="44"/>
      <c r="LF24" s="44"/>
      <c r="LG24" s="44"/>
      <c r="LH24" s="44"/>
      <c r="LI24" s="50"/>
      <c r="LJ24" s="50"/>
      <c r="LK24" s="44"/>
      <c r="LL24" s="50"/>
      <c r="LM24" s="50"/>
      <c r="LN24" s="44"/>
      <c r="LO24" s="50"/>
      <c r="LP24" s="50"/>
      <c r="LQ24" s="44"/>
      <c r="LR24" s="50"/>
      <c r="LS24" s="50"/>
      <c r="LT24" s="44">
        <f t="shared" si="58"/>
        <v>0</v>
      </c>
      <c r="LU24" s="50">
        <f t="shared" si="58"/>
        <v>0</v>
      </c>
      <c r="LV24" s="50">
        <f t="shared" si="58"/>
        <v>0</v>
      </c>
      <c r="LW24" s="50"/>
      <c r="LX24" s="44"/>
      <c r="LY24" s="50"/>
      <c r="LZ24" s="50"/>
      <c r="MA24" s="44"/>
      <c r="MB24" s="50"/>
      <c r="MC24" s="50"/>
      <c r="MD24" s="44"/>
      <c r="ME24" s="50"/>
      <c r="MF24" s="50"/>
      <c r="MG24" s="44"/>
      <c r="MH24" s="50"/>
      <c r="MI24" s="50"/>
      <c r="MJ24" s="44"/>
      <c r="MK24" s="50"/>
      <c r="ML24" s="50"/>
      <c r="MM24" s="44"/>
      <c r="MN24" s="50"/>
      <c r="MO24" s="50"/>
      <c r="MP24" s="44"/>
      <c r="MQ24" s="50"/>
      <c r="MR24" s="50"/>
      <c r="MS24" s="44"/>
      <c r="MT24" s="50"/>
      <c r="MU24" s="50"/>
      <c r="MV24" s="44"/>
      <c r="MW24" s="50"/>
      <c r="MX24" s="50"/>
      <c r="MY24" s="44"/>
      <c r="MZ24" s="50"/>
      <c r="NA24" s="50"/>
      <c r="NB24" s="44"/>
      <c r="NC24" s="50"/>
      <c r="ND24" s="50"/>
      <c r="NE24" s="44"/>
      <c r="NF24" s="50"/>
      <c r="NG24" s="50"/>
      <c r="NH24" s="44">
        <f t="shared" si="59"/>
        <v>0</v>
      </c>
      <c r="NI24" s="50">
        <f t="shared" si="6"/>
        <v>0</v>
      </c>
      <c r="NJ24" s="50">
        <f t="shared" si="7"/>
        <v>0</v>
      </c>
      <c r="NK24" s="50"/>
      <c r="NL24" s="50"/>
      <c r="NM24" s="50"/>
      <c r="NN24" s="50"/>
      <c r="NO24" s="50">
        <v>0</v>
      </c>
      <c r="NP24" s="50"/>
      <c r="NQ24" s="50"/>
      <c r="NR24" s="50"/>
      <c r="NS24" s="50"/>
      <c r="NT24" s="50"/>
      <c r="NU24" s="50"/>
      <c r="NV24" s="50"/>
      <c r="NW24" s="50"/>
      <c r="NX24" s="50"/>
      <c r="NY24" s="50"/>
      <c r="NZ24" s="50"/>
      <c r="OA24" s="50"/>
      <c r="OB24" s="50"/>
      <c r="OC24" s="50"/>
      <c r="OD24" s="50"/>
      <c r="OE24" s="50"/>
      <c r="OF24" s="50"/>
      <c r="OG24" s="50"/>
      <c r="OH24" s="50"/>
      <c r="OI24" s="94"/>
      <c r="OJ24" s="50"/>
      <c r="OK24" s="50"/>
      <c r="OL24" s="50"/>
      <c r="OM24" s="50">
        <v>0</v>
      </c>
      <c r="ON24" s="50"/>
      <c r="OO24" s="50"/>
      <c r="OP24" s="50">
        <v>0</v>
      </c>
      <c r="OQ24" s="50"/>
      <c r="OR24" s="50"/>
      <c r="OS24" s="55"/>
      <c r="OT24" s="50"/>
      <c r="OU24" s="50"/>
      <c r="OV24" s="44">
        <f t="shared" si="60"/>
        <v>0</v>
      </c>
      <c r="OW24" s="50">
        <f t="shared" si="68"/>
        <v>0</v>
      </c>
      <c r="OX24" s="50">
        <f t="shared" si="9"/>
        <v>0</v>
      </c>
      <c r="OY24" s="50"/>
      <c r="OZ24" s="50"/>
      <c r="PA24" s="50"/>
      <c r="PB24" s="50"/>
      <c r="PC24" s="50"/>
      <c r="PD24" s="50"/>
      <c r="PE24" s="50"/>
      <c r="PF24" s="85"/>
      <c r="PG24" s="50"/>
      <c r="PH24" s="50"/>
      <c r="PI24" s="50"/>
      <c r="PJ24" s="50"/>
      <c r="PK24" s="50"/>
      <c r="PL24" s="50"/>
      <c r="PM24" s="50"/>
      <c r="PN24" s="50"/>
      <c r="PO24" s="50"/>
      <c r="PP24" s="50"/>
      <c r="PQ24" s="50"/>
      <c r="PR24" s="50"/>
      <c r="PS24" s="50"/>
      <c r="PT24" s="50"/>
      <c r="PU24" s="50"/>
      <c r="PV24" s="50"/>
      <c r="PW24" s="50"/>
      <c r="PX24" s="50"/>
      <c r="PY24" s="50"/>
      <c r="PZ24" s="50"/>
      <c r="QA24" s="50"/>
      <c r="QB24" s="50"/>
      <c r="QC24" s="50"/>
      <c r="QD24" s="50"/>
      <c r="QE24" s="50"/>
      <c r="QF24" s="50"/>
      <c r="QG24" s="50"/>
      <c r="QH24" s="50"/>
      <c r="QI24" s="50"/>
      <c r="QJ24" s="44"/>
      <c r="QK24" s="50"/>
      <c r="QL24" s="50"/>
      <c r="QM24" s="50"/>
      <c r="QN24" s="50"/>
      <c r="QO24" s="50"/>
      <c r="QP24" s="50"/>
      <c r="QQ24" s="50"/>
      <c r="QR24" s="50"/>
      <c r="QS24" s="50"/>
      <c r="QT24" s="50"/>
      <c r="QU24" s="50"/>
      <c r="QV24" s="50"/>
      <c r="QW24" s="50"/>
      <c r="QX24" s="50"/>
      <c r="QY24" s="50"/>
      <c r="QZ24" s="50"/>
      <c r="RA24" s="50"/>
      <c r="RB24" s="50"/>
      <c r="RC24" s="50"/>
      <c r="RD24" s="50"/>
      <c r="RE24" s="50"/>
      <c r="RF24" s="50"/>
      <c r="RG24" s="50"/>
      <c r="RH24" s="50"/>
      <c r="RI24" s="50"/>
      <c r="RJ24" s="50"/>
      <c r="RK24" s="50"/>
      <c r="RL24" s="50"/>
      <c r="RM24" s="50"/>
      <c r="RN24" s="50"/>
      <c r="RO24" s="50"/>
      <c r="RP24" s="50"/>
      <c r="RQ24" s="50"/>
      <c r="RR24" s="50"/>
      <c r="RS24" s="50"/>
      <c r="RT24" s="50"/>
      <c r="RU24" s="50"/>
      <c r="RV24" s="50"/>
      <c r="RW24" s="50"/>
      <c r="RX24" s="44"/>
      <c r="RY24" s="50"/>
      <c r="RZ24" s="50"/>
      <c r="SA24" s="50"/>
      <c r="SB24" s="50"/>
      <c r="SC24" s="50"/>
      <c r="SD24" s="50"/>
      <c r="SE24" s="50"/>
      <c r="SF24" s="50"/>
      <c r="SG24" s="50"/>
      <c r="SH24" s="50"/>
      <c r="SI24" s="50"/>
      <c r="SJ24" s="50"/>
      <c r="SK24" s="50"/>
      <c r="SL24" s="50"/>
      <c r="SM24" s="50"/>
      <c r="SN24" s="50"/>
      <c r="SO24" s="50"/>
      <c r="SP24" s="50"/>
      <c r="SQ24" s="50"/>
      <c r="SR24" s="50"/>
      <c r="SS24" s="50"/>
      <c r="ST24" s="50"/>
      <c r="SU24" s="50"/>
      <c r="SV24" s="50"/>
      <c r="SW24" s="50"/>
      <c r="SX24" s="50"/>
      <c r="SY24" s="50"/>
      <c r="SZ24" s="50"/>
      <c r="TA24" s="50"/>
      <c r="TB24" s="50"/>
      <c r="TC24" s="50"/>
      <c r="TD24" s="50"/>
      <c r="TE24" s="50"/>
      <c r="TF24" s="50"/>
      <c r="TG24" s="50"/>
      <c r="TH24" s="50"/>
      <c r="TI24" s="50"/>
      <c r="TJ24" s="50"/>
      <c r="TK24" s="50"/>
      <c r="TL24" s="44"/>
      <c r="TM24" s="50"/>
      <c r="TN24" s="50"/>
      <c r="TO24" s="50"/>
      <c r="TP24" s="50"/>
      <c r="TQ24" s="50"/>
      <c r="TR24" s="50"/>
      <c r="TS24" s="50"/>
      <c r="TT24" s="50"/>
      <c r="TU24" s="50"/>
      <c r="TV24" s="50"/>
      <c r="TW24" s="50"/>
      <c r="TX24" s="50"/>
      <c r="TY24" s="50"/>
      <c r="TZ24" s="50"/>
      <c r="UA24" s="50"/>
      <c r="UB24" s="50"/>
      <c r="UC24" s="50"/>
      <c r="UD24" s="50"/>
      <c r="UE24" s="50"/>
      <c r="UF24" s="50"/>
      <c r="UG24" s="50"/>
      <c r="UH24" s="50"/>
      <c r="UI24" s="50"/>
      <c r="UJ24" s="50"/>
      <c r="UK24" s="50"/>
      <c r="UL24" s="50"/>
      <c r="UM24" s="50"/>
      <c r="UN24" s="50"/>
      <c r="UO24" s="50"/>
      <c r="UP24" s="50"/>
      <c r="UQ24" s="50"/>
      <c r="UR24" s="50"/>
      <c r="US24" s="50"/>
      <c r="UT24" s="50"/>
      <c r="UU24" s="50"/>
      <c r="UV24" s="50"/>
      <c r="UW24" s="50"/>
      <c r="UX24" s="50"/>
      <c r="UY24" s="292"/>
      <c r="UZ24" s="276"/>
      <c r="VA24" s="276"/>
      <c r="VB24" s="292"/>
      <c r="VC24" s="276"/>
      <c r="VD24" s="276"/>
      <c r="VE24" s="277"/>
      <c r="VF24" s="277"/>
    </row>
    <row r="25" spans="1:578" s="12" customFormat="1" ht="20">
      <c r="A25" s="53" t="s">
        <v>114</v>
      </c>
      <c r="B25" s="13"/>
      <c r="C25" s="53" t="s">
        <v>115</v>
      </c>
      <c r="D25" s="53">
        <v>2073.3119717588402</v>
      </c>
      <c r="E25" s="61">
        <v>2543.0819076157791</v>
      </c>
      <c r="F25" s="61">
        <v>1984.7856372473693</v>
      </c>
      <c r="G25" s="61">
        <v>1799.0115209930509</v>
      </c>
      <c r="H25" s="61">
        <v>107.21209611783654</v>
      </c>
      <c r="I25" s="61">
        <v>137.18861588721751</v>
      </c>
      <c r="J25" s="61">
        <v>145.99385319377808</v>
      </c>
      <c r="K25" s="61">
        <v>145.69741919510986</v>
      </c>
      <c r="L25" s="61">
        <v>155.64893483816255</v>
      </c>
      <c r="M25" s="61">
        <v>195.59246105599857</v>
      </c>
      <c r="N25" s="61">
        <v>155.31036249082248</v>
      </c>
      <c r="O25" s="61">
        <v>139.67830433520584</v>
      </c>
      <c r="P25" s="61">
        <v>170.10893364295026</v>
      </c>
      <c r="Q25" s="61">
        <v>174.42527077250554</v>
      </c>
      <c r="R25" s="61">
        <v>177.78187517430177</v>
      </c>
      <c r="S25" s="61">
        <v>279.42432313987968</v>
      </c>
      <c r="T25" s="61">
        <v>1608.7293171353606</v>
      </c>
      <c r="U25" s="61">
        <v>375.33313270840802</v>
      </c>
      <c r="V25" s="61">
        <v>1984.0624498437689</v>
      </c>
      <c r="W25" s="61">
        <v>1997.4495876517497</v>
      </c>
      <c r="X25" s="61">
        <v>103.12558835749371</v>
      </c>
      <c r="Y25" s="61">
        <v>141.04729768185726</v>
      </c>
      <c r="Z25" s="61">
        <v>145.42912960085602</v>
      </c>
      <c r="AA25" s="61">
        <v>154.6475361551727</v>
      </c>
      <c r="AB25" s="61">
        <v>156.9789799147415</v>
      </c>
      <c r="AC25" s="61">
        <v>200.79836768145884</v>
      </c>
      <c r="AD25" s="61">
        <v>169.41400447350895</v>
      </c>
      <c r="AE25" s="61">
        <v>149.80498830399372</v>
      </c>
      <c r="AF25" s="61">
        <v>155.93414237824487</v>
      </c>
      <c r="AG25" s="61">
        <v>192.02590338131262</v>
      </c>
      <c r="AH25" s="61">
        <v>201.17066493645453</v>
      </c>
      <c r="AI25" s="61">
        <v>264.62869875527178</v>
      </c>
      <c r="AJ25" s="61">
        <v>1707.0374727520048</v>
      </c>
      <c r="AK25" s="61">
        <v>327.96645295132066</v>
      </c>
      <c r="AL25" s="61">
        <v>2035.0053016203663</v>
      </c>
      <c r="AM25" s="61">
        <v>2030.3958927382314</v>
      </c>
      <c r="AN25" s="61">
        <v>127.53020187705251</v>
      </c>
      <c r="AO25" s="61">
        <v>153.34386543047566</v>
      </c>
      <c r="AP25" s="61">
        <v>155.63080887416689</v>
      </c>
      <c r="AQ25" s="61">
        <v>164.02887006903774</v>
      </c>
      <c r="AR25" s="61">
        <v>173.61850672449219</v>
      </c>
      <c r="AS25" s="61">
        <v>219.66489803700603</v>
      </c>
      <c r="AT25" s="61">
        <v>181.92499046675883</v>
      </c>
      <c r="AU25" s="61">
        <v>165.72601180414458</v>
      </c>
      <c r="AV25" s="61">
        <v>172.18906409183779</v>
      </c>
      <c r="AW25" s="61">
        <v>205.46465586422386</v>
      </c>
      <c r="AX25" s="61">
        <v>190.83128866654147</v>
      </c>
      <c r="AY25" s="61">
        <v>283.12747793125817</v>
      </c>
      <c r="AZ25" s="61">
        <v>1873.8455728766487</v>
      </c>
      <c r="BA25" s="61">
        <v>319.23506696034747</v>
      </c>
      <c r="BB25" s="53">
        <v>2193.0806398369959</v>
      </c>
      <c r="BC25" s="53">
        <v>2185.3214708510482</v>
      </c>
      <c r="BD25" s="83">
        <f>BD26+BD47+BD55</f>
        <v>111.44521900000001</v>
      </c>
      <c r="BE25" s="83">
        <f>BE26+BE47</f>
        <v>10.478608999999999</v>
      </c>
      <c r="BF25" s="83">
        <f>BF26+BF47+BF55</f>
        <v>121.92382800000001</v>
      </c>
      <c r="BG25" s="83">
        <f>BG26+BG47+BG55</f>
        <v>146.21366700000002</v>
      </c>
      <c r="BH25" s="83">
        <f>BH26+BH47</f>
        <v>11.81692</v>
      </c>
      <c r="BI25" s="74">
        <f>BI26+BI47+BI55</f>
        <v>158.03058700000003</v>
      </c>
      <c r="BJ25" s="83">
        <f>BJ26+BJ47+BJ55</f>
        <v>144.14972899999998</v>
      </c>
      <c r="BK25" s="83">
        <f>BK26+BK47</f>
        <v>12.064900000000002</v>
      </c>
      <c r="BL25" s="74">
        <f>BL26+BL47+BL55</f>
        <v>156.21462899999997</v>
      </c>
      <c r="BM25" s="83">
        <f>BM26+BM47+BM55</f>
        <v>163.953397</v>
      </c>
      <c r="BN25" s="83">
        <f>BN26+BN47</f>
        <v>16.495782000000002</v>
      </c>
      <c r="BO25" s="74">
        <f>BO26+BO47+BO55</f>
        <v>180.44917899999999</v>
      </c>
      <c r="BP25" s="83">
        <f>BP26+BP47+BP55</f>
        <v>152.53072700000001</v>
      </c>
      <c r="BQ25" s="83">
        <f>BQ26+BQ47</f>
        <v>18.982203999999999</v>
      </c>
      <c r="BR25" s="74">
        <f>BR26+BR47+BR55</f>
        <v>171.51293100000001</v>
      </c>
      <c r="BS25" s="83">
        <f>BS26+BS47+BS55</f>
        <v>181.82511799999997</v>
      </c>
      <c r="BT25" s="83">
        <f>BT26+BT47</f>
        <v>40.108781</v>
      </c>
      <c r="BU25" s="74">
        <f>BU26+BU47+BU55</f>
        <v>221.933899</v>
      </c>
      <c r="BV25" s="83">
        <f>BV26+BV47+BV55</f>
        <v>175.063377</v>
      </c>
      <c r="BW25" s="83">
        <f>BW26+BW47</f>
        <v>16.311436</v>
      </c>
      <c r="BX25" s="74">
        <f>BX26+BX47+BX55</f>
        <v>191.37481300000002</v>
      </c>
      <c r="BY25" s="83">
        <f>BY26+BY47+BY55</f>
        <v>128.29987299999996</v>
      </c>
      <c r="BZ25" s="83">
        <f>BZ26+BZ47</f>
        <v>27.656232000000003</v>
      </c>
      <c r="CA25" s="74">
        <f>CA26+CA47+CA55</f>
        <v>155.95610499999998</v>
      </c>
      <c r="CB25" s="83">
        <f>CB26+CB47+CB55</f>
        <v>142.84611800000002</v>
      </c>
      <c r="CC25" s="83">
        <f>CC26+CC47</f>
        <v>26.040487000000002</v>
      </c>
      <c r="CD25" s="74">
        <f>CD26+CD47+CD55</f>
        <v>168.886605</v>
      </c>
      <c r="CE25" s="83">
        <f>CE26+CE47+CE55</f>
        <v>172.681725</v>
      </c>
      <c r="CF25" s="83">
        <f>CF26+CF47</f>
        <v>24.443028000000002</v>
      </c>
      <c r="CG25" s="74">
        <f t="shared" ref="CG25:CM25" si="69">CG26+CG47+CG55</f>
        <v>197.124753</v>
      </c>
      <c r="CH25" s="83">
        <f t="shared" si="69"/>
        <v>170.62799399999997</v>
      </c>
      <c r="CI25" s="83">
        <f t="shared" si="69"/>
        <v>25.181531</v>
      </c>
      <c r="CJ25" s="74">
        <f t="shared" si="69"/>
        <v>195.80952499999998</v>
      </c>
      <c r="CK25" s="83">
        <f t="shared" si="69"/>
        <v>241.00430999999998</v>
      </c>
      <c r="CL25" s="83">
        <f t="shared" si="69"/>
        <v>35.498444000000006</v>
      </c>
      <c r="CM25" s="74">
        <f t="shared" si="69"/>
        <v>276.50275399999998</v>
      </c>
      <c r="CN25" s="55">
        <f>BD25+BG25+BJ25+BM25+BP25+BS25+BV25+BY25+CB25+CE25+CH25+CK25</f>
        <v>1930.6412539999997</v>
      </c>
      <c r="CO25" s="55">
        <f>BE25+BH25+BK25+BN25+BQ25+BT25+BW25+BZ25+CC25+CF25+CI25+CL25</f>
        <v>265.07835399999999</v>
      </c>
      <c r="CP25" s="55">
        <f t="shared" si="21"/>
        <v>2195.7196079999999</v>
      </c>
      <c r="CQ25" s="136">
        <f>CQ26+CQ47+CQ55</f>
        <v>2192.2549749999998</v>
      </c>
      <c r="CR25" s="83">
        <f>CR26+CR47+CR55</f>
        <v>125.58377700000003</v>
      </c>
      <c r="CS25" s="83">
        <f>CS26+CS47+CS55</f>
        <v>9.2241749999999989</v>
      </c>
      <c r="CT25" s="74">
        <f>CT26+CT47+CT55</f>
        <v>134.807952</v>
      </c>
      <c r="CU25" s="83">
        <v>154.47790199999997</v>
      </c>
      <c r="CV25" s="83">
        <v>8.7809010000000001</v>
      </c>
      <c r="CW25" s="74">
        <v>163.25880299999997</v>
      </c>
      <c r="CX25" s="83">
        <v>157.36514700000001</v>
      </c>
      <c r="CY25" s="83">
        <v>12.429214</v>
      </c>
      <c r="CZ25" s="74">
        <v>169.79436100000001</v>
      </c>
      <c r="DA25" s="83">
        <v>169.32199700000001</v>
      </c>
      <c r="DB25" s="83">
        <v>11.085650000000001</v>
      </c>
      <c r="DC25" s="74">
        <v>180.407647</v>
      </c>
      <c r="DD25" s="83">
        <v>156.98424900000001</v>
      </c>
      <c r="DE25" s="83">
        <v>21.046966999999999</v>
      </c>
      <c r="DF25" s="74">
        <v>178.03121600000003</v>
      </c>
      <c r="DG25" s="83">
        <v>207.48874699999999</v>
      </c>
      <c r="DH25" s="83">
        <v>20.212980999999999</v>
      </c>
      <c r="DI25" s="74">
        <v>227.701728</v>
      </c>
      <c r="DJ25" s="83">
        <v>171.37504700000002</v>
      </c>
      <c r="DK25" s="83">
        <v>15.792344</v>
      </c>
      <c r="DL25" s="74">
        <v>187.16739100000001</v>
      </c>
      <c r="DM25" s="83">
        <v>135.81720199999998</v>
      </c>
      <c r="DN25" s="83">
        <v>15.699403</v>
      </c>
      <c r="DO25" s="74">
        <v>151.51660499999997</v>
      </c>
      <c r="DP25" s="83">
        <v>149.230952</v>
      </c>
      <c r="DQ25" s="83">
        <v>8.6021429999999999</v>
      </c>
      <c r="DR25" s="74">
        <v>157.83309499999999</v>
      </c>
      <c r="DS25" s="83">
        <v>175.88682400000002</v>
      </c>
      <c r="DT25" s="83">
        <v>7.4629460000000005</v>
      </c>
      <c r="DU25" s="74">
        <v>183.34977000000003</v>
      </c>
      <c r="DV25" s="83">
        <v>172.67845199999999</v>
      </c>
      <c r="DW25" s="83">
        <v>6.8217470000000002</v>
      </c>
      <c r="DX25" s="74">
        <v>179.50019899999998</v>
      </c>
      <c r="DY25" s="83">
        <v>242.61661899999999</v>
      </c>
      <c r="DZ25" s="83">
        <v>12.001738999999999</v>
      </c>
      <c r="EA25" s="74">
        <v>254.61835799999997</v>
      </c>
      <c r="EB25" s="74">
        <f t="shared" si="22"/>
        <v>2018.8269149999996</v>
      </c>
      <c r="EC25" s="55">
        <f t="shared" si="23"/>
        <v>149.16020999999998</v>
      </c>
      <c r="ED25" s="55">
        <f t="shared" si="24"/>
        <v>2167.9871250000001</v>
      </c>
      <c r="EE25" s="74">
        <f>EE26+EE47+EE55</f>
        <v>2166.2871689999997</v>
      </c>
      <c r="EF25" s="55">
        <v>117.01516799999999</v>
      </c>
      <c r="EG25" s="55">
        <v>2.3918189999999999</v>
      </c>
      <c r="EH25" s="55">
        <v>119.406987</v>
      </c>
      <c r="EI25" s="55">
        <v>159.844449</v>
      </c>
      <c r="EJ25" s="55">
        <v>1.05905</v>
      </c>
      <c r="EK25" s="55">
        <v>160.90349900000001</v>
      </c>
      <c r="EL25" s="55">
        <v>162.27703599999998</v>
      </c>
      <c r="EM25" s="55">
        <v>1.198013</v>
      </c>
      <c r="EN25" s="55">
        <v>163.47504899999998</v>
      </c>
      <c r="EO25" s="55">
        <v>166.24160099999997</v>
      </c>
      <c r="EP25" s="55">
        <v>1.046729</v>
      </c>
      <c r="EQ25" s="55">
        <v>167.28832999999997</v>
      </c>
      <c r="ER25" s="55">
        <v>171.59425399999998</v>
      </c>
      <c r="ES25" s="55">
        <v>1.2575719999999999</v>
      </c>
      <c r="ET25" s="55">
        <v>172.85182599999999</v>
      </c>
      <c r="EU25" s="55">
        <v>218.82381000000004</v>
      </c>
      <c r="EV25" s="55">
        <v>1.328964</v>
      </c>
      <c r="EW25" s="55">
        <v>220.15277400000002</v>
      </c>
      <c r="EX25" s="55">
        <v>178.79642800000002</v>
      </c>
      <c r="EY25" s="55">
        <v>1.8347900000000001</v>
      </c>
      <c r="EZ25" s="55">
        <v>180.63121799999999</v>
      </c>
      <c r="FA25" s="55">
        <v>144.67645599999997</v>
      </c>
      <c r="FB25" s="55">
        <v>1.7724769999999999</v>
      </c>
      <c r="FC25" s="55">
        <v>146.44893299999998</v>
      </c>
      <c r="FD25" s="55">
        <v>158.089688</v>
      </c>
      <c r="FE25" s="55">
        <v>1.9239109999999999</v>
      </c>
      <c r="FF25" s="55">
        <v>160.013599</v>
      </c>
      <c r="FG25" s="55">
        <v>193.58072599999997</v>
      </c>
      <c r="FH25" s="55">
        <v>3.4907780000000002</v>
      </c>
      <c r="FI25" s="55">
        <v>197.07150399999998</v>
      </c>
      <c r="FJ25" s="55">
        <v>186.45013</v>
      </c>
      <c r="FK25" s="55">
        <v>3.7636530000000001</v>
      </c>
      <c r="FL25" s="55">
        <v>190.21378300000001</v>
      </c>
      <c r="FM25" s="55">
        <v>267.48399900000004</v>
      </c>
      <c r="FN25" s="55">
        <v>0</v>
      </c>
      <c r="FO25" s="55">
        <v>267.48399900000004</v>
      </c>
      <c r="FP25" s="55">
        <f t="shared" si="25"/>
        <v>2124.8737449999999</v>
      </c>
      <c r="FQ25" s="55">
        <f t="shared" si="26"/>
        <v>21.067756000000003</v>
      </c>
      <c r="FR25" s="55">
        <f t="shared" si="27"/>
        <v>2145.9415010000002</v>
      </c>
      <c r="FS25" s="160">
        <f>FS26+FS47+FS55</f>
        <v>2145.5543769999999</v>
      </c>
      <c r="FT25" s="55">
        <v>131.39093500000001</v>
      </c>
      <c r="FU25" s="55">
        <v>1.1913450000000001</v>
      </c>
      <c r="FV25" s="55">
        <v>132.58228000000003</v>
      </c>
      <c r="FW25" s="55">
        <v>175.38216199999999</v>
      </c>
      <c r="FX25" s="55">
        <v>5.4180739999999998</v>
      </c>
      <c r="FY25" s="55">
        <v>180.80023599999998</v>
      </c>
      <c r="FZ25" s="55">
        <v>173.83644900000002</v>
      </c>
      <c r="GA25" s="55">
        <v>5.9206719999999997</v>
      </c>
      <c r="GB25" s="55">
        <v>179.75712100000001</v>
      </c>
      <c r="GC25" s="55">
        <v>183.22957500000007</v>
      </c>
      <c r="GD25" s="55">
        <v>2.760637</v>
      </c>
      <c r="GE25" s="55">
        <v>185.99021200000004</v>
      </c>
      <c r="GF25" s="55">
        <v>195.21139800000006</v>
      </c>
      <c r="GG25" s="55">
        <v>5.4117600000000001</v>
      </c>
      <c r="GH25" s="55">
        <v>200.62315800000005</v>
      </c>
      <c r="GI25" s="55">
        <v>256.18150700000001</v>
      </c>
      <c r="GJ25" s="55">
        <v>7.2439169999999997</v>
      </c>
      <c r="GK25" s="55">
        <v>263.42542400000002</v>
      </c>
      <c r="GL25" s="55">
        <v>180.98340199999998</v>
      </c>
      <c r="GM25" s="55">
        <v>10.760869999999999</v>
      </c>
      <c r="GN25" s="55">
        <v>191.74077199999999</v>
      </c>
      <c r="GO25" s="55">
        <v>169.12151800000001</v>
      </c>
      <c r="GP25" s="55">
        <v>13.713108999999999</v>
      </c>
      <c r="GQ25" s="55">
        <v>182.83462700000001</v>
      </c>
      <c r="GR25" s="55">
        <v>172.681117</v>
      </c>
      <c r="GS25" s="55">
        <v>18.617083999999998</v>
      </c>
      <c r="GT25" s="55">
        <v>191.29820100000001</v>
      </c>
      <c r="GU25" s="55">
        <v>196.12329800000001</v>
      </c>
      <c r="GV25" s="55">
        <v>19.461010000000002</v>
      </c>
      <c r="GW25" s="55">
        <v>215.58430799999999</v>
      </c>
      <c r="GX25" s="55">
        <v>215.45803900000001</v>
      </c>
      <c r="GY25" s="55">
        <v>19.930440000000001</v>
      </c>
      <c r="GZ25" s="55">
        <v>235.38847899999999</v>
      </c>
      <c r="HA25" s="55">
        <v>282.40426500000001</v>
      </c>
      <c r="HB25" s="55">
        <v>34.573374999999999</v>
      </c>
      <c r="HC25" s="55">
        <v>316.97764000000001</v>
      </c>
      <c r="HD25" s="55">
        <f t="shared" si="28"/>
        <v>2332.0036650000002</v>
      </c>
      <c r="HE25" s="55">
        <f t="shared" si="29"/>
        <v>145.00229300000001</v>
      </c>
      <c r="HF25" s="55">
        <f t="shared" si="30"/>
        <v>2477.0024579999999</v>
      </c>
      <c r="HG25" s="55">
        <f>HG26+HG47+HG55</f>
        <v>2475.4237439999997</v>
      </c>
      <c r="HH25" s="55">
        <v>142.70044300000001</v>
      </c>
      <c r="HI25" s="55">
        <v>7.5316429999999999</v>
      </c>
      <c r="HJ25" s="55">
        <v>150.23208600000001</v>
      </c>
      <c r="HK25" s="55">
        <v>182.95255599999999</v>
      </c>
      <c r="HL25" s="55">
        <v>9.9325700000000001</v>
      </c>
      <c r="HM25" s="55">
        <v>192.88512600000001</v>
      </c>
      <c r="HN25" s="55">
        <v>191.534809</v>
      </c>
      <c r="HO25" s="55">
        <v>10.033524</v>
      </c>
      <c r="HP25" s="55">
        <v>201.568333</v>
      </c>
      <c r="HQ25" s="55">
        <v>189.50428099999999</v>
      </c>
      <c r="HR25" s="55">
        <v>7.9626279999999996</v>
      </c>
      <c r="HS25" s="55">
        <v>197.46690899999999</v>
      </c>
      <c r="HT25" s="55">
        <v>197.928324</v>
      </c>
      <c r="HU25" s="55">
        <v>15.320050999999999</v>
      </c>
      <c r="HV25" s="55">
        <v>213.24837500000001</v>
      </c>
      <c r="HW25" s="55">
        <v>258.79773499999999</v>
      </c>
      <c r="HX25" s="55">
        <v>24.667135999999999</v>
      </c>
      <c r="HY25" s="55">
        <v>283.46487100000002</v>
      </c>
      <c r="HZ25" s="55">
        <v>202.07099400000001</v>
      </c>
      <c r="IA25" s="55">
        <v>30.948376</v>
      </c>
      <c r="IB25" s="55">
        <v>233.01937000000001</v>
      </c>
      <c r="IC25" s="55">
        <v>175.489554</v>
      </c>
      <c r="ID25" s="55">
        <v>34.667822999999999</v>
      </c>
      <c r="IE25" s="55">
        <v>210.157377</v>
      </c>
      <c r="IF25" s="55">
        <v>172.29900699999999</v>
      </c>
      <c r="IG25" s="55">
        <v>40.014837</v>
      </c>
      <c r="IH25" s="55">
        <v>212.31384399999999</v>
      </c>
      <c r="II25" s="55">
        <v>213.97769199999999</v>
      </c>
      <c r="IJ25" s="55">
        <v>34.270749000000002</v>
      </c>
      <c r="IK25" s="55">
        <v>248.24844100000001</v>
      </c>
      <c r="IL25" s="55">
        <v>214.97261</v>
      </c>
      <c r="IM25" s="55">
        <v>53.863956999999999</v>
      </c>
      <c r="IN25" s="55">
        <v>268.836567</v>
      </c>
      <c r="IO25" s="55">
        <v>339.47015900000002</v>
      </c>
      <c r="IP25" s="55">
        <v>45.738967000000002</v>
      </c>
      <c r="IQ25" s="55">
        <v>385.20912600000003</v>
      </c>
      <c r="IR25" s="74">
        <f t="shared" si="34"/>
        <v>2481.6981639999999</v>
      </c>
      <c r="IS25" s="55">
        <f t="shared" si="35"/>
        <v>314.95226100000002</v>
      </c>
      <c r="IT25" s="55">
        <f t="shared" si="36"/>
        <v>2796.6504250000003</v>
      </c>
      <c r="IU25" s="55">
        <f>IU26+IU47+IU55</f>
        <v>2795.7761059999998</v>
      </c>
      <c r="IV25" s="74">
        <v>150.49310800000001</v>
      </c>
      <c r="IW25" s="55">
        <v>14.159292000000001</v>
      </c>
      <c r="IX25" s="55">
        <v>164.6524</v>
      </c>
      <c r="IY25" s="74">
        <v>182.119822</v>
      </c>
      <c r="IZ25" s="55">
        <v>14.953077</v>
      </c>
      <c r="JA25" s="55">
        <v>197.07289900000001</v>
      </c>
      <c r="JB25" s="74">
        <v>195.10529500000001</v>
      </c>
      <c r="JC25" s="55">
        <v>20.562873</v>
      </c>
      <c r="JD25" s="55">
        <v>215.66816800000001</v>
      </c>
      <c r="JE25" s="74">
        <v>194.59322900000001</v>
      </c>
      <c r="JF25" s="55">
        <v>21.182293000000001</v>
      </c>
      <c r="JG25" s="55">
        <v>215.775522</v>
      </c>
      <c r="JH25" s="74">
        <v>217.036507</v>
      </c>
      <c r="JI25" s="55">
        <v>29.428715</v>
      </c>
      <c r="JJ25" s="55">
        <v>246.46522200000001</v>
      </c>
      <c r="JK25" s="74">
        <v>257.02080799999999</v>
      </c>
      <c r="JL25" s="55">
        <v>39.452668000000003</v>
      </c>
      <c r="JM25" s="55">
        <v>296.47347600000001</v>
      </c>
      <c r="JN25" s="74">
        <v>213.55606900000001</v>
      </c>
      <c r="JO25" s="55">
        <v>33.922313000000003</v>
      </c>
      <c r="JP25" s="55">
        <v>247.47838200000001</v>
      </c>
      <c r="JQ25" s="74">
        <v>176.780959</v>
      </c>
      <c r="JR25" s="55">
        <v>38.128335</v>
      </c>
      <c r="JS25" s="55">
        <v>214.90929399999999</v>
      </c>
      <c r="JT25" s="74">
        <v>180.16735199999999</v>
      </c>
      <c r="JU25" s="55">
        <v>41.377167999999998</v>
      </c>
      <c r="JV25" s="55">
        <v>221.54452000000001</v>
      </c>
      <c r="JW25" s="74">
        <v>213.55066099999999</v>
      </c>
      <c r="JX25" s="55">
        <v>39.678116000000003</v>
      </c>
      <c r="JY25" s="55">
        <v>253.22877700000001</v>
      </c>
      <c r="JZ25" s="74">
        <v>214.28310099999999</v>
      </c>
      <c r="KA25" s="55">
        <v>28.955438999999998</v>
      </c>
      <c r="KB25" s="55">
        <v>243.23854</v>
      </c>
      <c r="KC25" s="74">
        <v>305.94802199999998</v>
      </c>
      <c r="KD25" s="55">
        <v>48.623412000000002</v>
      </c>
      <c r="KE25" s="55">
        <v>354.57143400000001</v>
      </c>
      <c r="KF25" s="74">
        <f t="shared" si="37"/>
        <v>2500.6549330000003</v>
      </c>
      <c r="KG25" s="55">
        <f t="shared" si="3"/>
        <v>370.42370100000005</v>
      </c>
      <c r="KH25" s="55">
        <f t="shared" si="4"/>
        <v>2871.078634</v>
      </c>
      <c r="KI25" s="55">
        <f>KI26+KI47+KI55</f>
        <v>2869.0555529999997</v>
      </c>
      <c r="KJ25" s="74">
        <v>155.56257299999999</v>
      </c>
      <c r="KK25" s="55">
        <v>25.678446999999998</v>
      </c>
      <c r="KL25" s="55">
        <v>181.24101999999999</v>
      </c>
      <c r="KM25" s="74">
        <v>190.81834499999999</v>
      </c>
      <c r="KN25" s="55">
        <v>17.587129999999998</v>
      </c>
      <c r="KO25" s="55">
        <v>208.405475</v>
      </c>
      <c r="KP25" s="74">
        <v>201.077011</v>
      </c>
      <c r="KQ25" s="55">
        <v>22.061019999999999</v>
      </c>
      <c r="KR25" s="55">
        <v>223.13803100000001</v>
      </c>
      <c r="KS25" s="55">
        <v>199.82112499999999</v>
      </c>
      <c r="KT25" s="55">
        <v>23.755890999999998</v>
      </c>
      <c r="KU25" s="55">
        <v>223.57701599999999</v>
      </c>
      <c r="KV25" s="55">
        <v>182.89473799999999</v>
      </c>
      <c r="KW25" s="55">
        <v>20.609950000000001</v>
      </c>
      <c r="KX25" s="55">
        <v>203.50468799999999</v>
      </c>
      <c r="KY25" s="55">
        <v>240.77578399999999</v>
      </c>
      <c r="KZ25" s="55">
        <v>30.521583</v>
      </c>
      <c r="LA25" s="55">
        <v>271.29736700000001</v>
      </c>
      <c r="LB25" s="74">
        <v>204.371216</v>
      </c>
      <c r="LC25" s="55">
        <v>30.247074000000001</v>
      </c>
      <c r="LD25" s="55">
        <v>234.61829</v>
      </c>
      <c r="LE25" s="74">
        <v>165.934763</v>
      </c>
      <c r="LF25" s="74">
        <v>34.682602000000003</v>
      </c>
      <c r="LG25" s="74">
        <v>200.61736500000001</v>
      </c>
      <c r="LH25" s="74">
        <v>188.30619200000001</v>
      </c>
      <c r="LI25" s="55">
        <v>33.267919999999997</v>
      </c>
      <c r="LJ25" s="55">
        <v>221.57411200000001</v>
      </c>
      <c r="LK25" s="74">
        <v>225.61711700000001</v>
      </c>
      <c r="LL25" s="55">
        <v>29.376504000000001</v>
      </c>
      <c r="LM25" s="55">
        <v>254.99362099999999</v>
      </c>
      <c r="LN25" s="74">
        <v>227.21162699999999</v>
      </c>
      <c r="LO25" s="55">
        <v>29.530298999999999</v>
      </c>
      <c r="LP25" s="55">
        <v>256.74192599999998</v>
      </c>
      <c r="LQ25" s="74">
        <v>340.07334100000003</v>
      </c>
      <c r="LR25" s="55">
        <v>37.934637000000002</v>
      </c>
      <c r="LS25" s="55">
        <v>378.00797799999998</v>
      </c>
      <c r="LT25" s="74">
        <f>KJ25+KM25+KP25+KS25+KV25+KY25+LB25+LE25+LH25+LK25+LN25+LQ25</f>
        <v>2522.4638319999995</v>
      </c>
      <c r="LU25" s="55">
        <f t="shared" si="58"/>
        <v>335.25305700000001</v>
      </c>
      <c r="LV25" s="55">
        <f t="shared" si="58"/>
        <v>2857.7168889999998</v>
      </c>
      <c r="LW25" s="222">
        <f>LW26+LW47+LW55</f>
        <v>2856.0681860000004</v>
      </c>
      <c r="LX25" s="74">
        <v>141.159526</v>
      </c>
      <c r="LY25" s="55">
        <v>11.516026</v>
      </c>
      <c r="LZ25" s="55">
        <v>152.67555200000001</v>
      </c>
      <c r="MA25" s="74">
        <v>195.69554600000001</v>
      </c>
      <c r="MB25" s="55">
        <v>18.244820000000001</v>
      </c>
      <c r="MC25" s="55">
        <v>213.94036600000001</v>
      </c>
      <c r="MD25" s="74">
        <v>208.913389</v>
      </c>
      <c r="ME25" s="55">
        <v>16.711569000000001</v>
      </c>
      <c r="MF25" s="55">
        <v>225.62495799999999</v>
      </c>
      <c r="MG25" s="74">
        <v>209.367738</v>
      </c>
      <c r="MH25" s="55">
        <v>21.779187</v>
      </c>
      <c r="MI25" s="55">
        <v>231.14692500000001</v>
      </c>
      <c r="MJ25" s="74">
        <v>207.338189</v>
      </c>
      <c r="MK25" s="55">
        <v>20.855259</v>
      </c>
      <c r="ML25" s="55">
        <v>228.19344799999999</v>
      </c>
      <c r="MM25" s="74">
        <v>305.722667</v>
      </c>
      <c r="MN25" s="55">
        <v>30.839269000000002</v>
      </c>
      <c r="MO25" s="55">
        <v>336.561936</v>
      </c>
      <c r="MP25" s="74">
        <v>193.53761399999999</v>
      </c>
      <c r="MQ25" s="55">
        <v>29.737811000000001</v>
      </c>
      <c r="MR25" s="55">
        <v>223.27542500000001</v>
      </c>
      <c r="MS25" s="74">
        <v>173.93258539999991</v>
      </c>
      <c r="MT25" s="55">
        <v>23.971494</v>
      </c>
      <c r="MU25" s="55">
        <v>197.90408600000001</v>
      </c>
      <c r="MV25" s="74">
        <v>189.108824</v>
      </c>
      <c r="MW25" s="55">
        <v>32.603642000000001</v>
      </c>
      <c r="MX25" s="55">
        <v>221.71246600000001</v>
      </c>
      <c r="MY25" s="74">
        <v>224.539669</v>
      </c>
      <c r="MZ25" s="55">
        <v>27.179002000000001</v>
      </c>
      <c r="NA25" s="55">
        <v>251.718671</v>
      </c>
      <c r="NB25" s="74">
        <v>234.31591900000001</v>
      </c>
      <c r="NC25" s="55">
        <v>35.755322999999997</v>
      </c>
      <c r="ND25" s="55">
        <v>270.07124199999998</v>
      </c>
      <c r="NE25" s="74">
        <v>361.31189000000001</v>
      </c>
      <c r="NF25" s="55">
        <v>52.938836000000002</v>
      </c>
      <c r="NG25" s="55">
        <v>414.25072599999999</v>
      </c>
      <c r="NH25" s="74">
        <f>LX25+MA25+MD25+MG25+MJ25+MM25+MP25+MS25+MV25+MY25+NB25+NE25</f>
        <v>2644.9435564</v>
      </c>
      <c r="NI25" s="55">
        <f t="shared" si="6"/>
        <v>322.13223799999997</v>
      </c>
      <c r="NJ25" s="55">
        <f t="shared" si="7"/>
        <v>2967.075801</v>
      </c>
      <c r="NK25" s="55">
        <f>NK26+NK47+NK55</f>
        <v>2966.6023130000008</v>
      </c>
      <c r="NL25" s="55">
        <v>163.98468299999999</v>
      </c>
      <c r="NM25" s="55">
        <v>10.644392</v>
      </c>
      <c r="NN25" s="55">
        <v>174.629075</v>
      </c>
      <c r="NO25" s="55">
        <v>195.27621500000001</v>
      </c>
      <c r="NP25" s="55">
        <v>12.29349</v>
      </c>
      <c r="NQ25" s="55">
        <v>207.569705</v>
      </c>
      <c r="NR25" s="55">
        <v>207.32107999999999</v>
      </c>
      <c r="NS25" s="55">
        <v>18.845241000000001</v>
      </c>
      <c r="NT25" s="55">
        <v>226.16632100000001</v>
      </c>
      <c r="NU25" s="55">
        <v>221.42454599999999</v>
      </c>
      <c r="NV25" s="55">
        <v>12.721120000000001</v>
      </c>
      <c r="NW25" s="55">
        <v>234.14566600000001</v>
      </c>
      <c r="NX25" s="55">
        <v>233.92634200000001</v>
      </c>
      <c r="NY25" s="55">
        <v>20.199031000000002</v>
      </c>
      <c r="NZ25" s="55">
        <v>254.125373</v>
      </c>
      <c r="OA25" s="55">
        <v>300.67261300000001</v>
      </c>
      <c r="OB25" s="55">
        <v>24.398975</v>
      </c>
      <c r="OC25" s="55">
        <v>325.07158800000002</v>
      </c>
      <c r="OD25" s="55">
        <v>235.080637</v>
      </c>
      <c r="OE25" s="55">
        <v>14.542801000000001</v>
      </c>
      <c r="OF25" s="55">
        <v>249.62343799999999</v>
      </c>
      <c r="OG25" s="55">
        <v>196.62300200000001</v>
      </c>
      <c r="OH25" s="55">
        <v>25.356812000000001</v>
      </c>
      <c r="OI25" s="160">
        <v>221.979814</v>
      </c>
      <c r="OJ25" s="55">
        <v>212.562307</v>
      </c>
      <c r="OK25" s="55">
        <v>34.773594000000003</v>
      </c>
      <c r="OL25" s="55">
        <v>247.33590100000001</v>
      </c>
      <c r="OM25" s="55">
        <v>277.44509499999998</v>
      </c>
      <c r="ON25" s="55">
        <v>13.942113000000001</v>
      </c>
      <c r="OO25" s="55">
        <v>291.38720799999999</v>
      </c>
      <c r="OP25" s="55">
        <v>285.40775500000001</v>
      </c>
      <c r="OQ25" s="55">
        <v>25.289567000000002</v>
      </c>
      <c r="OR25" s="55">
        <v>310.69732199999999</v>
      </c>
      <c r="OS25" s="55">
        <v>408.67900500000002</v>
      </c>
      <c r="OT25" s="55">
        <v>38.027586999999997</v>
      </c>
      <c r="OU25" s="55">
        <v>446.706592</v>
      </c>
      <c r="OV25" s="74">
        <f>NL25+NO25+NR25+NU25+NX25+OA25+OD25+OG25+OJ25+OM25+OP25+OS25</f>
        <v>2938.40328</v>
      </c>
      <c r="OW25" s="55">
        <f t="shared" si="68"/>
        <v>251.03472299999999</v>
      </c>
      <c r="OX25" s="55">
        <f t="shared" si="9"/>
        <v>3189.4380030000002</v>
      </c>
      <c r="OY25" s="55">
        <f>OY26+OY47+OY55</f>
        <v>3188.3118869999998</v>
      </c>
      <c r="OZ25" s="55">
        <v>210.13714199999998</v>
      </c>
      <c r="PA25" s="55">
        <v>11.849261</v>
      </c>
      <c r="PB25" s="55">
        <v>221.98616900000002</v>
      </c>
      <c r="PC25" s="55">
        <v>245.16205299999999</v>
      </c>
      <c r="PD25" s="55">
        <v>12.148197</v>
      </c>
      <c r="PE25" s="55">
        <v>257.31025</v>
      </c>
      <c r="PF25" s="172">
        <v>263.55797100000001</v>
      </c>
      <c r="PG25" s="55">
        <v>18.127745999999998</v>
      </c>
      <c r="PH25" s="55">
        <v>281.68571700000001</v>
      </c>
      <c r="PI25" s="172">
        <v>259.26811999999995</v>
      </c>
      <c r="PJ25" s="55">
        <v>22.833093000000002</v>
      </c>
      <c r="PK25" s="55">
        <v>282.10121299999997</v>
      </c>
      <c r="PL25" s="172">
        <v>252.020884</v>
      </c>
      <c r="PM25" s="55">
        <v>22.938796</v>
      </c>
      <c r="PN25" s="55">
        <v>274.95967999999999</v>
      </c>
      <c r="PO25" s="172">
        <v>344.66821099999987</v>
      </c>
      <c r="PP25" s="55">
        <v>24.070291000000001</v>
      </c>
      <c r="PQ25" s="55">
        <v>368.73850199999987</v>
      </c>
      <c r="PR25" s="55">
        <v>264.66511300000002</v>
      </c>
      <c r="PS25" s="55">
        <v>20.528738000000001</v>
      </c>
      <c r="PT25" s="55">
        <v>285.193851</v>
      </c>
      <c r="PU25" s="55">
        <v>233.72428500000001</v>
      </c>
      <c r="PV25" s="55">
        <v>43.952179999999998</v>
      </c>
      <c r="PW25" s="55">
        <v>277.67646500000001</v>
      </c>
      <c r="PX25" s="55">
        <v>232.60335500000002</v>
      </c>
      <c r="PY25" s="55">
        <v>22.422059999999998</v>
      </c>
      <c r="PZ25" s="55">
        <v>255.02541500000001</v>
      </c>
      <c r="QA25" s="55">
        <v>291.422302</v>
      </c>
      <c r="QB25" s="55">
        <v>23.696936999999998</v>
      </c>
      <c r="QC25" s="55">
        <v>315.11923899999999</v>
      </c>
      <c r="QD25" s="55">
        <v>302.01642800000002</v>
      </c>
      <c r="QE25" s="55">
        <v>22.368617</v>
      </c>
      <c r="QF25" s="55">
        <v>324.38504499999999</v>
      </c>
      <c r="QG25" s="55">
        <v>432.390603</v>
      </c>
      <c r="QH25" s="55">
        <v>60.374118000000003</v>
      </c>
      <c r="QI25" s="55">
        <v>492.76472100000001</v>
      </c>
      <c r="QJ25" s="74">
        <f t="shared" si="38"/>
        <v>3331.6364669999998</v>
      </c>
      <c r="QK25" s="55">
        <f t="shared" si="39"/>
        <v>305.31003399999997</v>
      </c>
      <c r="QL25" s="55">
        <f t="shared" si="40"/>
        <v>3636.9462670000003</v>
      </c>
      <c r="QM25" s="55">
        <f>QM26+QM47+QM55</f>
        <v>3635.0289830000002</v>
      </c>
      <c r="QN25" s="172">
        <v>240.18236400000001</v>
      </c>
      <c r="QO25" s="55">
        <v>2.976909</v>
      </c>
      <c r="QP25" s="55">
        <v>243.15927300000001</v>
      </c>
      <c r="QQ25" s="172">
        <v>278.38831100000004</v>
      </c>
      <c r="QR25" s="55">
        <v>3.6119490000000001</v>
      </c>
      <c r="QS25" s="55">
        <v>282.00026000000003</v>
      </c>
      <c r="QT25" s="55">
        <v>274.00508100000002</v>
      </c>
      <c r="QU25" s="55">
        <v>6.1817690000000001</v>
      </c>
      <c r="QV25" s="55">
        <v>280.18684999999999</v>
      </c>
      <c r="QW25" s="55">
        <v>301.80647699999997</v>
      </c>
      <c r="QX25" s="55">
        <v>7.804119</v>
      </c>
      <c r="QY25" s="55">
        <v>309.61059599999999</v>
      </c>
      <c r="QZ25" s="55">
        <v>299.30097700000005</v>
      </c>
      <c r="RA25" s="55">
        <v>4.9702440000000001</v>
      </c>
      <c r="RB25" s="55">
        <v>304.27122100000003</v>
      </c>
      <c r="RC25" s="172">
        <v>363.95755400000002</v>
      </c>
      <c r="RD25" s="55">
        <v>7.3881110000000003</v>
      </c>
      <c r="RE25" s="55">
        <v>371.345665</v>
      </c>
      <c r="RF25" s="55">
        <v>316.28735599999999</v>
      </c>
      <c r="RG25" s="55">
        <v>10.761189</v>
      </c>
      <c r="RH25" s="55">
        <v>327.04854499999999</v>
      </c>
      <c r="RI25" s="55">
        <v>261.61281199999996</v>
      </c>
      <c r="RJ25" s="55">
        <v>8.6027290000000001</v>
      </c>
      <c r="RK25" s="55">
        <v>270.21554099999997</v>
      </c>
      <c r="RL25" s="55">
        <v>245.501902</v>
      </c>
      <c r="RM25" s="55">
        <v>9.9377069999999996</v>
      </c>
      <c r="RN25" s="55">
        <v>255.43960899999999</v>
      </c>
      <c r="RO25" s="55">
        <v>323.33120500000001</v>
      </c>
      <c r="RP25" s="55">
        <v>15.807767</v>
      </c>
      <c r="RQ25" s="55">
        <v>338.89242100000001</v>
      </c>
      <c r="RR25" s="55">
        <v>332.45185099999998</v>
      </c>
      <c r="RS25" s="55">
        <v>12.11739</v>
      </c>
      <c r="RT25" s="55">
        <v>344.56924099999998</v>
      </c>
      <c r="RU25" s="55">
        <v>439.85695699999997</v>
      </c>
      <c r="RV25" s="55">
        <v>32.635218999999999</v>
      </c>
      <c r="RW25" s="55">
        <v>472.49217599999997</v>
      </c>
      <c r="RX25" s="74">
        <f t="shared" si="41"/>
        <v>3676.6828469999996</v>
      </c>
      <c r="RY25" s="55">
        <f t="shared" si="42"/>
        <v>122.79510200000001</v>
      </c>
      <c r="RZ25" s="55">
        <f t="shared" si="43"/>
        <v>3799.2313979999999</v>
      </c>
      <c r="SA25" s="55">
        <f>SA26+SA47+SA55</f>
        <v>3796.0824259999999</v>
      </c>
      <c r="SB25" s="55">
        <v>252.054349</v>
      </c>
      <c r="SC25" s="55">
        <v>12.951819</v>
      </c>
      <c r="SD25" s="55">
        <v>265.006168</v>
      </c>
      <c r="SE25" s="55">
        <v>277.37074000000001</v>
      </c>
      <c r="SF25" s="55">
        <v>8.4432010000000002</v>
      </c>
      <c r="SG25" s="55">
        <v>285.813941</v>
      </c>
      <c r="SH25" s="55">
        <v>287.78163400000005</v>
      </c>
      <c r="SI25" s="55">
        <v>13.383431</v>
      </c>
      <c r="SJ25" s="55">
        <v>301.16506500000003</v>
      </c>
      <c r="SK25" s="172">
        <v>333.739304</v>
      </c>
      <c r="SL25" s="55">
        <v>19.010964000000001</v>
      </c>
      <c r="SM25" s="55">
        <v>352.75026800000001</v>
      </c>
      <c r="SN25" s="55">
        <f t="shared" si="44"/>
        <v>296.94545500000004</v>
      </c>
      <c r="SO25" s="55">
        <v>27.653824</v>
      </c>
      <c r="SP25" s="55">
        <v>324.59927900000002</v>
      </c>
      <c r="SQ25" s="55">
        <v>374.26271399999996</v>
      </c>
      <c r="SR25" s="55">
        <v>24.251999000000001</v>
      </c>
      <c r="SS25" s="55">
        <v>398.51471299999997</v>
      </c>
      <c r="ST25" s="55">
        <v>326.52326499999998</v>
      </c>
      <c r="SU25" s="55">
        <v>37.341406999999997</v>
      </c>
      <c r="SV25" s="55">
        <v>363.86467199999998</v>
      </c>
      <c r="SW25" s="55">
        <v>257.75796000000003</v>
      </c>
      <c r="SX25" s="55">
        <v>34.584766999999999</v>
      </c>
      <c r="SY25" s="55">
        <v>292.34272700000002</v>
      </c>
      <c r="SZ25" s="55">
        <v>271.550003</v>
      </c>
      <c r="TA25" s="55">
        <v>39.174863000000002</v>
      </c>
      <c r="TB25" s="55">
        <v>310.72486600000002</v>
      </c>
      <c r="TC25" s="55">
        <v>335.059574</v>
      </c>
      <c r="TD25" s="55">
        <v>41.112867000000001</v>
      </c>
      <c r="TE25" s="55">
        <v>376.17244099999999</v>
      </c>
      <c r="TF25" s="55">
        <v>316.202113</v>
      </c>
      <c r="TG25" s="55">
        <v>30.042057</v>
      </c>
      <c r="TH25" s="55">
        <v>346.24417</v>
      </c>
      <c r="TI25" s="55">
        <v>432.98995099999996</v>
      </c>
      <c r="TJ25" s="55">
        <v>58.494732999999997</v>
      </c>
      <c r="TK25" s="55">
        <v>491.48468399999996</v>
      </c>
      <c r="TL25" s="74">
        <f t="shared" si="45"/>
        <v>3762.2370619999997</v>
      </c>
      <c r="TM25" s="55">
        <f t="shared" si="46"/>
        <v>346.44593199999997</v>
      </c>
      <c r="TN25" s="55">
        <f t="shared" si="47"/>
        <v>4108.6829940000007</v>
      </c>
      <c r="TO25" s="55">
        <v>255.90079900000023</v>
      </c>
      <c r="TP25" s="55">
        <v>19.900579</v>
      </c>
      <c r="TQ25" s="55">
        <v>275.80137800000023</v>
      </c>
      <c r="TR25" s="55">
        <f>TT25-TS25</f>
        <v>291.0195770000002</v>
      </c>
      <c r="TS25" s="55">
        <v>22.454754000000001</v>
      </c>
      <c r="TT25" s="55">
        <v>313.47433100000018</v>
      </c>
      <c r="TU25" s="55">
        <v>304.98034000000001</v>
      </c>
      <c r="TV25" s="55">
        <v>26.729429</v>
      </c>
      <c r="TW25" s="55">
        <v>331.70976899999999</v>
      </c>
      <c r="TX25" s="55">
        <f t="shared" si="49"/>
        <v>318.87159499999996</v>
      </c>
      <c r="TY25" s="55">
        <v>19.783809000000002</v>
      </c>
      <c r="TZ25" s="55">
        <v>338.65540399999998</v>
      </c>
      <c r="UA25" s="55"/>
      <c r="UB25" s="55"/>
      <c r="UC25" s="55"/>
      <c r="UD25" s="55"/>
      <c r="UE25" s="55"/>
      <c r="UF25" s="55"/>
      <c r="UG25" s="55"/>
      <c r="UH25" s="55"/>
      <c r="UI25" s="55"/>
      <c r="UJ25" s="55"/>
      <c r="UK25" s="55"/>
      <c r="UL25" s="55"/>
      <c r="UM25" s="55"/>
      <c r="UN25" s="55"/>
      <c r="UO25" s="55"/>
      <c r="UP25" s="55"/>
      <c r="UQ25" s="55"/>
      <c r="UR25" s="55"/>
      <c r="US25" s="55"/>
      <c r="UT25" s="55"/>
      <c r="UU25" s="55"/>
      <c r="UV25" s="55"/>
      <c r="UW25" s="55"/>
      <c r="UX25" s="55"/>
      <c r="UY25" s="291">
        <f t="shared" si="50"/>
        <v>1150.946027</v>
      </c>
      <c r="UZ25" s="278">
        <f t="shared" si="51"/>
        <v>53.789414999999998</v>
      </c>
      <c r="VA25" s="278">
        <f t="shared" si="52"/>
        <v>1204.7354419999999</v>
      </c>
      <c r="VB25" s="291">
        <f t="shared" si="53"/>
        <v>1170.7723109999999</v>
      </c>
      <c r="VC25" s="278">
        <f t="shared" si="54"/>
        <v>88.868571000000003</v>
      </c>
      <c r="VD25" s="278">
        <f t="shared" si="55"/>
        <v>1259.6408819999999</v>
      </c>
      <c r="VE25" s="275">
        <f t="shared" si="56"/>
        <v>54.905439999999999</v>
      </c>
      <c r="VF25" s="275">
        <f t="shared" si="57"/>
        <v>4.557468642978634</v>
      </c>
    </row>
    <row r="26" spans="1:578" s="12" customFormat="1" ht="21.75" customHeight="1">
      <c r="A26" s="42" t="s">
        <v>116</v>
      </c>
      <c r="B26" s="13" t="s">
        <v>28</v>
      </c>
      <c r="C26" s="42" t="s">
        <v>117</v>
      </c>
      <c r="D26" s="42">
        <v>1550.4311415415959</v>
      </c>
      <c r="E26" s="43">
        <v>1948.0590790604492</v>
      </c>
      <c r="F26" s="43">
        <v>1603.0623331682802</v>
      </c>
      <c r="G26" s="43">
        <v>1418.3610793336406</v>
      </c>
      <c r="H26" s="43">
        <v>87.120347920615146</v>
      </c>
      <c r="I26" s="43">
        <v>123.87173806637415</v>
      </c>
      <c r="J26" s="43">
        <v>128.24634464231849</v>
      </c>
      <c r="K26" s="43">
        <v>128.40844815908844</v>
      </c>
      <c r="L26" s="43">
        <v>124.58236151188667</v>
      </c>
      <c r="M26" s="43">
        <v>154.92394323310626</v>
      </c>
      <c r="N26" s="43">
        <v>115.99716279360959</v>
      </c>
      <c r="O26" s="43">
        <v>90.577535130705016</v>
      </c>
      <c r="P26" s="43">
        <v>106.83156612654454</v>
      </c>
      <c r="Q26" s="43">
        <v>121.28146823296393</v>
      </c>
      <c r="R26" s="43">
        <v>130.11499365399172</v>
      </c>
      <c r="S26" s="43">
        <v>189.94772938116461</v>
      </c>
      <c r="T26" s="43">
        <v>1451.0197878782706</v>
      </c>
      <c r="U26" s="43">
        <v>50.883850974098046</v>
      </c>
      <c r="V26" s="43">
        <v>1501.9036388523687</v>
      </c>
      <c r="W26" s="43">
        <v>1501.1642947393584</v>
      </c>
      <c r="X26" s="43">
        <v>80.89618584982442</v>
      </c>
      <c r="Y26" s="43">
        <v>124.92341677053632</v>
      </c>
      <c r="Z26" s="43">
        <v>129.52308751799933</v>
      </c>
      <c r="AA26" s="43">
        <v>131.41622273066176</v>
      </c>
      <c r="AB26" s="43">
        <v>126.64903728493292</v>
      </c>
      <c r="AC26" s="43">
        <v>162.71699791122418</v>
      </c>
      <c r="AD26" s="43">
        <v>122.62421670906821</v>
      </c>
      <c r="AE26" s="43">
        <v>97.821109441608186</v>
      </c>
      <c r="AF26" s="43">
        <v>102.10029823393153</v>
      </c>
      <c r="AG26" s="43">
        <v>132.37632540509162</v>
      </c>
      <c r="AH26" s="43">
        <v>142.58086465074192</v>
      </c>
      <c r="AI26" s="43">
        <v>191.38756751526745</v>
      </c>
      <c r="AJ26" s="43">
        <v>1509.4269369553958</v>
      </c>
      <c r="AK26" s="43">
        <v>35.588393065491942</v>
      </c>
      <c r="AL26" s="43">
        <v>1545.0153300208876</v>
      </c>
      <c r="AM26" s="43">
        <v>1544.390088844116</v>
      </c>
      <c r="AN26" s="43">
        <v>98.133739990096814</v>
      </c>
      <c r="AO26" s="43">
        <v>132.31617349929712</v>
      </c>
      <c r="AP26" s="43">
        <v>133.88103368791297</v>
      </c>
      <c r="AQ26" s="43">
        <v>143.57726905367642</v>
      </c>
      <c r="AR26" s="43">
        <v>143.52370219862152</v>
      </c>
      <c r="AS26" s="43">
        <v>171.30970654691777</v>
      </c>
      <c r="AT26" s="43">
        <v>130.82563844258141</v>
      </c>
      <c r="AU26" s="43">
        <v>107.03792807098424</v>
      </c>
      <c r="AV26" s="43">
        <v>109.06065275667183</v>
      </c>
      <c r="AW26" s="43">
        <v>140.4524419326014</v>
      </c>
      <c r="AX26" s="43">
        <v>145.36901895834401</v>
      </c>
      <c r="AY26" s="43">
        <v>209.05574242605334</v>
      </c>
      <c r="AZ26" s="43">
        <v>1637.7599657941619</v>
      </c>
      <c r="BA26" s="43">
        <v>26.783081769597217</v>
      </c>
      <c r="BB26" s="42">
        <v>1664.543047563759</v>
      </c>
      <c r="BC26" s="42">
        <v>1662.0145431727765</v>
      </c>
      <c r="BD26" s="49">
        <f>BF26-BE26</f>
        <v>94.661220000000014</v>
      </c>
      <c r="BE26" s="49">
        <v>1.334886</v>
      </c>
      <c r="BF26" s="49">
        <f>BF27+BF32+BF33+BF38+BF42+BF45</f>
        <v>95.996106000000012</v>
      </c>
      <c r="BG26" s="49">
        <f>BI26-BH26</f>
        <v>136.83089500000003</v>
      </c>
      <c r="BH26" s="49">
        <v>1.7398549999999999</v>
      </c>
      <c r="BI26" s="44">
        <f>BI27+BI32+BI33+BI38+BI42+BI45</f>
        <v>138.57075000000003</v>
      </c>
      <c r="BJ26" s="49">
        <f>BL26-BK26</f>
        <v>131.48722899999999</v>
      </c>
      <c r="BK26" s="49">
        <v>2.1338119999999998</v>
      </c>
      <c r="BL26" s="44">
        <f>BL27+BL32+BL33+BL38+BL42+BL45</f>
        <v>133.62104099999999</v>
      </c>
      <c r="BM26" s="49">
        <f>BO26-BN26</f>
        <v>150.665941</v>
      </c>
      <c r="BN26" s="49">
        <v>0.74286799999999997</v>
      </c>
      <c r="BO26" s="44">
        <f>BO27+BO32+BO33+BO38+BO42+BO45</f>
        <v>151.40880899999999</v>
      </c>
      <c r="BP26" s="49">
        <f>BR26-BQ26</f>
        <v>137.41773400000002</v>
      </c>
      <c r="BQ26" s="49">
        <v>1.155769</v>
      </c>
      <c r="BR26" s="44">
        <f>BR27+BR32+BR33+BR38+BR42+BR45</f>
        <v>138.57350300000002</v>
      </c>
      <c r="BS26" s="49">
        <f>BU26-BT26</f>
        <v>174.82461299999997</v>
      </c>
      <c r="BT26" s="49">
        <v>2.2640799999999999</v>
      </c>
      <c r="BU26" s="44">
        <f>BU27+BU32+BU33+BU38+BU42+BU45</f>
        <v>177.08869299999998</v>
      </c>
      <c r="BV26" s="49">
        <f>BX26-BW26</f>
        <v>139.98018000000002</v>
      </c>
      <c r="BW26" s="49">
        <v>2.600123</v>
      </c>
      <c r="BX26" s="44">
        <f>BX27+BX32+BX33+BX38+BX42+BX45</f>
        <v>142.58030300000001</v>
      </c>
      <c r="BY26" s="49">
        <f>CA26-BZ26</f>
        <v>109.03671699999998</v>
      </c>
      <c r="BZ26" s="49">
        <v>1.5926560000000001</v>
      </c>
      <c r="CA26" s="44">
        <f>CA27+CA32+CA33+CA38+CA42+CA45</f>
        <v>110.62937299999999</v>
      </c>
      <c r="CB26" s="49">
        <f>CD26-CC26</f>
        <v>120.37363500000002</v>
      </c>
      <c r="CC26" s="49">
        <v>1.6856660000000001</v>
      </c>
      <c r="CD26" s="44">
        <f>CD27+CD32+CD33+CD38+CD42+CD45</f>
        <v>122.05930100000002</v>
      </c>
      <c r="CE26" s="49">
        <f>CG26-CF26</f>
        <v>147.35417200000001</v>
      </c>
      <c r="CF26" s="49">
        <v>1.3255779999999999</v>
      </c>
      <c r="CG26" s="44">
        <f>CG27+CG32+CG33+CG38+CG42+CG45</f>
        <v>148.67975000000001</v>
      </c>
      <c r="CH26" s="49">
        <f>CJ26-CI26</f>
        <v>145.31337099999999</v>
      </c>
      <c r="CI26" s="49">
        <v>2.0999159999999999</v>
      </c>
      <c r="CJ26" s="44">
        <f>CJ27+CJ32+CJ33+CJ38+CJ42+CJ45</f>
        <v>147.413287</v>
      </c>
      <c r="CK26" s="49">
        <f>CM26-CL26</f>
        <v>201.97350399999999</v>
      </c>
      <c r="CL26" s="49">
        <v>1.5866370000000001</v>
      </c>
      <c r="CM26" s="44">
        <f>CM27+CM32+CM33+CM38+CM42+CM45</f>
        <v>203.56014099999999</v>
      </c>
      <c r="CN26" s="50">
        <f>BD26+BG26+BJ26+BM26+BP26+BS26+BV26+BY26+CB26+CE26+CH26+CK26</f>
        <v>1689.9192110000001</v>
      </c>
      <c r="CO26" s="50">
        <f>BE26+BH26+BK26+BN26+BQ26+BT26+BW26+BZ26+CC26+CF26+CI26+CL26</f>
        <v>20.261845999999998</v>
      </c>
      <c r="CP26" s="50">
        <f t="shared" si="21"/>
        <v>1710.181057</v>
      </c>
      <c r="CQ26" s="52">
        <f>CQ27+CQ32+CQ33+CQ38+CQ42+CQ45</f>
        <v>1707.099647</v>
      </c>
      <c r="CR26" s="49">
        <f>CT26-CS26</f>
        <v>109.53169300000002</v>
      </c>
      <c r="CS26" s="49">
        <v>0.31466300000000003</v>
      </c>
      <c r="CT26" s="44">
        <f>CT27+CT32+CT33+CT38+CT42+CT45</f>
        <v>109.84635600000001</v>
      </c>
      <c r="CU26" s="49">
        <v>142.92780099999996</v>
      </c>
      <c r="CV26" s="49">
        <v>0.43904799999999999</v>
      </c>
      <c r="CW26" s="44">
        <v>143.36684899999997</v>
      </c>
      <c r="CX26" s="49">
        <v>144.49872400000001</v>
      </c>
      <c r="CY26" s="49">
        <v>0.758382</v>
      </c>
      <c r="CZ26" s="44">
        <v>145.25710600000002</v>
      </c>
      <c r="DA26" s="49">
        <v>155.785943</v>
      </c>
      <c r="DB26" s="49">
        <v>0.77572600000000003</v>
      </c>
      <c r="DC26" s="44">
        <v>156.56166899999999</v>
      </c>
      <c r="DD26" s="49">
        <v>140.534065</v>
      </c>
      <c r="DE26" s="49">
        <v>0.60499199999999997</v>
      </c>
      <c r="DF26" s="44">
        <v>141.13905700000001</v>
      </c>
      <c r="DG26" s="49">
        <v>190.985682</v>
      </c>
      <c r="DH26" s="49">
        <v>1.2446619999999999</v>
      </c>
      <c r="DI26" s="44">
        <v>192.230344</v>
      </c>
      <c r="DJ26" s="49">
        <v>148.36786800000002</v>
      </c>
      <c r="DK26" s="49">
        <v>0.632772</v>
      </c>
      <c r="DL26" s="44">
        <v>149.00064</v>
      </c>
      <c r="DM26" s="49">
        <v>110.57332799999999</v>
      </c>
      <c r="DN26" s="49">
        <v>0.63602800000000004</v>
      </c>
      <c r="DO26" s="44">
        <v>111.20935599999999</v>
      </c>
      <c r="DP26" s="49">
        <v>121.88395299999999</v>
      </c>
      <c r="DQ26" s="49">
        <v>0.61417100000000002</v>
      </c>
      <c r="DR26" s="44">
        <v>122.49812399999999</v>
      </c>
      <c r="DS26" s="49">
        <v>148.28925200000003</v>
      </c>
      <c r="DT26" s="49">
        <v>0.98295299999999997</v>
      </c>
      <c r="DU26" s="44">
        <v>149.27220500000004</v>
      </c>
      <c r="DV26" s="49">
        <v>147.44366399999998</v>
      </c>
      <c r="DW26" s="49">
        <v>0.639571</v>
      </c>
      <c r="DX26" s="44">
        <v>148.08323499999997</v>
      </c>
      <c r="DY26" s="49">
        <v>203.71219099999996</v>
      </c>
      <c r="DZ26" s="49">
        <v>1.054065</v>
      </c>
      <c r="EA26" s="44">
        <v>204.76625599999997</v>
      </c>
      <c r="EB26" s="44">
        <f t="shared" si="22"/>
        <v>1764.5341639999997</v>
      </c>
      <c r="EC26" s="50">
        <f t="shared" si="23"/>
        <v>8.6970330000000011</v>
      </c>
      <c r="ED26" s="50">
        <f t="shared" si="24"/>
        <v>1773.2311969999998</v>
      </c>
      <c r="EE26" s="44">
        <f>EE27+EE32+EE33+EE38+EE42+EE45</f>
        <v>1771.5699919999997</v>
      </c>
      <c r="EF26" s="50">
        <v>107.41020899999999</v>
      </c>
      <c r="EG26" s="50">
        <v>2.1263709999999998</v>
      </c>
      <c r="EH26" s="50">
        <v>109.53658</v>
      </c>
      <c r="EI26" s="50">
        <v>148.57506600000002</v>
      </c>
      <c r="EJ26" s="50">
        <v>0.67809299999999995</v>
      </c>
      <c r="EK26" s="50">
        <v>149.25315900000001</v>
      </c>
      <c r="EL26" s="50">
        <v>151.15293399999999</v>
      </c>
      <c r="EM26" s="50">
        <v>0.59583299999999995</v>
      </c>
      <c r="EN26" s="50">
        <v>151.74876699999999</v>
      </c>
      <c r="EO26" s="50">
        <v>154.37205699999998</v>
      </c>
      <c r="EP26" s="50">
        <v>0.56809799999999999</v>
      </c>
      <c r="EQ26" s="50">
        <v>154.94015499999998</v>
      </c>
      <c r="ER26" s="50">
        <v>152.57009699999998</v>
      </c>
      <c r="ES26" s="50">
        <v>0.75868999999999998</v>
      </c>
      <c r="ET26" s="50">
        <v>153.32878699999998</v>
      </c>
      <c r="EU26" s="50">
        <v>196.05281500000004</v>
      </c>
      <c r="EV26" s="50">
        <v>0.53431600000000001</v>
      </c>
      <c r="EW26" s="50">
        <v>196.58713100000003</v>
      </c>
      <c r="EX26" s="50">
        <v>150.41366100000002</v>
      </c>
      <c r="EY26" s="50">
        <v>0.63789300000000004</v>
      </c>
      <c r="EZ26" s="50">
        <v>151.05155400000001</v>
      </c>
      <c r="FA26" s="50">
        <v>117.536945</v>
      </c>
      <c r="FB26" s="50">
        <v>0.54842599999999997</v>
      </c>
      <c r="FC26" s="50">
        <v>118.08537100000001</v>
      </c>
      <c r="FD26" s="50">
        <v>126.18860799999999</v>
      </c>
      <c r="FE26" s="50">
        <v>0.74534500000000004</v>
      </c>
      <c r="FF26" s="50">
        <v>126.93395299999999</v>
      </c>
      <c r="FG26" s="50">
        <v>151.92519899999996</v>
      </c>
      <c r="FH26" s="50">
        <v>0.69948399999999999</v>
      </c>
      <c r="FI26" s="50">
        <v>152.62468299999998</v>
      </c>
      <c r="FJ26" s="50">
        <v>153.279245</v>
      </c>
      <c r="FK26" s="50">
        <v>0.91130199999999995</v>
      </c>
      <c r="FL26" s="50">
        <v>154.19054700000001</v>
      </c>
      <c r="FM26" s="50">
        <v>219.32084800000001</v>
      </c>
      <c r="FN26" s="50">
        <v>0</v>
      </c>
      <c r="FO26" s="50">
        <v>219.32084800000001</v>
      </c>
      <c r="FP26" s="50">
        <f t="shared" si="25"/>
        <v>1828.7976840000001</v>
      </c>
      <c r="FQ26" s="50">
        <f t="shared" si="26"/>
        <v>8.8038509999999999</v>
      </c>
      <c r="FR26" s="50">
        <f t="shared" si="27"/>
        <v>1837.601535</v>
      </c>
      <c r="FS26" s="94">
        <f>FS27+FS32+FS33+FS38+FS42+FS45</f>
        <v>1835.9317149999999</v>
      </c>
      <c r="FT26" s="50">
        <v>119.32079500000002</v>
      </c>
      <c r="FU26" s="50">
        <v>0.62296899999999999</v>
      </c>
      <c r="FV26" s="50">
        <v>119.94376400000002</v>
      </c>
      <c r="FW26" s="50">
        <v>162.50648199999998</v>
      </c>
      <c r="FX26" s="50">
        <v>0.69540599999999997</v>
      </c>
      <c r="FY26" s="50">
        <v>163.20188799999997</v>
      </c>
      <c r="FZ26" s="50">
        <v>158.503545</v>
      </c>
      <c r="GA26" s="50">
        <v>2.9603359999999999</v>
      </c>
      <c r="GB26" s="50">
        <v>161.46388100000001</v>
      </c>
      <c r="GC26" s="50">
        <v>164.58830300000005</v>
      </c>
      <c r="GD26" s="50">
        <v>0.59226699999999999</v>
      </c>
      <c r="GE26" s="50">
        <v>165.18057000000005</v>
      </c>
      <c r="GF26" s="50">
        <v>166.66048500000005</v>
      </c>
      <c r="GG26" s="50">
        <v>1.095677</v>
      </c>
      <c r="GH26" s="50">
        <v>167.75616200000005</v>
      </c>
      <c r="GI26" s="50">
        <v>222.549217</v>
      </c>
      <c r="GJ26" s="50">
        <v>1.0791230000000001</v>
      </c>
      <c r="GK26" s="50">
        <v>223.62834000000001</v>
      </c>
      <c r="GL26" s="50">
        <v>147.92559199999997</v>
      </c>
      <c r="GM26" s="50">
        <v>0.95064300000000002</v>
      </c>
      <c r="GN26" s="50">
        <v>148.87623499999998</v>
      </c>
      <c r="GO26" s="50">
        <v>124.55450700000002</v>
      </c>
      <c r="GP26" s="50">
        <v>1.543531</v>
      </c>
      <c r="GQ26" s="50">
        <v>126.09803800000002</v>
      </c>
      <c r="GR26" s="50">
        <v>132.29688899999999</v>
      </c>
      <c r="GS26" s="50">
        <v>1.6001460000000001</v>
      </c>
      <c r="GT26" s="50">
        <v>133.89703499999999</v>
      </c>
      <c r="GU26" s="50">
        <v>159.10772299999999</v>
      </c>
      <c r="GV26" s="50">
        <v>2.0582549999999999</v>
      </c>
      <c r="GW26" s="50">
        <v>161.165978</v>
      </c>
      <c r="GX26" s="50">
        <v>167.33746500000001</v>
      </c>
      <c r="GY26" s="50">
        <v>2.4261490000000001</v>
      </c>
      <c r="GZ26" s="50">
        <v>169.76361399999999</v>
      </c>
      <c r="HA26" s="50">
        <v>223.22427099999999</v>
      </c>
      <c r="HB26" s="50">
        <v>1.6511210000000001</v>
      </c>
      <c r="HC26" s="50">
        <v>224.87539200000001</v>
      </c>
      <c r="HD26" s="50">
        <f t="shared" si="28"/>
        <v>1948.5752740000005</v>
      </c>
      <c r="HE26" s="50">
        <f t="shared" si="29"/>
        <v>17.275623000000003</v>
      </c>
      <c r="HF26" s="50">
        <f t="shared" si="30"/>
        <v>1965.850897</v>
      </c>
      <c r="HG26" s="50">
        <f>HG27+HG32+HG33+HG38+HG42+HG45</f>
        <v>1964.0236649999997</v>
      </c>
      <c r="HH26" s="50">
        <v>126.13882599999999</v>
      </c>
      <c r="HI26" s="50">
        <v>1.2334849999999999</v>
      </c>
      <c r="HJ26" s="50">
        <v>127.372311</v>
      </c>
      <c r="HK26" s="50">
        <v>164.20502500000001</v>
      </c>
      <c r="HL26" s="50">
        <v>2.1405270000000001</v>
      </c>
      <c r="HM26" s="50">
        <v>166.345552</v>
      </c>
      <c r="HN26" s="50">
        <v>173.96678600000001</v>
      </c>
      <c r="HO26" s="50">
        <v>2.0001920000000002</v>
      </c>
      <c r="HP26" s="50">
        <v>175.96697800000001</v>
      </c>
      <c r="HQ26" s="50">
        <v>167.98738499999999</v>
      </c>
      <c r="HR26" s="50">
        <v>2.0644330000000002</v>
      </c>
      <c r="HS26" s="50">
        <v>170.051818</v>
      </c>
      <c r="HT26" s="50">
        <v>174.13283000000001</v>
      </c>
      <c r="HU26" s="50">
        <v>2.3452169999999999</v>
      </c>
      <c r="HV26" s="50">
        <v>176.478047</v>
      </c>
      <c r="HW26" s="50">
        <v>231.210869</v>
      </c>
      <c r="HX26" s="50">
        <v>2.9882439999999999</v>
      </c>
      <c r="HY26" s="50">
        <v>234.19911300000001</v>
      </c>
      <c r="HZ26" s="50">
        <v>172.37133900000001</v>
      </c>
      <c r="IA26" s="50">
        <v>2.435845</v>
      </c>
      <c r="IB26" s="50">
        <v>174.80718400000001</v>
      </c>
      <c r="IC26" s="50">
        <v>140.08197999999999</v>
      </c>
      <c r="ID26" s="50">
        <v>2.0166580000000001</v>
      </c>
      <c r="IE26" s="50">
        <v>142.09863799999999</v>
      </c>
      <c r="IF26" s="50">
        <v>136.34087400000001</v>
      </c>
      <c r="IG26" s="50">
        <v>2.2146050000000002</v>
      </c>
      <c r="IH26" s="50">
        <v>138.55547899999999</v>
      </c>
      <c r="II26" s="50">
        <v>174.93905799999999</v>
      </c>
      <c r="IJ26" s="50">
        <v>3.5452889999999999</v>
      </c>
      <c r="IK26" s="50">
        <v>178.48434700000001</v>
      </c>
      <c r="IL26" s="50">
        <v>185.34501599999999</v>
      </c>
      <c r="IM26" s="50">
        <v>2.6301100000000002</v>
      </c>
      <c r="IN26" s="50">
        <v>187.97512599999999</v>
      </c>
      <c r="IO26" s="50">
        <v>253.32084900000001</v>
      </c>
      <c r="IP26" s="50">
        <v>3.6124909999999999</v>
      </c>
      <c r="IQ26" s="50">
        <v>256.93333999999999</v>
      </c>
      <c r="IR26" s="44">
        <f>HH26+HK26+HN26+HQ26+HT26+HW26+HZ26+IC26+IF26+II26+IL26+IO26</f>
        <v>2100.040837</v>
      </c>
      <c r="IS26" s="50">
        <f>HI26+HL26+HO26+HR26+HU26+HX26+IA26+ID26+IG26+IJ26+IM26+IP26</f>
        <v>29.227096000000003</v>
      </c>
      <c r="IT26" s="50">
        <f>HJ26+HM26+HP26+HS26+HV26+HY26+IB26+IE26+IH26+IK26+IN26+IQ26</f>
        <v>2129.2679329999996</v>
      </c>
      <c r="IU26" s="50">
        <f>IU27+IU32+IU33+IU38+IU42+IU45</f>
        <v>2128.4212640000001</v>
      </c>
      <c r="IV26" s="44">
        <v>131.50838999999999</v>
      </c>
      <c r="IW26" s="50">
        <v>2.1360130000000002</v>
      </c>
      <c r="IX26" s="50">
        <v>133.64440300000001</v>
      </c>
      <c r="IY26" s="44">
        <v>170.27263199999999</v>
      </c>
      <c r="IZ26" s="50">
        <v>2.8267679999999999</v>
      </c>
      <c r="JA26" s="50">
        <v>173.0994</v>
      </c>
      <c r="JB26" s="44">
        <v>179.953047</v>
      </c>
      <c r="JC26" s="50">
        <v>4.6042719999999999</v>
      </c>
      <c r="JD26" s="50">
        <v>184.55731900000001</v>
      </c>
      <c r="JE26" s="44">
        <v>177.901802</v>
      </c>
      <c r="JF26" s="50">
        <v>4.6904810000000001</v>
      </c>
      <c r="JG26" s="50">
        <v>182.59228300000001</v>
      </c>
      <c r="JH26" s="44">
        <v>186.33019300000001</v>
      </c>
      <c r="JI26" s="50">
        <v>3.5362719999999999</v>
      </c>
      <c r="JJ26" s="50">
        <v>189.86646500000001</v>
      </c>
      <c r="JK26" s="44">
        <v>232.82174000000001</v>
      </c>
      <c r="JL26" s="50">
        <v>3.2676599999999998</v>
      </c>
      <c r="JM26" s="50">
        <v>236.08940000000001</v>
      </c>
      <c r="JN26" s="44">
        <v>177.32612599999999</v>
      </c>
      <c r="JO26" s="50">
        <v>2.947975</v>
      </c>
      <c r="JP26" s="50">
        <v>180.274101</v>
      </c>
      <c r="JQ26" s="44">
        <v>141.21522100000001</v>
      </c>
      <c r="JR26" s="50">
        <v>3.9386230000000002</v>
      </c>
      <c r="JS26" s="50">
        <v>145.15384399999999</v>
      </c>
      <c r="JT26" s="44">
        <v>145.340296</v>
      </c>
      <c r="JU26" s="50">
        <v>3.8595769999999998</v>
      </c>
      <c r="JV26" s="50">
        <v>149.199873</v>
      </c>
      <c r="JW26" s="44">
        <v>183.63295099999999</v>
      </c>
      <c r="JX26" s="50">
        <v>4.3555409999999997</v>
      </c>
      <c r="JY26" s="50">
        <v>187.98849200000001</v>
      </c>
      <c r="JZ26" s="44">
        <v>189.84508700000001</v>
      </c>
      <c r="KA26" s="50">
        <v>3.9314089999999999</v>
      </c>
      <c r="KB26" s="50">
        <v>193.77649600000001</v>
      </c>
      <c r="KC26" s="44">
        <v>244.00540100000001</v>
      </c>
      <c r="KD26" s="50">
        <v>4.5524950000000004</v>
      </c>
      <c r="KE26" s="50">
        <v>248.557896</v>
      </c>
      <c r="KF26" s="44">
        <f t="shared" si="37"/>
        <v>2160.1528859999999</v>
      </c>
      <c r="KG26" s="50">
        <f t="shared" si="3"/>
        <v>44.647086000000002</v>
      </c>
      <c r="KH26" s="50">
        <f t="shared" si="4"/>
        <v>2204.7999719999998</v>
      </c>
      <c r="KI26" s="50">
        <f>KI27+KI32+KI33+KI38+KI42+KI45</f>
        <v>2203.3662979999999</v>
      </c>
      <c r="KJ26" s="44">
        <v>144.02441999999999</v>
      </c>
      <c r="KK26" s="50">
        <v>3.276151</v>
      </c>
      <c r="KL26" s="50">
        <v>147.30057099999999</v>
      </c>
      <c r="KM26" s="44">
        <v>177.35399899999999</v>
      </c>
      <c r="KN26" s="50">
        <v>3.0129220000000001</v>
      </c>
      <c r="KO26" s="50">
        <v>180.36692099999999</v>
      </c>
      <c r="KP26" s="44">
        <v>184.36322100000001</v>
      </c>
      <c r="KQ26" s="50">
        <v>4.1483679999999996</v>
      </c>
      <c r="KR26" s="50">
        <v>188.51158899999999</v>
      </c>
      <c r="KS26" s="50">
        <v>185.99629200000001</v>
      </c>
      <c r="KT26" s="50">
        <v>3.6890610000000001</v>
      </c>
      <c r="KU26" s="50">
        <v>189.68535299999999</v>
      </c>
      <c r="KV26" s="50">
        <v>163.79154299999999</v>
      </c>
      <c r="KW26" s="50">
        <v>2.1835629999999999</v>
      </c>
      <c r="KX26" s="50">
        <v>165.97510600000001</v>
      </c>
      <c r="KY26" s="50">
        <v>218.82150999999999</v>
      </c>
      <c r="KZ26" s="50">
        <v>2.7699009999999999</v>
      </c>
      <c r="LA26" s="50">
        <v>221.59141099999999</v>
      </c>
      <c r="LB26" s="44">
        <v>176.16062199999999</v>
      </c>
      <c r="LC26" s="50">
        <v>3.076155</v>
      </c>
      <c r="LD26" s="50">
        <v>179.23677699999999</v>
      </c>
      <c r="LE26" s="44">
        <v>147.41845499999999</v>
      </c>
      <c r="LF26" s="44">
        <v>3.2347700000000001</v>
      </c>
      <c r="LG26" s="44">
        <v>150.65322499999999</v>
      </c>
      <c r="LH26" s="44">
        <v>159.463123</v>
      </c>
      <c r="LI26" s="50">
        <v>2.4007740000000002</v>
      </c>
      <c r="LJ26" s="50">
        <v>161.86389700000001</v>
      </c>
      <c r="LK26" s="44">
        <v>186.335418</v>
      </c>
      <c r="LL26" s="50">
        <v>3.8055859999999999</v>
      </c>
      <c r="LM26" s="50">
        <v>190.14100400000001</v>
      </c>
      <c r="LN26" s="44">
        <v>190.27915999999999</v>
      </c>
      <c r="LO26" s="50">
        <v>2.6646489999999998</v>
      </c>
      <c r="LP26" s="50">
        <v>192.94380899999999</v>
      </c>
      <c r="LQ26" s="44">
        <v>259.95763499999998</v>
      </c>
      <c r="LR26" s="50">
        <v>3.8313440000000001</v>
      </c>
      <c r="LS26" s="50">
        <v>263.78897899999998</v>
      </c>
      <c r="LT26" s="44">
        <f>KJ26+KM26+KP26+KS26+KV26+KY26+LB26+LE26+LH26+LK26+LN26+LQ26</f>
        <v>2193.9653980000003</v>
      </c>
      <c r="LU26" s="50">
        <f t="shared" si="58"/>
        <v>38.093243999999999</v>
      </c>
      <c r="LV26" s="50">
        <f t="shared" si="58"/>
        <v>2232.058642</v>
      </c>
      <c r="LW26" s="50">
        <f>LW27+LW32+LW33+LW38+LW42+LW45</f>
        <v>2230.3515750000001</v>
      </c>
      <c r="LX26" s="44">
        <v>128.82630700000001</v>
      </c>
      <c r="LY26" s="50">
        <v>2.0450689999999998</v>
      </c>
      <c r="LZ26" s="50">
        <v>130.871376</v>
      </c>
      <c r="MA26" s="44">
        <v>178.36276799999999</v>
      </c>
      <c r="MB26" s="50">
        <v>2.6354190000000002</v>
      </c>
      <c r="MC26" s="50">
        <v>180.998187</v>
      </c>
      <c r="MD26" s="44">
        <v>196.12058400000001</v>
      </c>
      <c r="ME26" s="50">
        <v>1.952528</v>
      </c>
      <c r="MF26" s="50">
        <v>198.07311200000001</v>
      </c>
      <c r="MG26" s="44">
        <v>192.36546000000001</v>
      </c>
      <c r="MH26" s="50">
        <v>2.3912450000000001</v>
      </c>
      <c r="MI26" s="50">
        <v>194.75670500000001</v>
      </c>
      <c r="MJ26" s="44">
        <v>183.63369299999999</v>
      </c>
      <c r="MK26" s="50">
        <v>2.788443</v>
      </c>
      <c r="ML26" s="50">
        <v>186.42213599999999</v>
      </c>
      <c r="MM26" s="44">
        <v>277.85905400000001</v>
      </c>
      <c r="MN26" s="50">
        <v>4.1911509999999996</v>
      </c>
      <c r="MO26" s="50">
        <v>282.05020500000001</v>
      </c>
      <c r="MP26" s="44">
        <v>161.94239999999999</v>
      </c>
      <c r="MQ26" s="50">
        <v>2.2289910000000002</v>
      </c>
      <c r="MR26" s="50">
        <v>164.171391</v>
      </c>
      <c r="MS26" s="44">
        <v>148.53136439999992</v>
      </c>
      <c r="MT26" s="50">
        <v>2.6840950000000001</v>
      </c>
      <c r="MU26" s="50">
        <v>151.21546599999999</v>
      </c>
      <c r="MV26" s="44">
        <v>160.546221</v>
      </c>
      <c r="MW26" s="50">
        <v>2.263347</v>
      </c>
      <c r="MX26" s="50">
        <v>162.80956800000001</v>
      </c>
      <c r="MY26" s="44">
        <v>195.19498199999998</v>
      </c>
      <c r="MZ26" s="50">
        <v>2.593585</v>
      </c>
      <c r="NA26" s="50">
        <v>197.78856699999997</v>
      </c>
      <c r="NB26" s="44">
        <v>200.936429</v>
      </c>
      <c r="NC26" s="50">
        <v>2.6410670000000001</v>
      </c>
      <c r="ND26" s="50">
        <v>203.577496</v>
      </c>
      <c r="NE26" s="44">
        <v>277.95026200000001</v>
      </c>
      <c r="NF26" s="50">
        <v>6.0019390000000001</v>
      </c>
      <c r="NG26" s="50">
        <v>283.952201</v>
      </c>
      <c r="NH26" s="44">
        <f>LX26+MA26+MD26+MG26+MJ26+MM26+MP26+MS26+MV26+MY26+NB26+NE26</f>
        <v>2302.2695244000001</v>
      </c>
      <c r="NI26" s="50">
        <f t="shared" si="6"/>
        <v>34.416879000000002</v>
      </c>
      <c r="NJ26" s="50">
        <f t="shared" si="7"/>
        <v>2336.6864100000003</v>
      </c>
      <c r="NK26" s="50">
        <f>NK27+NK32+NK33+NK38+NK42+NK45</f>
        <v>2335.5133670000005</v>
      </c>
      <c r="NL26" s="50">
        <v>149.33816899999999</v>
      </c>
      <c r="NM26" s="50">
        <v>2.0346220000000002</v>
      </c>
      <c r="NN26" s="50">
        <v>151.37279100000001</v>
      </c>
      <c r="NO26" s="50">
        <v>183.39323300000001</v>
      </c>
      <c r="NP26" s="50">
        <v>2.617448</v>
      </c>
      <c r="NQ26" s="50">
        <v>186.01068100000001</v>
      </c>
      <c r="NR26" s="50">
        <v>194.617503</v>
      </c>
      <c r="NS26" s="50">
        <v>3.1575090000000001</v>
      </c>
      <c r="NT26" s="50">
        <v>197.775012</v>
      </c>
      <c r="NU26" s="55">
        <v>208.75789900000001</v>
      </c>
      <c r="NV26" s="50">
        <v>3.3303769999999999</v>
      </c>
      <c r="NW26" s="50">
        <v>212.08827600000001</v>
      </c>
      <c r="NX26" s="50">
        <v>214.68211599999998</v>
      </c>
      <c r="NY26" s="50">
        <v>4.2885980000000004</v>
      </c>
      <c r="NZ26" s="50">
        <v>218.97071399999999</v>
      </c>
      <c r="OA26" s="50">
        <v>275.99347899999998</v>
      </c>
      <c r="OB26" s="50">
        <v>4.3679889999999997</v>
      </c>
      <c r="OC26" s="50">
        <v>280.361468</v>
      </c>
      <c r="OD26" s="50">
        <v>210.80028899999999</v>
      </c>
      <c r="OE26" s="50">
        <v>3.1153849999999998</v>
      </c>
      <c r="OF26" s="50">
        <v>213.915674</v>
      </c>
      <c r="OG26" s="94">
        <v>169.646119</v>
      </c>
      <c r="OH26" s="50">
        <v>2.716666</v>
      </c>
      <c r="OI26" s="94">
        <v>172.362785</v>
      </c>
      <c r="OJ26" s="50">
        <v>187.52139</v>
      </c>
      <c r="OK26" s="50">
        <v>3.2888709999999999</v>
      </c>
      <c r="OL26" s="50">
        <v>190.810261</v>
      </c>
      <c r="OM26" s="50">
        <v>227.17701600000001</v>
      </c>
      <c r="ON26" s="50">
        <v>2.815877</v>
      </c>
      <c r="OO26" s="50">
        <v>229.99289300000001</v>
      </c>
      <c r="OP26" s="50">
        <v>244.01364599999999</v>
      </c>
      <c r="OQ26" s="50">
        <v>3.465846</v>
      </c>
      <c r="OR26" s="50">
        <v>247.47949199999999</v>
      </c>
      <c r="OS26" s="50">
        <v>323.82940200000002</v>
      </c>
      <c r="OT26" s="50">
        <v>4.8244959999999999</v>
      </c>
      <c r="OU26" s="50">
        <v>328.65389800000003</v>
      </c>
      <c r="OV26" s="44">
        <f>NL26+NO26+NR26+NU26+NX26+OA26+OD26+OG26+OJ26+OM26+OP26+OS26</f>
        <v>2589.7702609999997</v>
      </c>
      <c r="OW26" s="50">
        <f t="shared" si="68"/>
        <v>40.023684000000003</v>
      </c>
      <c r="OX26" s="50">
        <f t="shared" si="9"/>
        <v>2629.7939450000003</v>
      </c>
      <c r="OY26" s="50">
        <f>OY27+OY32+OY33+OY38+OY42+OY45</f>
        <v>2628.6921109999998</v>
      </c>
      <c r="OZ26" s="50">
        <v>194.741873</v>
      </c>
      <c r="PA26" s="50">
        <v>3.190572</v>
      </c>
      <c r="PB26" s="50">
        <v>197.93221099999991</v>
      </c>
      <c r="PC26" s="50">
        <v>236.191372</v>
      </c>
      <c r="PD26" s="50">
        <v>3.0801189999999998</v>
      </c>
      <c r="PE26" s="50">
        <v>239.271491</v>
      </c>
      <c r="PF26" s="85">
        <v>251.84536400000002</v>
      </c>
      <c r="PG26" s="50">
        <v>3.9037109999999999</v>
      </c>
      <c r="PH26" s="50">
        <v>255.749075</v>
      </c>
      <c r="PI26" s="85">
        <v>249.10690200000002</v>
      </c>
      <c r="PJ26" s="50">
        <v>3.7129449999999999</v>
      </c>
      <c r="PK26" s="50">
        <v>252.81984700000001</v>
      </c>
      <c r="PL26" s="85">
        <v>239.58930100000001</v>
      </c>
      <c r="PM26" s="50">
        <v>4.2847</v>
      </c>
      <c r="PN26" s="50">
        <v>243.87400099999999</v>
      </c>
      <c r="PO26" s="50">
        <v>320.32829799999979</v>
      </c>
      <c r="PP26" s="50">
        <v>3.8527559999999998</v>
      </c>
      <c r="PQ26" s="50">
        <v>324.18105399999979</v>
      </c>
      <c r="PR26" s="50">
        <v>245.58579</v>
      </c>
      <c r="PS26" s="50">
        <v>2.692739</v>
      </c>
      <c r="PT26" s="50">
        <v>248.27852899999999</v>
      </c>
      <c r="PU26" s="50">
        <v>201.76332100000002</v>
      </c>
      <c r="PV26" s="50">
        <v>3.9032580000000001</v>
      </c>
      <c r="PW26" s="50">
        <v>205.66657900000001</v>
      </c>
      <c r="PX26" s="50">
        <v>204.81572199999999</v>
      </c>
      <c r="PY26" s="50">
        <v>4.0884260000000001</v>
      </c>
      <c r="PZ26" s="50">
        <v>208.90414799999999</v>
      </c>
      <c r="QA26" s="50">
        <v>260.04596700000002</v>
      </c>
      <c r="QB26" s="50">
        <v>3.323178</v>
      </c>
      <c r="QC26" s="50">
        <v>263.369145</v>
      </c>
      <c r="QD26" s="50">
        <v>262.16413499999999</v>
      </c>
      <c r="QE26" s="50">
        <v>3.7128410000000001</v>
      </c>
      <c r="QF26" s="50">
        <v>265.87697600000001</v>
      </c>
      <c r="QG26" s="50">
        <v>352.807121</v>
      </c>
      <c r="QH26" s="50">
        <v>4.6515680000000001</v>
      </c>
      <c r="QI26" s="50">
        <v>357.45868899999999</v>
      </c>
      <c r="QJ26" s="44">
        <f t="shared" si="38"/>
        <v>3018.9851659999995</v>
      </c>
      <c r="QK26" s="50">
        <f t="shared" si="39"/>
        <v>44.396812999999995</v>
      </c>
      <c r="QL26" s="50">
        <f t="shared" si="40"/>
        <v>3063.3817449999997</v>
      </c>
      <c r="QM26" s="50">
        <f>QM27+QM32+QM33+QM38+QM42+QM45</f>
        <v>3060.3385210000001</v>
      </c>
      <c r="QN26" s="50">
        <v>223.59383299999999</v>
      </c>
      <c r="QO26" s="50">
        <v>1.25926</v>
      </c>
      <c r="QP26" s="50">
        <v>224.853093</v>
      </c>
      <c r="QQ26" s="50">
        <v>268.45012300000002</v>
      </c>
      <c r="QR26" s="50">
        <v>1.705497</v>
      </c>
      <c r="QS26" s="50">
        <v>270.15562</v>
      </c>
      <c r="QT26" s="50">
        <v>262.08666599999998</v>
      </c>
      <c r="QU26" s="50">
        <v>2.0629430000000002</v>
      </c>
      <c r="QV26" s="50">
        <v>264.149609</v>
      </c>
      <c r="QW26" s="50">
        <v>286.57866899999999</v>
      </c>
      <c r="QX26" s="50">
        <v>1.891054</v>
      </c>
      <c r="QY26" s="50">
        <v>288.46972299999999</v>
      </c>
      <c r="QZ26" s="50">
        <v>276.761324</v>
      </c>
      <c r="RA26" s="50">
        <v>1.4371830000000001</v>
      </c>
      <c r="RB26" s="50">
        <v>278.19850700000001</v>
      </c>
      <c r="RC26" s="50">
        <v>339.05022500000001</v>
      </c>
      <c r="RD26" s="50">
        <v>1.1783250000000001</v>
      </c>
      <c r="RE26" s="50">
        <v>340.22854999999998</v>
      </c>
      <c r="RF26" s="50">
        <v>287.06971799999997</v>
      </c>
      <c r="RG26" s="50">
        <v>1.2132050000000001</v>
      </c>
      <c r="RH26" s="50">
        <v>288.28292299999998</v>
      </c>
      <c r="RI26" s="50">
        <v>215.54031000000001</v>
      </c>
      <c r="RJ26" s="50">
        <v>1.284689</v>
      </c>
      <c r="RK26" s="50">
        <v>216.82499899999999</v>
      </c>
      <c r="RL26" s="50">
        <v>211.046357</v>
      </c>
      <c r="RM26" s="50">
        <v>1.484891</v>
      </c>
      <c r="RN26" s="50">
        <v>212.53124800000001</v>
      </c>
      <c r="RO26" s="50">
        <v>284.62330900000001</v>
      </c>
      <c r="RP26" s="50">
        <v>3.90509</v>
      </c>
      <c r="RQ26" s="50">
        <v>288.52839899999998</v>
      </c>
      <c r="RR26" s="50">
        <v>276.18444900000003</v>
      </c>
      <c r="RS26" s="50">
        <v>1.670107</v>
      </c>
      <c r="RT26" s="50">
        <v>277.854556</v>
      </c>
      <c r="RU26" s="50">
        <v>359.71128799999997</v>
      </c>
      <c r="RV26" s="50">
        <v>2.1678860000000002</v>
      </c>
      <c r="RW26" s="50">
        <v>361.87917399999998</v>
      </c>
      <c r="RX26" s="44">
        <f t="shared" si="41"/>
        <v>3290.6962709999998</v>
      </c>
      <c r="RY26" s="50">
        <f t="shared" si="42"/>
        <v>21.260130000000004</v>
      </c>
      <c r="RZ26" s="50">
        <f t="shared" si="43"/>
        <v>3311.9564009999999</v>
      </c>
      <c r="SA26" s="50">
        <f>SA27+SA32+SA33+SA38+SA42+SA45</f>
        <v>3308.784834</v>
      </c>
      <c r="SB26" s="50">
        <v>235.790221</v>
      </c>
      <c r="SC26" s="50">
        <v>1.363847</v>
      </c>
      <c r="SD26" s="50">
        <v>237.154068</v>
      </c>
      <c r="SE26" s="50">
        <v>264.65827999999999</v>
      </c>
      <c r="SF26" s="50">
        <v>2.0428389999999998</v>
      </c>
      <c r="SG26" s="50">
        <v>266.70111900000001</v>
      </c>
      <c r="SH26" s="50">
        <v>270.52082300000001</v>
      </c>
      <c r="SI26" s="50">
        <v>2.7692909999999999</v>
      </c>
      <c r="SJ26" s="50">
        <v>273.29011400000002</v>
      </c>
      <c r="SK26" s="50">
        <v>309.70208600000001</v>
      </c>
      <c r="SL26" s="50">
        <v>2.5004970000000002</v>
      </c>
      <c r="SM26" s="50">
        <v>312.202583</v>
      </c>
      <c r="SN26" s="50">
        <f t="shared" si="44"/>
        <v>272.05625100000003</v>
      </c>
      <c r="SO26" s="50">
        <v>2.6767669999999999</v>
      </c>
      <c r="SP26" s="50">
        <v>274.73301800000002</v>
      </c>
      <c r="SQ26" s="50">
        <v>350.344652</v>
      </c>
      <c r="SR26" s="50">
        <v>2.3139599999999998</v>
      </c>
      <c r="SS26" s="50">
        <v>352.65861200000001</v>
      </c>
      <c r="ST26" s="50">
        <v>297.23485199999999</v>
      </c>
      <c r="SU26" s="50">
        <v>2.6562860000000001</v>
      </c>
      <c r="SV26" s="50">
        <v>299.89113800000001</v>
      </c>
      <c r="SW26" s="50">
        <v>226.49281000000002</v>
      </c>
      <c r="SX26" s="50">
        <v>2.858333</v>
      </c>
      <c r="SY26" s="50">
        <v>229.35114300000001</v>
      </c>
      <c r="SZ26" s="50">
        <v>230.94962200000001</v>
      </c>
      <c r="TA26" s="50">
        <v>3.2782230000000001</v>
      </c>
      <c r="TB26" s="50">
        <v>234.227845</v>
      </c>
      <c r="TC26" s="50">
        <v>298.76408699999996</v>
      </c>
      <c r="TD26" s="50">
        <v>4.2537500000000001</v>
      </c>
      <c r="TE26" s="50">
        <v>303.01783699999999</v>
      </c>
      <c r="TF26" s="50">
        <v>281.94157000000001</v>
      </c>
      <c r="TG26" s="50">
        <v>3.0922689999999999</v>
      </c>
      <c r="TH26" s="50">
        <v>285.033839</v>
      </c>
      <c r="TI26" s="50">
        <v>364.95303500000011</v>
      </c>
      <c r="TJ26" s="50">
        <v>4.5405009999999999</v>
      </c>
      <c r="TK26" s="50">
        <v>369.49353600000012</v>
      </c>
      <c r="TL26" s="44">
        <f t="shared" si="45"/>
        <v>3403.408289</v>
      </c>
      <c r="TM26" s="50">
        <f t="shared" si="46"/>
        <v>34.346563000000003</v>
      </c>
      <c r="TN26" s="50">
        <f t="shared" si="47"/>
        <v>3437.754852</v>
      </c>
      <c r="TO26" s="50">
        <v>236.75444600000017</v>
      </c>
      <c r="TP26" s="50">
        <v>3.4400309999999998</v>
      </c>
      <c r="TQ26" s="50">
        <v>240.19447700000018</v>
      </c>
      <c r="TR26" s="50">
        <f>TT26-TS26</f>
        <v>282.19024100000013</v>
      </c>
      <c r="TS26" s="50">
        <v>3.280532</v>
      </c>
      <c r="TT26" s="50">
        <v>285.47077300000012</v>
      </c>
      <c r="TU26" s="50">
        <v>292.93816899999996</v>
      </c>
      <c r="TV26" s="50">
        <v>4.3182260000000001</v>
      </c>
      <c r="TW26" s="50">
        <v>297.25639499999994</v>
      </c>
      <c r="TX26" s="50">
        <f t="shared" si="49"/>
        <v>305.23128500000001</v>
      </c>
      <c r="TY26" s="50">
        <v>5.0791659999999998</v>
      </c>
      <c r="TZ26" s="50">
        <v>310.310451</v>
      </c>
      <c r="UA26" s="50"/>
      <c r="UB26" s="50"/>
      <c r="UC26" s="50"/>
      <c r="UD26" s="50"/>
      <c r="UE26" s="50"/>
      <c r="UF26" s="50"/>
      <c r="UG26" s="50"/>
      <c r="UH26" s="50"/>
      <c r="UI26" s="50"/>
      <c r="UJ26" s="50"/>
      <c r="UK26" s="50"/>
      <c r="UL26" s="50"/>
      <c r="UM26" s="50"/>
      <c r="UN26" s="50"/>
      <c r="UO26" s="50"/>
      <c r="UP26" s="50"/>
      <c r="UQ26" s="50"/>
      <c r="UR26" s="50"/>
      <c r="US26" s="50"/>
      <c r="UT26" s="50"/>
      <c r="UU26" s="50"/>
      <c r="UV26" s="50"/>
      <c r="UW26" s="50"/>
      <c r="UX26" s="50"/>
      <c r="UY26" s="292">
        <f t="shared" si="50"/>
        <v>1080.6714099999999</v>
      </c>
      <c r="UZ26" s="276">
        <f t="shared" si="51"/>
        <v>8.6764740000000007</v>
      </c>
      <c r="VA26" s="276">
        <f t="shared" si="52"/>
        <v>1089.347884</v>
      </c>
      <c r="VB26" s="292">
        <f t="shared" si="53"/>
        <v>1117.114141</v>
      </c>
      <c r="VC26" s="276">
        <f t="shared" si="54"/>
        <v>16.117954999999998</v>
      </c>
      <c r="VD26" s="276">
        <f t="shared" si="55"/>
        <v>1133.232096</v>
      </c>
      <c r="VE26" s="277">
        <f t="shared" si="56"/>
        <v>43.884211999999934</v>
      </c>
      <c r="VF26" s="277">
        <f t="shared" si="57"/>
        <v>4.0284846231913178</v>
      </c>
    </row>
    <row r="27" spans="1:578" s="12" customFormat="1" ht="20.5">
      <c r="A27" s="46" t="s">
        <v>118</v>
      </c>
      <c r="B27" s="13" t="s">
        <v>119</v>
      </c>
      <c r="C27" s="46" t="s">
        <v>120</v>
      </c>
      <c r="D27" s="42">
        <v>1334.971004718243</v>
      </c>
      <c r="E27" s="42">
        <v>1686.1231154062871</v>
      </c>
      <c r="F27" s="42">
        <v>1341.3800974382616</v>
      </c>
      <c r="G27" s="42">
        <v>1143.0809998235638</v>
      </c>
      <c r="H27" s="42">
        <v>60.429559308142821</v>
      </c>
      <c r="I27" s="42">
        <v>100.23537430065852</v>
      </c>
      <c r="J27" s="42">
        <v>104.57883705841174</v>
      </c>
      <c r="K27" s="42">
        <v>98.945498318165534</v>
      </c>
      <c r="L27" s="42">
        <v>101.04953870495901</v>
      </c>
      <c r="M27" s="42">
        <v>133.45351620081843</v>
      </c>
      <c r="N27" s="42">
        <v>88.568965173789564</v>
      </c>
      <c r="O27" s="42">
        <v>70.461252354852846</v>
      </c>
      <c r="P27" s="42">
        <v>85.418304392120703</v>
      </c>
      <c r="Q27" s="42">
        <v>94.17980119635061</v>
      </c>
      <c r="R27" s="42">
        <v>103.98333532535386</v>
      </c>
      <c r="S27" s="42">
        <v>161.67668368421351</v>
      </c>
      <c r="T27" s="44" t="s">
        <v>46</v>
      </c>
      <c r="U27" s="44" t="s">
        <v>46</v>
      </c>
      <c r="V27" s="42">
        <v>1202.9806660178372</v>
      </c>
      <c r="W27" s="42">
        <v>1202.8122093784327</v>
      </c>
      <c r="X27" s="42">
        <v>57.964661555711132</v>
      </c>
      <c r="Y27" s="42">
        <v>103.07919704497984</v>
      </c>
      <c r="Z27" s="42">
        <v>107.1420495614709</v>
      </c>
      <c r="AA27" s="42">
        <v>103.33150778880029</v>
      </c>
      <c r="AB27" s="42">
        <v>104.62332029982754</v>
      </c>
      <c r="AC27" s="42">
        <v>140.33664435603669</v>
      </c>
      <c r="AD27" s="42">
        <v>94.64505466673495</v>
      </c>
      <c r="AE27" s="42">
        <v>78.261173812328906</v>
      </c>
      <c r="AF27" s="42">
        <v>81.016044302536699</v>
      </c>
      <c r="AG27" s="42">
        <v>106.38631823381769</v>
      </c>
      <c r="AH27" s="42">
        <v>114.14831304318133</v>
      </c>
      <c r="AI27" s="42">
        <v>161.20032469934719</v>
      </c>
      <c r="AJ27" s="42">
        <v>0</v>
      </c>
      <c r="AK27" s="42">
        <v>0</v>
      </c>
      <c r="AL27" s="42">
        <v>1252.1346093647733</v>
      </c>
      <c r="AM27" s="42">
        <v>1252.2998275479365</v>
      </c>
      <c r="AN27" s="42">
        <v>73.251466980836753</v>
      </c>
      <c r="AO27" s="42">
        <v>109.11610633974766</v>
      </c>
      <c r="AP27" s="42">
        <v>111.67864582444038</v>
      </c>
      <c r="AQ27" s="42">
        <v>114.13966909693173</v>
      </c>
      <c r="AR27" s="42">
        <v>120.34170266532347</v>
      </c>
      <c r="AS27" s="42">
        <v>149.85363202258381</v>
      </c>
      <c r="AT27" s="42">
        <v>105.69831987296601</v>
      </c>
      <c r="AU27" s="42">
        <v>85.648971832829645</v>
      </c>
      <c r="AV27" s="42">
        <v>90.139457089031936</v>
      </c>
      <c r="AW27" s="42">
        <v>114.98514521829701</v>
      </c>
      <c r="AX27" s="42">
        <v>123.06932658322947</v>
      </c>
      <c r="AY27" s="42">
        <v>176.52497851463565</v>
      </c>
      <c r="AZ27" s="44" t="s">
        <v>46</v>
      </c>
      <c r="BA27" s="44" t="s">
        <v>46</v>
      </c>
      <c r="BB27" s="42">
        <v>1374.4474220408536</v>
      </c>
      <c r="BC27" s="42">
        <v>1374.3182722352178</v>
      </c>
      <c r="BD27" s="49" t="s">
        <v>46</v>
      </c>
      <c r="BE27" s="49" t="s">
        <v>46</v>
      </c>
      <c r="BF27" s="49">
        <f>BF28+BF31</f>
        <v>69.148774000000003</v>
      </c>
      <c r="BG27" s="49" t="s">
        <v>46</v>
      </c>
      <c r="BH27" s="49" t="s">
        <v>46</v>
      </c>
      <c r="BI27" s="44">
        <f>BI28+BI31</f>
        <v>113.022075</v>
      </c>
      <c r="BJ27" s="49" t="s">
        <v>46</v>
      </c>
      <c r="BK27" s="49" t="s">
        <v>46</v>
      </c>
      <c r="BL27" s="44">
        <f>BL28+BL31</f>
        <v>110.410515</v>
      </c>
      <c r="BM27" s="49" t="s">
        <v>46</v>
      </c>
      <c r="BN27" s="49" t="s">
        <v>46</v>
      </c>
      <c r="BO27" s="44">
        <f>BO28+BO31</f>
        <v>125.34357199999999</v>
      </c>
      <c r="BP27" s="49" t="s">
        <v>46</v>
      </c>
      <c r="BQ27" s="49" t="s">
        <v>46</v>
      </c>
      <c r="BR27" s="44">
        <f>BR28+BR31</f>
        <v>113.49168900000001</v>
      </c>
      <c r="BS27" s="49" t="s">
        <v>46</v>
      </c>
      <c r="BT27" s="49" t="s">
        <v>46</v>
      </c>
      <c r="BU27" s="44">
        <f>BU28+BU31</f>
        <v>154.10019199999999</v>
      </c>
      <c r="BV27" s="49" t="s">
        <v>46</v>
      </c>
      <c r="BW27" s="49" t="s">
        <v>46</v>
      </c>
      <c r="BX27" s="44">
        <f>BX28+BX31</f>
        <v>114.10852300000001</v>
      </c>
      <c r="BY27" s="49" t="s">
        <v>46</v>
      </c>
      <c r="BZ27" s="49" t="s">
        <v>46</v>
      </c>
      <c r="CA27" s="44">
        <f>CA28+CA31</f>
        <v>88.286479</v>
      </c>
      <c r="CB27" s="49" t="s">
        <v>46</v>
      </c>
      <c r="CC27" s="49" t="s">
        <v>46</v>
      </c>
      <c r="CD27" s="44">
        <f>CD28+CD31</f>
        <v>100.34131400000001</v>
      </c>
      <c r="CE27" s="49" t="s">
        <v>46</v>
      </c>
      <c r="CF27" s="49" t="s">
        <v>46</v>
      </c>
      <c r="CG27" s="44">
        <f>CG28+CG31</f>
        <v>123.27177</v>
      </c>
      <c r="CH27" s="49" t="s">
        <v>46</v>
      </c>
      <c r="CI27" s="49" t="s">
        <v>46</v>
      </c>
      <c r="CJ27" s="44">
        <f>CJ28+CJ31</f>
        <v>120.42241300000001</v>
      </c>
      <c r="CK27" s="49" t="s">
        <v>46</v>
      </c>
      <c r="CL27" s="49" t="s">
        <v>46</v>
      </c>
      <c r="CM27" s="44">
        <f>CM28+CM31</f>
        <v>173.10274699999999</v>
      </c>
      <c r="CN27" s="50"/>
      <c r="CO27" s="50"/>
      <c r="CP27" s="50">
        <f t="shared" si="21"/>
        <v>1405.0500629999999</v>
      </c>
      <c r="CQ27" s="52">
        <f>CQ28+CQ31</f>
        <v>1402.8633669999999</v>
      </c>
      <c r="CR27" s="49" t="s">
        <v>46</v>
      </c>
      <c r="CS27" s="49" t="s">
        <v>46</v>
      </c>
      <c r="CT27" s="44">
        <f>CT28+CT31</f>
        <v>86.796276000000006</v>
      </c>
      <c r="CU27" s="49" t="s">
        <v>46</v>
      </c>
      <c r="CV27" s="49" t="s">
        <v>46</v>
      </c>
      <c r="CW27" s="44">
        <v>119.58074300000001</v>
      </c>
      <c r="CX27" s="49" t="s">
        <v>46</v>
      </c>
      <c r="CY27" s="49" t="s">
        <v>46</v>
      </c>
      <c r="CZ27" s="44">
        <v>120.351933</v>
      </c>
      <c r="DA27" s="49" t="s">
        <v>46</v>
      </c>
      <c r="DB27" s="49" t="s">
        <v>46</v>
      </c>
      <c r="DC27" s="44">
        <v>130.070224</v>
      </c>
      <c r="DD27" s="49" t="s">
        <v>46</v>
      </c>
      <c r="DE27" s="49" t="s">
        <v>46</v>
      </c>
      <c r="DF27" s="44">
        <v>118.51083599999998</v>
      </c>
      <c r="DG27" s="49" t="s">
        <v>46</v>
      </c>
      <c r="DH27" s="49" t="s">
        <v>46</v>
      </c>
      <c r="DI27" s="44">
        <v>169.25323499999999</v>
      </c>
      <c r="DJ27" s="49" t="s">
        <v>46</v>
      </c>
      <c r="DK27" s="49" t="s">
        <v>46</v>
      </c>
      <c r="DL27" s="44">
        <v>124.906814</v>
      </c>
      <c r="DM27" s="49" t="s">
        <v>46</v>
      </c>
      <c r="DN27" s="49" t="s">
        <v>46</v>
      </c>
      <c r="DO27" s="44">
        <v>91.021211999999991</v>
      </c>
      <c r="DP27" s="49" t="s">
        <v>46</v>
      </c>
      <c r="DQ27" s="49" t="s">
        <v>46</v>
      </c>
      <c r="DR27" s="44">
        <v>101.30687</v>
      </c>
      <c r="DS27" s="49" t="s">
        <v>46</v>
      </c>
      <c r="DT27" s="49" t="s">
        <v>46</v>
      </c>
      <c r="DU27" s="44">
        <v>125.725297</v>
      </c>
      <c r="DV27" s="49" t="s">
        <v>46</v>
      </c>
      <c r="DW27" s="49" t="s">
        <v>46</v>
      </c>
      <c r="DX27" s="44">
        <v>125.111648</v>
      </c>
      <c r="DY27" s="49" t="s">
        <v>46</v>
      </c>
      <c r="DZ27" s="49" t="s">
        <v>46</v>
      </c>
      <c r="EA27" s="44">
        <v>178.541516</v>
      </c>
      <c r="EB27" s="49" t="s">
        <v>46</v>
      </c>
      <c r="EC27" s="44" t="s">
        <v>46</v>
      </c>
      <c r="ED27" s="50">
        <f t="shared" si="24"/>
        <v>1491.176604</v>
      </c>
      <c r="EE27" s="44">
        <f>EE28+EE31</f>
        <v>1489.206422</v>
      </c>
      <c r="EF27" s="50" t="s">
        <v>46</v>
      </c>
      <c r="EG27" s="50" t="s">
        <v>46</v>
      </c>
      <c r="EH27" s="50">
        <v>85.475688000000005</v>
      </c>
      <c r="EI27" s="50" t="s">
        <v>46</v>
      </c>
      <c r="EJ27" s="50" t="s">
        <v>46</v>
      </c>
      <c r="EK27" s="50">
        <v>125.628606</v>
      </c>
      <c r="EL27" s="50" t="s">
        <v>46</v>
      </c>
      <c r="EM27" s="50" t="s">
        <v>46</v>
      </c>
      <c r="EN27" s="50">
        <v>125.10094699999999</v>
      </c>
      <c r="EO27" s="50" t="s">
        <v>46</v>
      </c>
      <c r="EP27" s="50" t="s">
        <v>46</v>
      </c>
      <c r="EQ27" s="50">
        <v>127.620727</v>
      </c>
      <c r="ER27" s="50" t="s">
        <v>46</v>
      </c>
      <c r="ES27" s="50" t="s">
        <v>46</v>
      </c>
      <c r="ET27" s="50">
        <v>128.83613399999999</v>
      </c>
      <c r="EU27" s="50" t="s">
        <v>46</v>
      </c>
      <c r="EV27" s="50" t="s">
        <v>46</v>
      </c>
      <c r="EW27" s="50">
        <v>172.61462900000001</v>
      </c>
      <c r="EX27" s="50" t="s">
        <v>46</v>
      </c>
      <c r="EY27" s="50" t="s">
        <v>46</v>
      </c>
      <c r="EZ27" s="50">
        <v>119.126417</v>
      </c>
      <c r="FA27" s="50" t="s">
        <v>46</v>
      </c>
      <c r="FB27" s="50" t="s">
        <v>46</v>
      </c>
      <c r="FC27" s="50">
        <v>96.674892</v>
      </c>
      <c r="FD27" s="50" t="s">
        <v>46</v>
      </c>
      <c r="FE27" s="50" t="s">
        <v>46</v>
      </c>
      <c r="FF27" s="50">
        <v>105.836989</v>
      </c>
      <c r="FG27" s="50" t="s">
        <v>46</v>
      </c>
      <c r="FH27" s="50" t="s">
        <v>46</v>
      </c>
      <c r="FI27" s="50">
        <v>127.759207</v>
      </c>
      <c r="FJ27" s="50" t="s">
        <v>46</v>
      </c>
      <c r="FK27" s="50" t="s">
        <v>46</v>
      </c>
      <c r="FL27" s="50">
        <v>137.48126100000002</v>
      </c>
      <c r="FM27" s="50" t="s">
        <v>46</v>
      </c>
      <c r="FN27" s="50" t="s">
        <v>46</v>
      </c>
      <c r="FO27" s="50">
        <v>192.68902500000002</v>
      </c>
      <c r="FP27" s="50" t="s">
        <v>46</v>
      </c>
      <c r="FQ27" s="50" t="s">
        <v>46</v>
      </c>
      <c r="FR27" s="50">
        <f t="shared" si="27"/>
        <v>1544.8445220000003</v>
      </c>
      <c r="FS27" s="94">
        <f>FS28+FS31</f>
        <v>1543.7271949999999</v>
      </c>
      <c r="FT27" s="50" t="s">
        <v>46</v>
      </c>
      <c r="FU27" s="50" t="s">
        <v>46</v>
      </c>
      <c r="FV27" s="50">
        <v>95.076096000000007</v>
      </c>
      <c r="FW27" s="50" t="s">
        <v>46</v>
      </c>
      <c r="FX27" s="50" t="s">
        <v>46</v>
      </c>
      <c r="FY27" s="50">
        <v>130.03440799999998</v>
      </c>
      <c r="FZ27" s="50" t="s">
        <v>46</v>
      </c>
      <c r="GA27" s="50" t="s">
        <v>46</v>
      </c>
      <c r="GB27" s="50">
        <v>136.42812500000002</v>
      </c>
      <c r="GC27" s="50" t="s">
        <v>46</v>
      </c>
      <c r="GD27" s="50" t="s">
        <v>46</v>
      </c>
      <c r="GE27" s="50">
        <v>134.94444300000001</v>
      </c>
      <c r="GF27" s="50" t="s">
        <v>46</v>
      </c>
      <c r="GG27" s="50" t="s">
        <v>46</v>
      </c>
      <c r="GH27" s="50">
        <v>142.95089400000001</v>
      </c>
      <c r="GI27" s="50" t="s">
        <v>46</v>
      </c>
      <c r="GJ27" s="50" t="s">
        <v>46</v>
      </c>
      <c r="GK27" s="50">
        <v>198.46885600000002</v>
      </c>
      <c r="GL27" s="50" t="s">
        <v>46</v>
      </c>
      <c r="GM27" s="50" t="s">
        <v>46</v>
      </c>
      <c r="GN27" s="50">
        <v>125.204898</v>
      </c>
      <c r="GO27" s="50" t="s">
        <v>46</v>
      </c>
      <c r="GP27" s="50" t="s">
        <v>46</v>
      </c>
      <c r="GQ27" s="50">
        <v>102.329662</v>
      </c>
      <c r="GR27" s="44" t="s">
        <v>46</v>
      </c>
      <c r="GS27" s="50" t="s">
        <v>46</v>
      </c>
      <c r="GT27" s="50">
        <v>110.876069</v>
      </c>
      <c r="GU27" s="44" t="s">
        <v>46</v>
      </c>
      <c r="GV27" s="50" t="s">
        <v>46</v>
      </c>
      <c r="GW27" s="50">
        <v>134.86424299999999</v>
      </c>
      <c r="GX27" s="44" t="s">
        <v>46</v>
      </c>
      <c r="GY27" s="50" t="s">
        <v>46</v>
      </c>
      <c r="GZ27" s="50">
        <v>145.01543699999999</v>
      </c>
      <c r="HA27" s="44" t="s">
        <v>46</v>
      </c>
      <c r="HB27" s="50" t="s">
        <v>46</v>
      </c>
      <c r="HC27" s="50">
        <v>204.58346299999999</v>
      </c>
      <c r="HD27" s="50" t="s">
        <v>46</v>
      </c>
      <c r="HE27" s="50" t="s">
        <v>46</v>
      </c>
      <c r="HF27" s="50">
        <f t="shared" si="30"/>
        <v>1660.7765939999999</v>
      </c>
      <c r="HG27" s="50">
        <f>HG28+HG31</f>
        <v>1659.4516269999999</v>
      </c>
      <c r="HH27" s="44" t="s">
        <v>46</v>
      </c>
      <c r="HI27" s="50" t="s">
        <v>46</v>
      </c>
      <c r="HJ27" s="50">
        <v>101.933635</v>
      </c>
      <c r="HK27" s="44" t="s">
        <v>46</v>
      </c>
      <c r="HL27" s="50" t="s">
        <v>46</v>
      </c>
      <c r="HM27" s="50">
        <v>137.664241</v>
      </c>
      <c r="HN27" s="44" t="s">
        <v>46</v>
      </c>
      <c r="HO27" s="50" t="s">
        <v>46</v>
      </c>
      <c r="HP27" s="50">
        <v>148.47308000000001</v>
      </c>
      <c r="HQ27" s="44" t="s">
        <v>46</v>
      </c>
      <c r="HR27" s="50" t="s">
        <v>46</v>
      </c>
      <c r="HS27" s="50">
        <v>140.200569</v>
      </c>
      <c r="HT27" s="44" t="s">
        <v>46</v>
      </c>
      <c r="HU27" s="50" t="s">
        <v>46</v>
      </c>
      <c r="HV27" s="50">
        <v>149.09109100000001</v>
      </c>
      <c r="HW27" s="44" t="s">
        <v>46</v>
      </c>
      <c r="HX27" s="50" t="s">
        <v>46</v>
      </c>
      <c r="HY27" s="50">
        <v>207.28478999999999</v>
      </c>
      <c r="HZ27" s="44" t="s">
        <v>46</v>
      </c>
      <c r="IA27" s="50" t="s">
        <v>46</v>
      </c>
      <c r="IB27" s="50">
        <v>139.496735</v>
      </c>
      <c r="IC27" s="44" t="s">
        <v>46</v>
      </c>
      <c r="ID27" s="50" t="s">
        <v>46</v>
      </c>
      <c r="IE27" s="50">
        <v>115.700661</v>
      </c>
      <c r="IF27" s="44" t="s">
        <v>46</v>
      </c>
      <c r="IG27" s="50" t="s">
        <v>46</v>
      </c>
      <c r="IH27" s="50">
        <v>113.023095</v>
      </c>
      <c r="II27" s="44" t="s">
        <v>46</v>
      </c>
      <c r="IJ27" s="50" t="s">
        <v>46</v>
      </c>
      <c r="IK27" s="50">
        <v>150.73195699999999</v>
      </c>
      <c r="IL27" s="44" t="s">
        <v>46</v>
      </c>
      <c r="IM27" s="50" t="s">
        <v>46</v>
      </c>
      <c r="IN27" s="50">
        <v>161.34896800000001</v>
      </c>
      <c r="IO27" s="44" t="s">
        <v>46</v>
      </c>
      <c r="IP27" s="50" t="s">
        <v>46</v>
      </c>
      <c r="IQ27" s="50">
        <v>208.21030300000001</v>
      </c>
      <c r="IR27" s="50" t="s">
        <v>46</v>
      </c>
      <c r="IS27" s="50" t="s">
        <v>46</v>
      </c>
      <c r="IT27" s="50">
        <f>HJ27+HM27+HP27+HS27+HV27+HY27+IB27+IE27+IH27+IK27+IN27+IQ27</f>
        <v>1773.1591250000001</v>
      </c>
      <c r="IU27" s="50">
        <f>IU28+IU31</f>
        <v>1772.6780680000002</v>
      </c>
      <c r="IV27" s="44" t="s">
        <v>46</v>
      </c>
      <c r="IW27" s="50" t="s">
        <v>46</v>
      </c>
      <c r="IX27" s="50">
        <v>107.81074700000001</v>
      </c>
      <c r="IY27" s="44" t="s">
        <v>46</v>
      </c>
      <c r="IZ27" s="50" t="s">
        <v>46</v>
      </c>
      <c r="JA27" s="50">
        <v>146.31588300000001</v>
      </c>
      <c r="JB27" s="44" t="s">
        <v>46</v>
      </c>
      <c r="JC27" s="50" t="s">
        <v>46</v>
      </c>
      <c r="JD27" s="50">
        <v>146.372062</v>
      </c>
      <c r="JE27" s="44" t="s">
        <v>46</v>
      </c>
      <c r="JF27" s="50" t="s">
        <v>46</v>
      </c>
      <c r="JG27" s="50">
        <v>150.41153299999999</v>
      </c>
      <c r="JH27" s="44" t="s">
        <v>46</v>
      </c>
      <c r="JI27" s="50" t="s">
        <v>46</v>
      </c>
      <c r="JJ27" s="50">
        <v>160.284188</v>
      </c>
      <c r="JK27" s="44" t="s">
        <v>46</v>
      </c>
      <c r="JL27" s="50" t="s">
        <v>46</v>
      </c>
      <c r="JM27" s="50">
        <v>205.50388000000001</v>
      </c>
      <c r="JN27" s="44" t="s">
        <v>46</v>
      </c>
      <c r="JO27" s="50" t="s">
        <v>46</v>
      </c>
      <c r="JP27" s="50">
        <v>149.081095</v>
      </c>
      <c r="JQ27" s="44" t="s">
        <v>46</v>
      </c>
      <c r="JR27" s="50" t="s">
        <v>46</v>
      </c>
      <c r="JS27" s="50">
        <v>117.360266</v>
      </c>
      <c r="JT27" s="44" t="s">
        <v>46</v>
      </c>
      <c r="JU27" s="50" t="s">
        <v>46</v>
      </c>
      <c r="JV27" s="50">
        <v>119.95210899999999</v>
      </c>
      <c r="JW27" s="44" t="s">
        <v>46</v>
      </c>
      <c r="JX27" s="50" t="s">
        <v>46</v>
      </c>
      <c r="JY27" s="50">
        <v>156.66404399999999</v>
      </c>
      <c r="JZ27" s="44" t="s">
        <v>46</v>
      </c>
      <c r="KA27" s="50" t="s">
        <v>46</v>
      </c>
      <c r="KB27" s="50">
        <v>163.72902099999999</v>
      </c>
      <c r="KC27" s="44" t="s">
        <v>46</v>
      </c>
      <c r="KD27" s="50" t="s">
        <v>46</v>
      </c>
      <c r="KE27" s="50">
        <v>214.88380000000001</v>
      </c>
      <c r="KF27" s="50" t="s">
        <v>46</v>
      </c>
      <c r="KG27" s="50" t="s">
        <v>46</v>
      </c>
      <c r="KH27" s="50">
        <f t="shared" si="4"/>
        <v>1838.3686280000002</v>
      </c>
      <c r="KI27" s="50">
        <f>KI28+KI31</f>
        <v>1837.359852</v>
      </c>
      <c r="KJ27" s="44" t="s">
        <v>46</v>
      </c>
      <c r="KK27" s="50" t="s">
        <v>46</v>
      </c>
      <c r="KL27" s="50">
        <v>114.483006</v>
      </c>
      <c r="KM27" s="44" t="s">
        <v>46</v>
      </c>
      <c r="KN27" s="50" t="s">
        <v>46</v>
      </c>
      <c r="KO27" s="50">
        <v>147.24409600000001</v>
      </c>
      <c r="KP27" s="44" t="s">
        <v>46</v>
      </c>
      <c r="KQ27" s="50" t="s">
        <v>46</v>
      </c>
      <c r="KR27" s="50">
        <v>150.460666</v>
      </c>
      <c r="KS27" s="44" t="s">
        <v>46</v>
      </c>
      <c r="KT27" s="50" t="s">
        <v>46</v>
      </c>
      <c r="KU27" s="50">
        <v>152.08744200000001</v>
      </c>
      <c r="KV27" s="44" t="s">
        <v>46</v>
      </c>
      <c r="KW27" s="50" t="s">
        <v>46</v>
      </c>
      <c r="KX27" s="50">
        <v>133.938602</v>
      </c>
      <c r="KY27" s="44" t="s">
        <v>46</v>
      </c>
      <c r="KZ27" s="50" t="s">
        <v>46</v>
      </c>
      <c r="LA27" s="50">
        <v>191.64415199999999</v>
      </c>
      <c r="LB27" s="44" t="s">
        <v>46</v>
      </c>
      <c r="LC27" s="50" t="s">
        <v>46</v>
      </c>
      <c r="LD27" s="50">
        <v>145.550736</v>
      </c>
      <c r="LE27" s="44"/>
      <c r="LF27" s="44"/>
      <c r="LG27" s="44">
        <v>113.208399</v>
      </c>
      <c r="LH27" s="44" t="s">
        <v>46</v>
      </c>
      <c r="LI27" s="50" t="s">
        <v>46</v>
      </c>
      <c r="LJ27" s="50">
        <v>130.682861</v>
      </c>
      <c r="LK27" s="44" t="s">
        <v>46</v>
      </c>
      <c r="LL27" s="50" t="s">
        <v>46</v>
      </c>
      <c r="LM27" s="50">
        <v>158.42066800000001</v>
      </c>
      <c r="LN27" s="44" t="s">
        <v>46</v>
      </c>
      <c r="LO27" s="50" t="s">
        <v>46</v>
      </c>
      <c r="LP27" s="50">
        <v>162.181498</v>
      </c>
      <c r="LQ27" s="44" t="s">
        <v>46</v>
      </c>
      <c r="LR27" s="50" t="s">
        <v>46</v>
      </c>
      <c r="LS27" s="50">
        <v>228.49806100000001</v>
      </c>
      <c r="LT27" s="44" t="s">
        <v>46</v>
      </c>
      <c r="LU27" s="50" t="s">
        <v>46</v>
      </c>
      <c r="LV27" s="50">
        <f t="shared" si="58"/>
        <v>1828.400187</v>
      </c>
      <c r="LW27" s="50">
        <f>LW28+LW31</f>
        <v>1827.303574</v>
      </c>
      <c r="LX27" s="44" t="s">
        <v>46</v>
      </c>
      <c r="LY27" s="50" t="s">
        <v>46</v>
      </c>
      <c r="LZ27" s="50">
        <v>102.248165</v>
      </c>
      <c r="MA27" s="44" t="s">
        <v>46</v>
      </c>
      <c r="MB27" s="50" t="s">
        <v>46</v>
      </c>
      <c r="MC27" s="50">
        <v>151.34831800000001</v>
      </c>
      <c r="MD27" s="44" t="s">
        <v>46</v>
      </c>
      <c r="ME27" s="50" t="s">
        <v>46</v>
      </c>
      <c r="MF27" s="50">
        <v>159.068456</v>
      </c>
      <c r="MG27" s="44" t="s">
        <v>46</v>
      </c>
      <c r="MH27" s="50" t="s">
        <v>46</v>
      </c>
      <c r="MI27" s="50">
        <v>159.70712900000001</v>
      </c>
      <c r="MJ27" s="44" t="s">
        <v>46</v>
      </c>
      <c r="MK27" s="50" t="s">
        <v>46</v>
      </c>
      <c r="ML27" s="50">
        <v>154.412093</v>
      </c>
      <c r="MM27" s="44" t="s">
        <v>46</v>
      </c>
      <c r="MN27" s="50" t="s">
        <v>46</v>
      </c>
      <c r="MO27" s="50">
        <v>247.39214999999999</v>
      </c>
      <c r="MP27" s="44" t="s">
        <v>46</v>
      </c>
      <c r="MQ27" s="50" t="s">
        <v>46</v>
      </c>
      <c r="MR27" s="50">
        <v>131.76343700000001</v>
      </c>
      <c r="MS27" s="44" t="s">
        <v>46</v>
      </c>
      <c r="MT27" s="50" t="s">
        <v>46</v>
      </c>
      <c r="MU27" s="50">
        <v>119.307593</v>
      </c>
      <c r="MV27" s="44" t="s">
        <v>46</v>
      </c>
      <c r="MW27" s="50" t="s">
        <v>46</v>
      </c>
      <c r="MX27" s="50">
        <v>128.97908000000001</v>
      </c>
      <c r="MY27" s="44" t="s">
        <v>46</v>
      </c>
      <c r="MZ27" s="50" t="s">
        <v>46</v>
      </c>
      <c r="NA27" s="50">
        <v>163.742142</v>
      </c>
      <c r="NB27" s="44" t="s">
        <v>46</v>
      </c>
      <c r="NC27" s="50" t="s">
        <v>46</v>
      </c>
      <c r="ND27" s="50">
        <v>170.40323900000001</v>
      </c>
      <c r="NE27" s="44" t="s">
        <v>46</v>
      </c>
      <c r="NF27" s="50" t="s">
        <v>46</v>
      </c>
      <c r="NG27" s="50">
        <v>247.856582</v>
      </c>
      <c r="NH27" s="44" t="s">
        <v>46</v>
      </c>
      <c r="NI27" s="50" t="s">
        <v>46</v>
      </c>
      <c r="NJ27" s="50">
        <f t="shared" si="7"/>
        <v>1936.228384</v>
      </c>
      <c r="NK27" s="50">
        <f>NK28+NK31</f>
        <v>1935.590635</v>
      </c>
      <c r="NL27" s="44" t="s">
        <v>46</v>
      </c>
      <c r="NM27" s="50" t="s">
        <v>46</v>
      </c>
      <c r="NN27" s="50">
        <v>118.79748499999999</v>
      </c>
      <c r="NO27" s="44" t="s">
        <v>46</v>
      </c>
      <c r="NP27" s="50" t="s">
        <v>46</v>
      </c>
      <c r="NQ27" s="50">
        <v>152.955378</v>
      </c>
      <c r="NR27" s="44" t="s">
        <v>46</v>
      </c>
      <c r="NS27" s="50" t="s">
        <v>46</v>
      </c>
      <c r="NT27" s="50">
        <v>159.28885399999999</v>
      </c>
      <c r="NU27" s="44" t="s">
        <v>46</v>
      </c>
      <c r="NV27" s="50" t="s">
        <v>46</v>
      </c>
      <c r="NW27" s="50">
        <v>170.51987600000001</v>
      </c>
      <c r="NX27" s="44" t="s">
        <v>46</v>
      </c>
      <c r="NY27" s="50" t="s">
        <v>46</v>
      </c>
      <c r="NZ27" s="50">
        <v>178.71262300000001</v>
      </c>
      <c r="OA27" s="50" t="s">
        <v>46</v>
      </c>
      <c r="OB27" s="50" t="s">
        <v>46</v>
      </c>
      <c r="OC27" s="50">
        <v>240.24480600000001</v>
      </c>
      <c r="OD27" s="50" t="s">
        <v>46</v>
      </c>
      <c r="OE27" s="50" t="s">
        <v>46</v>
      </c>
      <c r="OF27" s="50">
        <v>175.136009</v>
      </c>
      <c r="OG27" s="50" t="s">
        <v>46</v>
      </c>
      <c r="OH27" s="50" t="s">
        <v>46</v>
      </c>
      <c r="OI27" s="94">
        <v>137.46797599999999</v>
      </c>
      <c r="OJ27" s="50" t="s">
        <v>46</v>
      </c>
      <c r="OK27" s="50" t="s">
        <v>46</v>
      </c>
      <c r="OL27" s="50">
        <v>154.20459199999999</v>
      </c>
      <c r="OM27" s="50" t="s">
        <v>46</v>
      </c>
      <c r="ON27" s="50" t="s">
        <v>46</v>
      </c>
      <c r="OO27" s="50">
        <v>183.242616</v>
      </c>
      <c r="OP27" s="50" t="s">
        <v>46</v>
      </c>
      <c r="OQ27" s="50" t="s">
        <v>46</v>
      </c>
      <c r="OR27" s="50">
        <v>199.11776699999999</v>
      </c>
      <c r="OS27" s="50" t="s">
        <v>46</v>
      </c>
      <c r="OT27" s="50" t="s">
        <v>46</v>
      </c>
      <c r="OU27" s="50">
        <v>284.211252</v>
      </c>
      <c r="OV27" s="44" t="s">
        <v>46</v>
      </c>
      <c r="OW27" s="50" t="s">
        <v>46</v>
      </c>
      <c r="OX27" s="50">
        <f t="shared" si="9"/>
        <v>2153.899234</v>
      </c>
      <c r="OY27" s="50">
        <f>OY28+OY31</f>
        <v>2153.3392369999997</v>
      </c>
      <c r="OZ27" s="44" t="s">
        <v>46</v>
      </c>
      <c r="PA27" s="50" t="s">
        <v>46</v>
      </c>
      <c r="PB27" s="50">
        <v>152.77909299999999</v>
      </c>
      <c r="PC27" s="44" t="s">
        <v>46</v>
      </c>
      <c r="PD27" s="50" t="s">
        <v>46</v>
      </c>
      <c r="PE27" s="50">
        <v>198.64549600000001</v>
      </c>
      <c r="PF27" s="44" t="s">
        <v>46</v>
      </c>
      <c r="PG27" s="50" t="s">
        <v>46</v>
      </c>
      <c r="PH27" s="50">
        <v>209.47366400000001</v>
      </c>
      <c r="PI27" s="44" t="s">
        <v>46</v>
      </c>
      <c r="PJ27" s="50" t="s">
        <v>46</v>
      </c>
      <c r="PK27" s="50">
        <v>198.753209</v>
      </c>
      <c r="PL27" s="44" t="s">
        <v>46</v>
      </c>
      <c r="PM27" s="50" t="s">
        <v>46</v>
      </c>
      <c r="PN27" s="50">
        <v>196.990353</v>
      </c>
      <c r="PO27" s="44" t="s">
        <v>46</v>
      </c>
      <c r="PP27" s="50" t="s">
        <v>46</v>
      </c>
      <c r="PQ27" s="50">
        <v>280.41590599999995</v>
      </c>
      <c r="PR27" s="44" t="s">
        <v>46</v>
      </c>
      <c r="PS27" s="50" t="s">
        <v>46</v>
      </c>
      <c r="PT27" s="50">
        <v>194.07135299999999</v>
      </c>
      <c r="PU27" s="44" t="s">
        <v>46</v>
      </c>
      <c r="PV27" s="50" t="s">
        <v>46</v>
      </c>
      <c r="PW27" s="50">
        <v>161.977564</v>
      </c>
      <c r="PX27" s="44" t="s">
        <v>46</v>
      </c>
      <c r="PY27" s="50" t="s">
        <v>46</v>
      </c>
      <c r="PZ27" s="50">
        <v>167.642281</v>
      </c>
      <c r="QA27" s="44" t="s">
        <v>46</v>
      </c>
      <c r="QB27" s="50" t="s">
        <v>46</v>
      </c>
      <c r="QC27" s="50">
        <v>204.596326</v>
      </c>
      <c r="QD27" s="44" t="s">
        <v>46</v>
      </c>
      <c r="QE27" s="50" t="s">
        <v>46</v>
      </c>
      <c r="QF27" s="50">
        <v>223.50852800000001</v>
      </c>
      <c r="QG27" s="44" t="s">
        <v>46</v>
      </c>
      <c r="QH27" s="50" t="s">
        <v>46</v>
      </c>
      <c r="QI27" s="50">
        <v>312.074254</v>
      </c>
      <c r="QJ27" s="44" t="s">
        <v>46</v>
      </c>
      <c r="QK27" s="50" t="s">
        <v>46</v>
      </c>
      <c r="QL27" s="50">
        <f t="shared" si="40"/>
        <v>2500.9280269999999</v>
      </c>
      <c r="QM27" s="50">
        <f>QM28+QM31</f>
        <v>2499.7076569999999</v>
      </c>
      <c r="QN27" s="44" t="s">
        <v>46</v>
      </c>
      <c r="QO27" s="50" t="s">
        <v>46</v>
      </c>
      <c r="QP27" s="50">
        <v>163.50686099999999</v>
      </c>
      <c r="QQ27" s="44" t="s">
        <v>46</v>
      </c>
      <c r="QR27" s="50" t="s">
        <v>46</v>
      </c>
      <c r="QS27" s="50">
        <v>225.27691899999999</v>
      </c>
      <c r="QT27" s="44" t="s">
        <v>46</v>
      </c>
      <c r="QU27" s="50" t="s">
        <v>46</v>
      </c>
      <c r="QV27" s="50">
        <v>215.43237500000001</v>
      </c>
      <c r="QW27" s="44" t="s">
        <v>46</v>
      </c>
      <c r="QX27" s="50" t="s">
        <v>46</v>
      </c>
      <c r="QY27" s="50">
        <v>222.70753999999999</v>
      </c>
      <c r="QZ27" s="44" t="s">
        <v>46</v>
      </c>
      <c r="RA27" s="50" t="s">
        <v>46</v>
      </c>
      <c r="RB27" s="50">
        <v>233.332551</v>
      </c>
      <c r="RC27" s="44" t="s">
        <v>46</v>
      </c>
      <c r="RD27" s="50" t="s">
        <v>46</v>
      </c>
      <c r="RE27" s="50">
        <v>297.19272999999998</v>
      </c>
      <c r="RF27" s="44" t="s">
        <v>46</v>
      </c>
      <c r="RG27" s="50" t="s">
        <v>46</v>
      </c>
      <c r="RH27" s="50">
        <v>225.85912400000001</v>
      </c>
      <c r="RI27" s="44" t="s">
        <v>46</v>
      </c>
      <c r="RJ27" s="50" t="s">
        <v>46</v>
      </c>
      <c r="RK27" s="50">
        <v>173.60476499999999</v>
      </c>
      <c r="RL27" s="44" t="s">
        <v>46</v>
      </c>
      <c r="RM27" s="50" t="s">
        <v>46</v>
      </c>
      <c r="RN27" s="50">
        <v>172.011155</v>
      </c>
      <c r="RO27" s="44" t="s">
        <v>46</v>
      </c>
      <c r="RP27" s="50" t="s">
        <v>46</v>
      </c>
      <c r="RQ27" s="50">
        <v>226.60646600000001</v>
      </c>
      <c r="RR27" s="44" t="s">
        <v>46</v>
      </c>
      <c r="RS27" s="50" t="s">
        <v>46</v>
      </c>
      <c r="RT27" s="50">
        <v>235.124483</v>
      </c>
      <c r="RU27" s="44" t="s">
        <v>46</v>
      </c>
      <c r="RV27" s="50" t="s">
        <v>46</v>
      </c>
      <c r="RW27" s="50">
        <v>307.58455500000002</v>
      </c>
      <c r="RX27" s="44" t="s">
        <v>46</v>
      </c>
      <c r="RY27" s="50" t="s">
        <v>46</v>
      </c>
      <c r="RZ27" s="50">
        <f t="shared" si="43"/>
        <v>2698.2395240000001</v>
      </c>
      <c r="SA27" s="50">
        <f>SA28+SA31</f>
        <v>2697.1110330000001</v>
      </c>
      <c r="SB27" s="44" t="s">
        <v>46</v>
      </c>
      <c r="SC27" s="50" t="s">
        <v>46</v>
      </c>
      <c r="SD27" s="50">
        <v>178.12327400000001</v>
      </c>
      <c r="SE27" s="44" t="s">
        <v>46</v>
      </c>
      <c r="SF27" s="50" t="s">
        <v>46</v>
      </c>
      <c r="SG27" s="50">
        <v>220.99324100000001</v>
      </c>
      <c r="SH27" s="44" t="s">
        <v>46</v>
      </c>
      <c r="SI27" s="50" t="s">
        <v>46</v>
      </c>
      <c r="SJ27" s="50">
        <v>221.76754500000001</v>
      </c>
      <c r="SK27" s="44" t="s">
        <v>46</v>
      </c>
      <c r="SL27" s="50" t="s">
        <v>46</v>
      </c>
      <c r="SM27" s="50">
        <v>246.513935</v>
      </c>
      <c r="SN27" s="44" t="s">
        <v>46</v>
      </c>
      <c r="SO27" s="50" t="s">
        <v>46</v>
      </c>
      <c r="SP27" s="50">
        <v>225.776983</v>
      </c>
      <c r="SQ27" s="50" t="s">
        <v>46</v>
      </c>
      <c r="SR27" s="50" t="s">
        <v>46</v>
      </c>
      <c r="SS27" s="50">
        <v>308.03022199999998</v>
      </c>
      <c r="ST27" s="50" t="s">
        <v>46</v>
      </c>
      <c r="SU27" s="50" t="s">
        <v>46</v>
      </c>
      <c r="SV27" s="50">
        <v>236.606122</v>
      </c>
      <c r="SW27" s="50" t="s">
        <v>46</v>
      </c>
      <c r="SX27" s="50" t="s">
        <v>46</v>
      </c>
      <c r="SY27" s="50">
        <v>185.77886000000001</v>
      </c>
      <c r="SZ27" s="50" t="s">
        <v>46</v>
      </c>
      <c r="TA27" s="50" t="s">
        <v>46</v>
      </c>
      <c r="TB27" s="50">
        <v>189.13996</v>
      </c>
      <c r="TC27" s="50" t="s">
        <v>46</v>
      </c>
      <c r="TD27" s="50" t="s">
        <v>46</v>
      </c>
      <c r="TE27" s="50">
        <v>241.090453</v>
      </c>
      <c r="TF27" s="50" t="s">
        <v>46</v>
      </c>
      <c r="TG27" s="50" t="s">
        <v>46</v>
      </c>
      <c r="TH27" s="50">
        <v>238.386304</v>
      </c>
      <c r="TI27" s="50" t="s">
        <v>46</v>
      </c>
      <c r="TJ27" s="50" t="s">
        <v>46</v>
      </c>
      <c r="TK27" s="50">
        <v>317.87677400000001</v>
      </c>
      <c r="TL27" s="44" t="s">
        <v>46</v>
      </c>
      <c r="TM27" s="50" t="s">
        <v>46</v>
      </c>
      <c r="TN27" s="50">
        <f t="shared" si="47"/>
        <v>2810.0836729999996</v>
      </c>
      <c r="TO27" s="44" t="s">
        <v>46</v>
      </c>
      <c r="TP27" s="50" t="s">
        <v>46</v>
      </c>
      <c r="TQ27" s="50">
        <v>181.61644400000012</v>
      </c>
      <c r="TR27" s="44" t="s">
        <v>46</v>
      </c>
      <c r="TS27" s="50" t="s">
        <v>46</v>
      </c>
      <c r="TT27" s="50">
        <v>237.18420700000007</v>
      </c>
      <c r="TU27" s="44" t="s">
        <v>46</v>
      </c>
      <c r="TV27" s="50" t="s">
        <v>46</v>
      </c>
      <c r="TW27" s="50">
        <v>242.94588400000004</v>
      </c>
      <c r="TX27" s="44" t="s">
        <v>46</v>
      </c>
      <c r="TY27" s="50" t="s">
        <v>46</v>
      </c>
      <c r="TZ27" s="50">
        <v>242.31920400000001</v>
      </c>
      <c r="UA27" s="50"/>
      <c r="UB27" s="50"/>
      <c r="UC27" s="50"/>
      <c r="UD27" s="50"/>
      <c r="UE27" s="50"/>
      <c r="UF27" s="50"/>
      <c r="UG27" s="50"/>
      <c r="UH27" s="50"/>
      <c r="UI27" s="50"/>
      <c r="UJ27" s="50"/>
      <c r="UK27" s="50"/>
      <c r="UL27" s="50"/>
      <c r="UM27" s="50"/>
      <c r="UN27" s="50"/>
      <c r="UO27" s="50"/>
      <c r="UP27" s="50"/>
      <c r="UQ27" s="50"/>
      <c r="UR27" s="50"/>
      <c r="US27" s="50"/>
      <c r="UT27" s="50"/>
      <c r="UU27" s="50"/>
      <c r="UV27" s="50"/>
      <c r="UW27" s="50"/>
      <c r="UX27" s="50"/>
      <c r="UY27" s="292" t="s">
        <v>46</v>
      </c>
      <c r="UZ27" s="276" t="s">
        <v>46</v>
      </c>
      <c r="VA27" s="276">
        <f t="shared" si="52"/>
        <v>867.39799500000004</v>
      </c>
      <c r="VB27" s="292" t="s">
        <v>46</v>
      </c>
      <c r="VC27" s="276" t="s">
        <v>46</v>
      </c>
      <c r="VD27" s="276">
        <f t="shared" si="55"/>
        <v>904.06573900000001</v>
      </c>
      <c r="VE27" s="277">
        <f t="shared" si="56"/>
        <v>36.667743999999971</v>
      </c>
      <c r="VF27" s="277">
        <f t="shared" si="57"/>
        <v>4.22732634976866</v>
      </c>
    </row>
    <row r="28" spans="1:578" s="12" customFormat="1" ht="20.5">
      <c r="A28" s="47" t="s">
        <v>121</v>
      </c>
      <c r="B28" s="13">
        <v>1000</v>
      </c>
      <c r="C28" s="47" t="s">
        <v>122</v>
      </c>
      <c r="D28" s="42">
        <v>876.47676592620417</v>
      </c>
      <c r="E28" s="42">
        <v>1110.8650007683509</v>
      </c>
      <c r="F28" s="42">
        <v>934.90866016698828</v>
      </c>
      <c r="G28" s="42">
        <v>742.21872812334584</v>
      </c>
      <c r="H28" s="42">
        <v>31.402157642813645</v>
      </c>
      <c r="I28" s="42">
        <v>61.841576029732337</v>
      </c>
      <c r="J28" s="42">
        <v>63.426942646883049</v>
      </c>
      <c r="K28" s="42">
        <v>64.843085696723421</v>
      </c>
      <c r="L28" s="42">
        <v>65.694459621743761</v>
      </c>
      <c r="M28" s="42">
        <v>101.96859864201114</v>
      </c>
      <c r="N28" s="42">
        <v>59.554413463782225</v>
      </c>
      <c r="O28" s="42">
        <v>40.464409707400641</v>
      </c>
      <c r="P28" s="42">
        <v>53.257793068906835</v>
      </c>
      <c r="Q28" s="42">
        <v>59.354221091513416</v>
      </c>
      <c r="R28" s="42">
        <v>64.105470372963168</v>
      </c>
      <c r="S28" s="42">
        <v>102.2280664310391</v>
      </c>
      <c r="T28" s="44" t="s">
        <v>46</v>
      </c>
      <c r="U28" s="44" t="s">
        <v>46</v>
      </c>
      <c r="V28" s="42">
        <v>768.14119441551281</v>
      </c>
      <c r="W28" s="42">
        <v>768.14539473309765</v>
      </c>
      <c r="X28" s="42">
        <v>31.006075662631403</v>
      </c>
      <c r="Y28" s="42">
        <v>62.725528027728934</v>
      </c>
      <c r="Z28" s="42">
        <v>65.455768606894665</v>
      </c>
      <c r="AA28" s="42">
        <v>65.660147068030355</v>
      </c>
      <c r="AB28" s="42">
        <v>67.563733274141867</v>
      </c>
      <c r="AC28" s="42">
        <v>105.14672227249703</v>
      </c>
      <c r="AD28" s="42">
        <v>60.820237221188272</v>
      </c>
      <c r="AE28" s="42">
        <v>45.791579160050311</v>
      </c>
      <c r="AF28" s="42">
        <v>47.431403350009397</v>
      </c>
      <c r="AG28" s="42">
        <v>68.091235963369584</v>
      </c>
      <c r="AH28" s="42">
        <v>71.707205707423412</v>
      </c>
      <c r="AI28" s="42">
        <v>104.11833882561852</v>
      </c>
      <c r="AJ28" s="42">
        <v>0</v>
      </c>
      <c r="AK28" s="42">
        <v>0</v>
      </c>
      <c r="AL28" s="42">
        <v>795.51797513958377</v>
      </c>
      <c r="AM28" s="42">
        <v>795.50397834958255</v>
      </c>
      <c r="AN28" s="42">
        <v>34.673874935259335</v>
      </c>
      <c r="AO28" s="42">
        <v>66.833838452826114</v>
      </c>
      <c r="AP28" s="42">
        <v>70.471269372399703</v>
      </c>
      <c r="AQ28" s="42">
        <v>69.813919670349065</v>
      </c>
      <c r="AR28" s="42">
        <v>76.19783609655039</v>
      </c>
      <c r="AS28" s="42">
        <v>111.66703376759381</v>
      </c>
      <c r="AT28" s="42">
        <v>67.984418130801757</v>
      </c>
      <c r="AU28" s="42">
        <v>50.045023932703863</v>
      </c>
      <c r="AV28" s="42">
        <v>51.634502649387308</v>
      </c>
      <c r="AW28" s="42">
        <v>72.201750416901447</v>
      </c>
      <c r="AX28" s="42">
        <v>73.751101302781436</v>
      </c>
      <c r="AY28" s="42">
        <v>115.14221603747275</v>
      </c>
      <c r="AZ28" s="44" t="s">
        <v>46</v>
      </c>
      <c r="BA28" s="44" t="s">
        <v>46</v>
      </c>
      <c r="BB28" s="42">
        <v>860.41678476502693</v>
      </c>
      <c r="BC28" s="42">
        <v>860.57530975919326</v>
      </c>
      <c r="BD28" s="49" t="s">
        <v>46</v>
      </c>
      <c r="BE28" s="49" t="s">
        <v>46</v>
      </c>
      <c r="BF28" s="49">
        <f>BF29+BF30</f>
        <v>36.594115000000002</v>
      </c>
      <c r="BG28" s="49" t="s">
        <v>46</v>
      </c>
      <c r="BH28" s="49" t="s">
        <v>46</v>
      </c>
      <c r="BI28" s="44">
        <f>BI29+BI30</f>
        <v>71.352869999999996</v>
      </c>
      <c r="BJ28" s="49" t="s">
        <v>46</v>
      </c>
      <c r="BK28" s="49" t="s">
        <v>46</v>
      </c>
      <c r="BL28" s="44">
        <f>BL29+BL30</f>
        <v>69.451543000000001</v>
      </c>
      <c r="BM28" s="49" t="s">
        <v>46</v>
      </c>
      <c r="BN28" s="49" t="s">
        <v>46</v>
      </c>
      <c r="BO28" s="44">
        <f>BO29+BO30</f>
        <v>83.869820000000004</v>
      </c>
      <c r="BP28" s="49" t="s">
        <v>46</v>
      </c>
      <c r="BQ28" s="49" t="s">
        <v>46</v>
      </c>
      <c r="BR28" s="44">
        <f>BR29+BR30</f>
        <v>72.387472000000002</v>
      </c>
      <c r="BS28" s="49" t="s">
        <v>46</v>
      </c>
      <c r="BT28" s="49" t="s">
        <v>46</v>
      </c>
      <c r="BU28" s="44">
        <f>BU29+BU30</f>
        <v>116.281083</v>
      </c>
      <c r="BV28" s="49" t="s">
        <v>46</v>
      </c>
      <c r="BW28" s="49" t="s">
        <v>46</v>
      </c>
      <c r="BX28" s="44">
        <f>BX29+BX30</f>
        <v>74.833818000000008</v>
      </c>
      <c r="BY28" s="49" t="s">
        <v>46</v>
      </c>
      <c r="BZ28" s="49" t="s">
        <v>46</v>
      </c>
      <c r="CA28" s="44">
        <f>CA29+CA30</f>
        <v>51.292717000000003</v>
      </c>
      <c r="CB28" s="49" t="s">
        <v>46</v>
      </c>
      <c r="CC28" s="49" t="s">
        <v>46</v>
      </c>
      <c r="CD28" s="44">
        <f>CD29+CD30</f>
        <v>58.695851000000005</v>
      </c>
      <c r="CE28" s="49" t="s">
        <v>46</v>
      </c>
      <c r="CF28" s="49" t="s">
        <v>46</v>
      </c>
      <c r="CG28" s="44">
        <f>CG29+CG30</f>
        <v>78.280641000000003</v>
      </c>
      <c r="CH28" s="49" t="s">
        <v>46</v>
      </c>
      <c r="CI28" s="49" t="s">
        <v>46</v>
      </c>
      <c r="CJ28" s="44">
        <f>CJ29+CJ30</f>
        <v>74.807567000000006</v>
      </c>
      <c r="CK28" s="49" t="s">
        <v>46</v>
      </c>
      <c r="CL28" s="49" t="s">
        <v>46</v>
      </c>
      <c r="CM28" s="44">
        <f>CM29+CM30</f>
        <v>109.110771</v>
      </c>
      <c r="CN28" s="50"/>
      <c r="CO28" s="50"/>
      <c r="CP28" s="50">
        <f t="shared" si="21"/>
        <v>896.9582680000002</v>
      </c>
      <c r="CQ28" s="52">
        <f>CQ29+CQ30</f>
        <v>896.99211100000002</v>
      </c>
      <c r="CR28" s="49" t="s">
        <v>46</v>
      </c>
      <c r="CS28" s="49" t="s">
        <v>46</v>
      </c>
      <c r="CT28" s="44">
        <f>CT29+CT30</f>
        <v>51.810625000000002</v>
      </c>
      <c r="CU28" s="49" t="s">
        <v>46</v>
      </c>
      <c r="CV28" s="49" t="s">
        <v>46</v>
      </c>
      <c r="CW28" s="44">
        <v>77.417499000000007</v>
      </c>
      <c r="CX28" s="49" t="s">
        <v>46</v>
      </c>
      <c r="CY28" s="49" t="s">
        <v>46</v>
      </c>
      <c r="CZ28" s="44">
        <v>76.994149000000007</v>
      </c>
      <c r="DA28" s="49" t="s">
        <v>46</v>
      </c>
      <c r="DB28" s="49" t="s">
        <v>46</v>
      </c>
      <c r="DC28" s="44">
        <v>87.257620000000003</v>
      </c>
      <c r="DD28" s="49" t="s">
        <v>46</v>
      </c>
      <c r="DE28" s="49" t="s">
        <v>46</v>
      </c>
      <c r="DF28" s="44">
        <v>76.878559999999993</v>
      </c>
      <c r="DG28" s="49" t="s">
        <v>46</v>
      </c>
      <c r="DH28" s="49" t="s">
        <v>46</v>
      </c>
      <c r="DI28" s="44">
        <v>126.483452</v>
      </c>
      <c r="DJ28" s="49" t="s">
        <v>46</v>
      </c>
      <c r="DK28" s="49" t="s">
        <v>46</v>
      </c>
      <c r="DL28" s="44">
        <v>84.012704999999997</v>
      </c>
      <c r="DM28" s="49" t="s">
        <v>46</v>
      </c>
      <c r="DN28" s="49" t="s">
        <v>46</v>
      </c>
      <c r="DO28" s="44">
        <v>53.618459999999999</v>
      </c>
      <c r="DP28" s="49" t="s">
        <v>46</v>
      </c>
      <c r="DQ28" s="49" t="s">
        <v>46</v>
      </c>
      <c r="DR28" s="44">
        <v>61.823100000000004</v>
      </c>
      <c r="DS28" s="49" t="s">
        <v>46</v>
      </c>
      <c r="DT28" s="49" t="s">
        <v>46</v>
      </c>
      <c r="DU28" s="44">
        <v>81.612448000000001</v>
      </c>
      <c r="DV28" s="49" t="s">
        <v>46</v>
      </c>
      <c r="DW28" s="49" t="s">
        <v>46</v>
      </c>
      <c r="DX28" s="44">
        <v>79.443337</v>
      </c>
      <c r="DY28" s="49" t="s">
        <v>46</v>
      </c>
      <c r="DZ28" s="49" t="s">
        <v>46</v>
      </c>
      <c r="EA28" s="44">
        <v>115.99010899999999</v>
      </c>
      <c r="EB28" s="49" t="s">
        <v>46</v>
      </c>
      <c r="EC28" s="49" t="s">
        <v>46</v>
      </c>
      <c r="ED28" s="44">
        <f t="shared" si="24"/>
        <v>973.34206400000005</v>
      </c>
      <c r="EE28" s="44">
        <f>EE29+EE30</f>
        <v>973.43374099999994</v>
      </c>
      <c r="EF28" s="44" t="s">
        <v>46</v>
      </c>
      <c r="EG28" s="44" t="s">
        <v>46</v>
      </c>
      <c r="EH28" s="44">
        <v>52.129687000000004</v>
      </c>
      <c r="EI28" s="44" t="s">
        <v>46</v>
      </c>
      <c r="EJ28" s="44" t="s">
        <v>46</v>
      </c>
      <c r="EK28" s="44">
        <v>80.078866000000005</v>
      </c>
      <c r="EL28" s="44" t="s">
        <v>46</v>
      </c>
      <c r="EM28" s="44" t="s">
        <v>46</v>
      </c>
      <c r="EN28" s="44">
        <v>81.165493999999995</v>
      </c>
      <c r="EO28" s="44" t="s">
        <v>46</v>
      </c>
      <c r="EP28" s="44" t="s">
        <v>46</v>
      </c>
      <c r="EQ28" s="44">
        <v>84.059741000000002</v>
      </c>
      <c r="ER28" s="44" t="s">
        <v>46</v>
      </c>
      <c r="ES28" s="44" t="s">
        <v>46</v>
      </c>
      <c r="ET28" s="44">
        <v>85.331402999999995</v>
      </c>
      <c r="EU28" s="44" t="s">
        <v>46</v>
      </c>
      <c r="EV28" s="44" t="s">
        <v>46</v>
      </c>
      <c r="EW28" s="44">
        <v>131.19840300000001</v>
      </c>
      <c r="EX28" s="44" t="s">
        <v>46</v>
      </c>
      <c r="EY28" s="44" t="s">
        <v>46</v>
      </c>
      <c r="EZ28" s="44">
        <v>81.721837000000008</v>
      </c>
      <c r="FA28" s="44" t="s">
        <v>46</v>
      </c>
      <c r="FB28" s="44" t="s">
        <v>46</v>
      </c>
      <c r="FC28" s="44">
        <v>57.091703000000003</v>
      </c>
      <c r="FD28" s="44" t="s">
        <v>46</v>
      </c>
      <c r="FE28" s="44" t="s">
        <v>46</v>
      </c>
      <c r="FF28" s="44">
        <v>64.394261</v>
      </c>
      <c r="FG28" s="44" t="s">
        <v>46</v>
      </c>
      <c r="FH28" s="44" t="s">
        <v>46</v>
      </c>
      <c r="FI28" s="44">
        <v>83.134620000000012</v>
      </c>
      <c r="FJ28" s="44" t="s">
        <v>46</v>
      </c>
      <c r="FK28" s="44" t="s">
        <v>46</v>
      </c>
      <c r="FL28" s="44">
        <v>88.337834000000001</v>
      </c>
      <c r="FM28" s="44" t="s">
        <v>46</v>
      </c>
      <c r="FN28" s="44" t="s">
        <v>46</v>
      </c>
      <c r="FO28" s="44">
        <v>127.778426</v>
      </c>
      <c r="FP28" s="44" t="s">
        <v>46</v>
      </c>
      <c r="FQ28" s="44" t="s">
        <v>46</v>
      </c>
      <c r="FR28" s="44">
        <f t="shared" si="27"/>
        <v>1016.4222750000001</v>
      </c>
      <c r="FS28" s="95">
        <f>FS29+FS30</f>
        <v>1016.352159</v>
      </c>
      <c r="FT28" s="44" t="s">
        <v>46</v>
      </c>
      <c r="FU28" s="44" t="s">
        <v>46</v>
      </c>
      <c r="FV28" s="44">
        <v>56.705894999999998</v>
      </c>
      <c r="FW28" s="44" t="s">
        <v>46</v>
      </c>
      <c r="FX28" s="44" t="s">
        <v>46</v>
      </c>
      <c r="FY28" s="44">
        <v>85.236407</v>
      </c>
      <c r="FZ28" s="44" t="s">
        <v>46</v>
      </c>
      <c r="GA28" s="44" t="s">
        <v>46</v>
      </c>
      <c r="GB28" s="44">
        <v>90.392749000000009</v>
      </c>
      <c r="GC28" s="44" t="s">
        <v>46</v>
      </c>
      <c r="GD28" s="44" t="s">
        <v>46</v>
      </c>
      <c r="GE28" s="44">
        <v>88.442289000000002</v>
      </c>
      <c r="GF28" s="44" t="s">
        <v>46</v>
      </c>
      <c r="GG28" s="44" t="s">
        <v>46</v>
      </c>
      <c r="GH28" s="44">
        <v>92.640069000000011</v>
      </c>
      <c r="GI28" s="44" t="s">
        <v>46</v>
      </c>
      <c r="GJ28" s="44" t="s">
        <v>46</v>
      </c>
      <c r="GK28" s="44">
        <v>149.87657000000002</v>
      </c>
      <c r="GL28" s="44" t="s">
        <v>46</v>
      </c>
      <c r="GM28" s="44" t="s">
        <v>46</v>
      </c>
      <c r="GN28" s="44">
        <v>85.029781999999997</v>
      </c>
      <c r="GO28" s="44" t="s">
        <v>46</v>
      </c>
      <c r="GP28" s="44" t="s">
        <v>46</v>
      </c>
      <c r="GQ28" s="44">
        <v>61.156869999999998</v>
      </c>
      <c r="GR28" s="44" t="s">
        <v>46</v>
      </c>
      <c r="GS28" s="44" t="s">
        <v>46</v>
      </c>
      <c r="GT28" s="44">
        <v>69.481605000000002</v>
      </c>
      <c r="GU28" s="44" t="s">
        <v>46</v>
      </c>
      <c r="GV28" s="44" t="s">
        <v>46</v>
      </c>
      <c r="GW28" s="44">
        <v>88.452703</v>
      </c>
      <c r="GX28" s="44" t="s">
        <v>46</v>
      </c>
      <c r="GY28" s="44" t="s">
        <v>46</v>
      </c>
      <c r="GZ28" s="44">
        <v>93.228858000000002</v>
      </c>
      <c r="HA28" s="44" t="s">
        <v>46</v>
      </c>
      <c r="HB28" s="44" t="s">
        <v>46</v>
      </c>
      <c r="HC28" s="44">
        <v>134.209092</v>
      </c>
      <c r="HD28" s="44" t="s">
        <v>46</v>
      </c>
      <c r="HE28" s="44" t="s">
        <v>46</v>
      </c>
      <c r="HF28" s="44">
        <f t="shared" si="30"/>
        <v>1094.8528890000002</v>
      </c>
      <c r="HG28" s="44">
        <f>HG29+HG30</f>
        <v>1094.803752</v>
      </c>
      <c r="HH28" s="44" t="s">
        <v>46</v>
      </c>
      <c r="HI28" s="44" t="s">
        <v>46</v>
      </c>
      <c r="HJ28" s="44">
        <v>61.836522000000002</v>
      </c>
      <c r="HK28" s="44" t="s">
        <v>46</v>
      </c>
      <c r="HL28" s="44" t="s">
        <v>46</v>
      </c>
      <c r="HM28" s="44">
        <v>91.366804000000002</v>
      </c>
      <c r="HN28" s="44" t="s">
        <v>46</v>
      </c>
      <c r="HO28" s="44" t="s">
        <v>46</v>
      </c>
      <c r="HP28" s="44">
        <v>96.143901</v>
      </c>
      <c r="HQ28" s="44" t="s">
        <v>46</v>
      </c>
      <c r="HR28" s="44" t="s">
        <v>46</v>
      </c>
      <c r="HS28" s="44">
        <v>93.125694999999993</v>
      </c>
      <c r="HT28" s="44" t="s">
        <v>46</v>
      </c>
      <c r="HU28" s="44" t="s">
        <v>46</v>
      </c>
      <c r="HV28" s="44">
        <v>99.197612000000007</v>
      </c>
      <c r="HW28" s="44" t="s">
        <v>46</v>
      </c>
      <c r="HX28" s="44" t="s">
        <v>46</v>
      </c>
      <c r="HY28" s="44">
        <v>156.09338099999999</v>
      </c>
      <c r="HZ28" s="44" t="s">
        <v>46</v>
      </c>
      <c r="IA28" s="44" t="s">
        <v>46</v>
      </c>
      <c r="IB28" s="44">
        <v>93.165867000000006</v>
      </c>
      <c r="IC28" s="44" t="s">
        <v>46</v>
      </c>
      <c r="ID28" s="44" t="s">
        <v>46</v>
      </c>
      <c r="IE28" s="44">
        <v>68.914983000000007</v>
      </c>
      <c r="IF28" s="44" t="s">
        <v>46</v>
      </c>
      <c r="IG28" s="44" t="s">
        <v>46</v>
      </c>
      <c r="IH28" s="44">
        <v>67.529245000000003</v>
      </c>
      <c r="II28" s="44" t="s">
        <v>46</v>
      </c>
      <c r="IJ28" s="44" t="s">
        <v>46</v>
      </c>
      <c r="IK28" s="44">
        <v>98.545067000000003</v>
      </c>
      <c r="IL28" s="44" t="s">
        <v>46</v>
      </c>
      <c r="IM28" s="44" t="s">
        <v>46</v>
      </c>
      <c r="IN28" s="44">
        <v>105.602825</v>
      </c>
      <c r="IO28" s="44" t="s">
        <v>46</v>
      </c>
      <c r="IP28" s="44" t="s">
        <v>46</v>
      </c>
      <c r="IQ28" s="44">
        <v>137.61382499999999</v>
      </c>
      <c r="IR28" s="44" t="s">
        <v>46</v>
      </c>
      <c r="IS28" s="44" t="s">
        <v>46</v>
      </c>
      <c r="IT28" s="50">
        <f t="shared" ref="IT28:IT57" si="70">HJ28+HM28+HP28+HS28+HV28+HY28+IB28+IE28+IH28+IK28+IN28+IQ28</f>
        <v>1169.1357269999999</v>
      </c>
      <c r="IU28" s="44">
        <f>IU29+IU30</f>
        <v>1169.135614</v>
      </c>
      <c r="IV28" s="44" t="s">
        <v>46</v>
      </c>
      <c r="IW28" s="44" t="s">
        <v>46</v>
      </c>
      <c r="IX28" s="50">
        <v>64.861855000000006</v>
      </c>
      <c r="IY28" s="44" t="s">
        <v>46</v>
      </c>
      <c r="IZ28" s="44" t="s">
        <v>46</v>
      </c>
      <c r="JA28" s="50">
        <v>94.485164999999995</v>
      </c>
      <c r="JB28" s="44" t="s">
        <v>46</v>
      </c>
      <c r="JC28" s="44" t="s">
        <v>46</v>
      </c>
      <c r="JD28" s="50">
        <v>95.319956000000005</v>
      </c>
      <c r="JE28" s="44" t="s">
        <v>46</v>
      </c>
      <c r="JF28" s="44" t="s">
        <v>46</v>
      </c>
      <c r="JG28" s="50">
        <v>99.206467000000004</v>
      </c>
      <c r="JH28" s="44" t="s">
        <v>46</v>
      </c>
      <c r="JI28" s="44" t="s">
        <v>46</v>
      </c>
      <c r="JJ28" s="50">
        <v>107.32272</v>
      </c>
      <c r="JK28" s="44" t="s">
        <v>46</v>
      </c>
      <c r="JL28" s="44" t="s">
        <v>46</v>
      </c>
      <c r="JM28" s="50">
        <v>155.30116599999999</v>
      </c>
      <c r="JN28" s="44" t="s">
        <v>46</v>
      </c>
      <c r="JO28" s="44" t="s">
        <v>46</v>
      </c>
      <c r="JP28" s="50">
        <v>101.41344100000001</v>
      </c>
      <c r="JQ28" s="44" t="s">
        <v>46</v>
      </c>
      <c r="JR28" s="44" t="s">
        <v>46</v>
      </c>
      <c r="JS28" s="50">
        <v>71.725830000000002</v>
      </c>
      <c r="JT28" s="44" t="s">
        <v>46</v>
      </c>
      <c r="JU28" s="44" t="s">
        <v>46</v>
      </c>
      <c r="JV28" s="50">
        <v>70.858504999999994</v>
      </c>
      <c r="JW28" s="44" t="s">
        <v>46</v>
      </c>
      <c r="JX28" s="44" t="s">
        <v>46</v>
      </c>
      <c r="JY28" s="50">
        <v>99.704224999999994</v>
      </c>
      <c r="JZ28" s="44" t="s">
        <v>46</v>
      </c>
      <c r="KA28" s="44" t="s">
        <v>46</v>
      </c>
      <c r="KB28" s="50">
        <v>107.666297</v>
      </c>
      <c r="KC28" s="44" t="s">
        <v>46</v>
      </c>
      <c r="KD28" s="44" t="s">
        <v>46</v>
      </c>
      <c r="KE28" s="50">
        <v>141.40374700000001</v>
      </c>
      <c r="KF28" s="44" t="s">
        <v>46</v>
      </c>
      <c r="KG28" s="44" t="s">
        <v>46</v>
      </c>
      <c r="KH28" s="50">
        <f t="shared" si="4"/>
        <v>1209.269374</v>
      </c>
      <c r="KI28" s="44">
        <f>KI29+KI30</f>
        <v>1209.330809</v>
      </c>
      <c r="KJ28" s="44" t="s">
        <v>46</v>
      </c>
      <c r="KK28" s="44" t="s">
        <v>46</v>
      </c>
      <c r="KL28" s="50">
        <v>72.084503999999995</v>
      </c>
      <c r="KM28" s="44" t="s">
        <v>46</v>
      </c>
      <c r="KN28" s="44" t="s">
        <v>46</v>
      </c>
      <c r="KO28" s="50">
        <v>98.660999000000004</v>
      </c>
      <c r="KP28" s="44" t="s">
        <v>46</v>
      </c>
      <c r="KQ28" s="44" t="s">
        <v>46</v>
      </c>
      <c r="KR28" s="50">
        <v>100.059759</v>
      </c>
      <c r="KS28" s="44" t="s">
        <v>46</v>
      </c>
      <c r="KT28" s="44" t="s">
        <v>46</v>
      </c>
      <c r="KU28" s="50">
        <v>108.936627</v>
      </c>
      <c r="KV28" s="44" t="s">
        <v>46</v>
      </c>
      <c r="KW28" s="44" t="s">
        <v>46</v>
      </c>
      <c r="KX28" s="50">
        <v>97.989780999999994</v>
      </c>
      <c r="KY28" s="44" t="s">
        <v>46</v>
      </c>
      <c r="KZ28" s="44" t="s">
        <v>46</v>
      </c>
      <c r="LA28" s="50">
        <v>153.511121</v>
      </c>
      <c r="LB28" s="44" t="s">
        <v>46</v>
      </c>
      <c r="LC28" s="44" t="s">
        <v>46</v>
      </c>
      <c r="LD28" s="50">
        <v>103.28716799999999</v>
      </c>
      <c r="LE28" s="44"/>
      <c r="LF28" s="44"/>
      <c r="LG28" s="44">
        <v>71.028464</v>
      </c>
      <c r="LH28" s="44" t="s">
        <v>46</v>
      </c>
      <c r="LI28" s="44" t="s">
        <v>46</v>
      </c>
      <c r="LJ28" s="50">
        <v>80.606960000000001</v>
      </c>
      <c r="LK28" s="44" t="s">
        <v>46</v>
      </c>
      <c r="LL28" s="44" t="s">
        <v>46</v>
      </c>
      <c r="LM28" s="50">
        <v>104.921239</v>
      </c>
      <c r="LN28" s="44" t="s">
        <v>46</v>
      </c>
      <c r="LO28" s="44" t="s">
        <v>46</v>
      </c>
      <c r="LP28" s="50">
        <v>107.76460299999999</v>
      </c>
      <c r="LQ28" s="44" t="s">
        <v>46</v>
      </c>
      <c r="LR28" s="44" t="s">
        <v>46</v>
      </c>
      <c r="LS28" s="50">
        <v>157.16932800000001</v>
      </c>
      <c r="LT28" s="44" t="s">
        <v>46</v>
      </c>
      <c r="LU28" s="50" t="s">
        <v>46</v>
      </c>
      <c r="LV28" s="50">
        <f t="shared" si="58"/>
        <v>1256.0205529999998</v>
      </c>
      <c r="LW28" s="44">
        <f>LW29+LW30</f>
        <v>1256.0567189999999</v>
      </c>
      <c r="LX28" s="44" t="s">
        <v>46</v>
      </c>
      <c r="LY28" s="44" t="s">
        <v>46</v>
      </c>
      <c r="LZ28" s="50">
        <v>67.724221</v>
      </c>
      <c r="MA28" s="44" t="s">
        <v>46</v>
      </c>
      <c r="MB28" s="44" t="s">
        <v>46</v>
      </c>
      <c r="MC28" s="50">
        <v>103.44113</v>
      </c>
      <c r="MD28" s="44" t="s">
        <v>46</v>
      </c>
      <c r="ME28" s="44" t="s">
        <v>46</v>
      </c>
      <c r="MF28" s="50">
        <v>112.159243</v>
      </c>
      <c r="MG28" s="44" t="s">
        <v>46</v>
      </c>
      <c r="MH28" s="44" t="s">
        <v>46</v>
      </c>
      <c r="MI28" s="50">
        <v>115.493492</v>
      </c>
      <c r="MJ28" s="44" t="s">
        <v>46</v>
      </c>
      <c r="MK28" s="44" t="s">
        <v>46</v>
      </c>
      <c r="ML28" s="50">
        <v>109.80800499999999</v>
      </c>
      <c r="MM28" s="44" t="s">
        <v>46</v>
      </c>
      <c r="MN28" s="44" t="s">
        <v>46</v>
      </c>
      <c r="MO28" s="50">
        <v>194.50190900000001</v>
      </c>
      <c r="MP28" s="44" t="s">
        <v>46</v>
      </c>
      <c r="MQ28" s="44" t="s">
        <v>46</v>
      </c>
      <c r="MR28" s="50">
        <v>93.098061999999999</v>
      </c>
      <c r="MS28" s="44" t="s">
        <v>46</v>
      </c>
      <c r="MT28" s="44" t="s">
        <v>46</v>
      </c>
      <c r="MU28" s="50">
        <v>76.709695999999994</v>
      </c>
      <c r="MV28" s="44" t="s">
        <v>46</v>
      </c>
      <c r="MW28" s="44" t="s">
        <v>46</v>
      </c>
      <c r="MX28" s="50">
        <v>84.271219000000002</v>
      </c>
      <c r="MY28" s="44" t="s">
        <v>46</v>
      </c>
      <c r="MZ28" s="44" t="s">
        <v>46</v>
      </c>
      <c r="NA28" s="50">
        <v>109.650024</v>
      </c>
      <c r="NB28" s="44" t="s">
        <v>46</v>
      </c>
      <c r="NC28" s="44" t="s">
        <v>46</v>
      </c>
      <c r="ND28" s="50">
        <v>113.52014200000001</v>
      </c>
      <c r="NE28" s="44" t="s">
        <v>46</v>
      </c>
      <c r="NF28" s="44" t="s">
        <v>46</v>
      </c>
      <c r="NG28" s="50">
        <v>171.394564</v>
      </c>
      <c r="NH28" s="44" t="s">
        <v>46</v>
      </c>
      <c r="NI28" s="50" t="s">
        <v>46</v>
      </c>
      <c r="NJ28" s="50">
        <f t="shared" si="7"/>
        <v>1351.7717069999999</v>
      </c>
      <c r="NK28" s="44">
        <f>NK29+NK30</f>
        <v>1351.6392510000001</v>
      </c>
      <c r="NL28" s="44" t="s">
        <v>46</v>
      </c>
      <c r="NM28" s="50" t="s">
        <v>46</v>
      </c>
      <c r="NN28" s="50">
        <v>66.279576000000006</v>
      </c>
      <c r="NO28" s="44" t="s">
        <v>46</v>
      </c>
      <c r="NP28" s="50" t="s">
        <v>46</v>
      </c>
      <c r="NQ28" s="50">
        <v>105.503816</v>
      </c>
      <c r="NR28" s="44" t="s">
        <v>46</v>
      </c>
      <c r="NS28" s="50" t="s">
        <v>46</v>
      </c>
      <c r="NT28" s="50">
        <v>106.030778</v>
      </c>
      <c r="NU28" s="44" t="s">
        <v>46</v>
      </c>
      <c r="NV28" s="50" t="s">
        <v>46</v>
      </c>
      <c r="NW28" s="50">
        <v>115.96663100000001</v>
      </c>
      <c r="NX28" s="44" t="s">
        <v>46</v>
      </c>
      <c r="NY28" s="50" t="s">
        <v>46</v>
      </c>
      <c r="NZ28" s="50">
        <v>121.96769399999999</v>
      </c>
      <c r="OA28" s="50" t="s">
        <v>46</v>
      </c>
      <c r="OB28" s="50" t="s">
        <v>46</v>
      </c>
      <c r="OC28" s="50">
        <v>182.98353599999999</v>
      </c>
      <c r="OD28" s="50" t="s">
        <v>46</v>
      </c>
      <c r="OE28" s="50" t="s">
        <v>46</v>
      </c>
      <c r="OF28" s="50">
        <v>122.243495</v>
      </c>
      <c r="OG28" s="50" t="s">
        <v>46</v>
      </c>
      <c r="OH28" s="50" t="s">
        <v>46</v>
      </c>
      <c r="OI28" s="94">
        <v>83.029065000000003</v>
      </c>
      <c r="OJ28" s="50" t="s">
        <v>46</v>
      </c>
      <c r="OK28" s="50" t="s">
        <v>46</v>
      </c>
      <c r="OL28" s="50">
        <v>95.198065999999997</v>
      </c>
      <c r="OM28" s="50" t="s">
        <v>46</v>
      </c>
      <c r="ON28" s="50" t="s">
        <v>46</v>
      </c>
      <c r="OO28" s="50">
        <v>119.46844900000001</v>
      </c>
      <c r="OP28" s="50" t="s">
        <v>46</v>
      </c>
      <c r="OQ28" s="50" t="s">
        <v>46</v>
      </c>
      <c r="OR28" s="50">
        <v>126.089519</v>
      </c>
      <c r="OS28" s="50" t="s">
        <v>46</v>
      </c>
      <c r="OT28" s="50" t="s">
        <v>46</v>
      </c>
      <c r="OU28" s="50">
        <v>188.93196</v>
      </c>
      <c r="OV28" s="44" t="s">
        <v>46</v>
      </c>
      <c r="OW28" s="50" t="s">
        <v>46</v>
      </c>
      <c r="OX28" s="50">
        <f t="shared" si="9"/>
        <v>1433.6925849999998</v>
      </c>
      <c r="OY28" s="44">
        <f>OY29+OY30</f>
        <v>1433.6838899999998</v>
      </c>
      <c r="OZ28" s="44" t="s">
        <v>46</v>
      </c>
      <c r="PA28" s="50" t="s">
        <v>46</v>
      </c>
      <c r="PB28" s="50">
        <v>83.863038000000003</v>
      </c>
      <c r="PC28" s="44" t="s">
        <v>46</v>
      </c>
      <c r="PD28" s="50" t="s">
        <v>46</v>
      </c>
      <c r="PE28" s="50">
        <v>127.987763</v>
      </c>
      <c r="PF28" s="44" t="s">
        <v>46</v>
      </c>
      <c r="PG28" s="50" t="s">
        <v>46</v>
      </c>
      <c r="PH28" s="50">
        <v>135.01738399999999</v>
      </c>
      <c r="PI28" s="44" t="s">
        <v>46</v>
      </c>
      <c r="PJ28" s="50" t="s">
        <v>46</v>
      </c>
      <c r="PK28" s="50">
        <v>132.52802700000001</v>
      </c>
      <c r="PL28" s="44" t="s">
        <v>46</v>
      </c>
      <c r="PM28" s="50" t="s">
        <v>46</v>
      </c>
      <c r="PN28" s="50">
        <v>133.90197499999999</v>
      </c>
      <c r="PO28" s="44" t="s">
        <v>46</v>
      </c>
      <c r="PP28" s="50" t="s">
        <v>46</v>
      </c>
      <c r="PQ28" s="50">
        <v>220.49190799999994</v>
      </c>
      <c r="PR28" s="44" t="s">
        <v>46</v>
      </c>
      <c r="PS28" s="50" t="s">
        <v>46</v>
      </c>
      <c r="PT28" s="50">
        <v>135.64641499999999</v>
      </c>
      <c r="PU28" s="44" t="s">
        <v>46</v>
      </c>
      <c r="PV28" s="50" t="s">
        <v>46</v>
      </c>
      <c r="PW28" s="50">
        <v>100.800037</v>
      </c>
      <c r="PX28" s="44" t="s">
        <v>46</v>
      </c>
      <c r="PY28" s="50" t="s">
        <v>46</v>
      </c>
      <c r="PZ28" s="50">
        <v>106.17291899999999</v>
      </c>
      <c r="QA28" s="44" t="s">
        <v>46</v>
      </c>
      <c r="QB28" s="50" t="s">
        <v>46</v>
      </c>
      <c r="QC28" s="50">
        <v>140.265491</v>
      </c>
      <c r="QD28" s="44" t="s">
        <v>46</v>
      </c>
      <c r="QE28" s="50" t="s">
        <v>46</v>
      </c>
      <c r="QF28" s="50">
        <v>146.536317</v>
      </c>
      <c r="QG28" s="44" t="s">
        <v>46</v>
      </c>
      <c r="QH28" s="50" t="s">
        <v>46</v>
      </c>
      <c r="QI28" s="50">
        <v>205.169578</v>
      </c>
      <c r="QJ28" s="44" t="s">
        <v>46</v>
      </c>
      <c r="QK28" s="50" t="s">
        <v>46</v>
      </c>
      <c r="QL28" s="50">
        <f t="shared" si="40"/>
        <v>1668.3808520000002</v>
      </c>
      <c r="QM28" s="44">
        <v>1668.3847559999999</v>
      </c>
      <c r="QN28" s="44" t="s">
        <v>46</v>
      </c>
      <c r="QO28" s="50" t="s">
        <v>46</v>
      </c>
      <c r="QP28" s="50">
        <v>108.04548800000001</v>
      </c>
      <c r="QQ28" s="44" t="s">
        <v>46</v>
      </c>
      <c r="QR28" s="50" t="s">
        <v>46</v>
      </c>
      <c r="QS28" s="50">
        <v>151.588762</v>
      </c>
      <c r="QT28" s="44" t="s">
        <v>46</v>
      </c>
      <c r="QU28" s="50" t="s">
        <v>46</v>
      </c>
      <c r="QV28" s="50">
        <v>156.316981</v>
      </c>
      <c r="QW28" s="44" t="s">
        <v>46</v>
      </c>
      <c r="QX28" s="50" t="s">
        <v>46</v>
      </c>
      <c r="QY28" s="50">
        <v>153.81905</v>
      </c>
      <c r="QZ28" s="44" t="s">
        <v>46</v>
      </c>
      <c r="RA28" s="50" t="s">
        <v>46</v>
      </c>
      <c r="RB28" s="50">
        <v>169.751102</v>
      </c>
      <c r="RC28" s="44" t="s">
        <v>46</v>
      </c>
      <c r="RD28" s="50" t="s">
        <v>46</v>
      </c>
      <c r="RE28" s="50">
        <v>236.148889</v>
      </c>
      <c r="RF28" s="44" t="s">
        <v>46</v>
      </c>
      <c r="RG28" s="50" t="s">
        <v>46</v>
      </c>
      <c r="RH28" s="50">
        <v>165.412294</v>
      </c>
      <c r="RI28" s="44" t="s">
        <v>46</v>
      </c>
      <c r="RJ28" s="50" t="s">
        <v>46</v>
      </c>
      <c r="RK28" s="50">
        <v>119.185661</v>
      </c>
      <c r="RL28" s="44" t="s">
        <v>46</v>
      </c>
      <c r="RM28" s="50" t="s">
        <v>46</v>
      </c>
      <c r="RN28" s="50">
        <v>115.47511</v>
      </c>
      <c r="RO28" s="44" t="s">
        <v>46</v>
      </c>
      <c r="RP28" s="50" t="s">
        <v>46</v>
      </c>
      <c r="RQ28" s="50">
        <v>154.85280700000001</v>
      </c>
      <c r="RR28" s="44" t="s">
        <v>46</v>
      </c>
      <c r="RS28" s="50" t="s">
        <v>46</v>
      </c>
      <c r="RT28" s="50">
        <v>165.593084</v>
      </c>
      <c r="RU28" s="44" t="s">
        <v>46</v>
      </c>
      <c r="RV28" s="50" t="s">
        <v>46</v>
      </c>
      <c r="RW28" s="50">
        <v>213.715948</v>
      </c>
      <c r="RX28" s="44" t="s">
        <v>46</v>
      </c>
      <c r="RY28" s="50" t="s">
        <v>46</v>
      </c>
      <c r="RZ28" s="50">
        <f t="shared" si="43"/>
        <v>1909.9051760000002</v>
      </c>
      <c r="SA28" s="50">
        <v>1909.9232010000001</v>
      </c>
      <c r="SB28" s="44" t="s">
        <v>46</v>
      </c>
      <c r="SC28" s="50" t="s">
        <v>46</v>
      </c>
      <c r="SD28" s="50">
        <v>123.471519</v>
      </c>
      <c r="SE28" s="44" t="s">
        <v>46</v>
      </c>
      <c r="SF28" s="50" t="s">
        <v>46</v>
      </c>
      <c r="SG28" s="50">
        <v>155.939674</v>
      </c>
      <c r="SH28" s="44" t="s">
        <v>46</v>
      </c>
      <c r="SI28" s="50" t="s">
        <v>46</v>
      </c>
      <c r="SJ28" s="50">
        <v>153.95604599999999</v>
      </c>
      <c r="SK28" s="44" t="s">
        <v>46</v>
      </c>
      <c r="SL28" s="50" t="s">
        <v>46</v>
      </c>
      <c r="SM28" s="50">
        <v>175.970788</v>
      </c>
      <c r="SN28" s="44" t="s">
        <v>46</v>
      </c>
      <c r="SO28" s="50" t="s">
        <v>46</v>
      </c>
      <c r="SP28" s="50">
        <v>164.027749</v>
      </c>
      <c r="SQ28" s="50" t="s">
        <v>46</v>
      </c>
      <c r="SR28" s="50" t="s">
        <v>46</v>
      </c>
      <c r="SS28" s="50">
        <v>240.405417</v>
      </c>
      <c r="ST28" s="50" t="s">
        <v>46</v>
      </c>
      <c r="SU28" s="50" t="s">
        <v>46</v>
      </c>
      <c r="SV28" s="50">
        <v>177.006586</v>
      </c>
      <c r="SW28" s="50" t="s">
        <v>46</v>
      </c>
      <c r="SX28" s="50" t="s">
        <v>46</v>
      </c>
      <c r="SY28" s="50">
        <v>125.314482</v>
      </c>
      <c r="SZ28" s="50" t="s">
        <v>46</v>
      </c>
      <c r="TA28" s="50" t="s">
        <v>46</v>
      </c>
      <c r="TB28" s="50">
        <v>123.035543</v>
      </c>
      <c r="TC28" s="50" t="s">
        <v>46</v>
      </c>
      <c r="TD28" s="50" t="s">
        <v>46</v>
      </c>
      <c r="TE28" s="50">
        <v>169.89639099999999</v>
      </c>
      <c r="TF28" s="50" t="s">
        <v>46</v>
      </c>
      <c r="TG28" s="50" t="s">
        <v>46</v>
      </c>
      <c r="TH28" s="50">
        <v>161.289683</v>
      </c>
      <c r="TI28" s="50" t="s">
        <v>46</v>
      </c>
      <c r="TJ28" s="50" t="s">
        <v>46</v>
      </c>
      <c r="TK28" s="50">
        <v>221.72330099999999</v>
      </c>
      <c r="TL28" s="44" t="s">
        <v>46</v>
      </c>
      <c r="TM28" s="50" t="s">
        <v>46</v>
      </c>
      <c r="TN28" s="50">
        <f t="shared" si="47"/>
        <v>1992.0371789999999</v>
      </c>
      <c r="TO28" s="44" t="s">
        <v>46</v>
      </c>
      <c r="TP28" s="50" t="s">
        <v>46</v>
      </c>
      <c r="TQ28" s="50">
        <v>126.645054</v>
      </c>
      <c r="TR28" s="44" t="s">
        <v>46</v>
      </c>
      <c r="TS28" s="50" t="s">
        <v>46</v>
      </c>
      <c r="TT28" s="50">
        <v>162.239521</v>
      </c>
      <c r="TU28" s="44" t="s">
        <v>46</v>
      </c>
      <c r="TV28" s="50" t="s">
        <v>46</v>
      </c>
      <c r="TW28" s="50">
        <v>163.03029100000001</v>
      </c>
      <c r="TX28" s="44" t="s">
        <v>46</v>
      </c>
      <c r="TY28" s="50" t="s">
        <v>46</v>
      </c>
      <c r="TZ28" s="50">
        <v>173.83781300000001</v>
      </c>
      <c r="UA28" s="50"/>
      <c r="UB28" s="50"/>
      <c r="UC28" s="50"/>
      <c r="UD28" s="50"/>
      <c r="UE28" s="50"/>
      <c r="UF28" s="50"/>
      <c r="UG28" s="50"/>
      <c r="UH28" s="50"/>
      <c r="UI28" s="50"/>
      <c r="UJ28" s="50"/>
      <c r="UK28" s="50"/>
      <c r="UL28" s="50"/>
      <c r="UM28" s="50"/>
      <c r="UN28" s="50"/>
      <c r="UO28" s="50"/>
      <c r="UP28" s="50"/>
      <c r="UQ28" s="50"/>
      <c r="UR28" s="50"/>
      <c r="US28" s="50"/>
      <c r="UT28" s="50"/>
      <c r="UU28" s="50"/>
      <c r="UV28" s="50"/>
      <c r="UW28" s="50"/>
      <c r="UX28" s="50"/>
      <c r="UY28" s="292" t="s">
        <v>46</v>
      </c>
      <c r="UZ28" s="276" t="s">
        <v>46</v>
      </c>
      <c r="VA28" s="276">
        <f t="shared" si="52"/>
        <v>609.33802700000001</v>
      </c>
      <c r="VB28" s="292" t="s">
        <v>46</v>
      </c>
      <c r="VC28" s="276" t="s">
        <v>46</v>
      </c>
      <c r="VD28" s="276">
        <f t="shared" si="55"/>
        <v>625.75267899999994</v>
      </c>
      <c r="VE28" s="277">
        <f t="shared" si="56"/>
        <v>16.414651999999933</v>
      </c>
      <c r="VF28" s="277">
        <f t="shared" si="57"/>
        <v>2.6938499277347603</v>
      </c>
    </row>
    <row r="29" spans="1:578" s="12" customFormat="1" ht="20.5">
      <c r="A29" s="77" t="s">
        <v>123</v>
      </c>
      <c r="B29" s="13">
        <v>1100</v>
      </c>
      <c r="C29" s="77" t="s">
        <v>124</v>
      </c>
      <c r="D29" s="42">
        <v>697.67494635773267</v>
      </c>
      <c r="E29" s="42">
        <v>883.01837069794715</v>
      </c>
      <c r="F29" s="42">
        <v>743.71408956124333</v>
      </c>
      <c r="G29" s="42">
        <v>595.16101644270668</v>
      </c>
      <c r="H29" s="42">
        <v>25.55202446201217</v>
      </c>
      <c r="I29" s="42">
        <v>49.619287881116215</v>
      </c>
      <c r="J29" s="42">
        <v>50.890041889346101</v>
      </c>
      <c r="K29" s="42">
        <v>52.072178018337979</v>
      </c>
      <c r="L29" s="42">
        <v>53.515304409195174</v>
      </c>
      <c r="M29" s="42">
        <v>87.768054820405126</v>
      </c>
      <c r="N29" s="42">
        <v>44.015534914428486</v>
      </c>
      <c r="O29" s="42">
        <v>30.232606814986823</v>
      </c>
      <c r="P29" s="42">
        <v>42.499945930871199</v>
      </c>
      <c r="Q29" s="42">
        <v>47.170831412456387</v>
      </c>
      <c r="R29" s="42">
        <v>51.489561812397206</v>
      </c>
      <c r="S29" s="42">
        <v>81.226643559228464</v>
      </c>
      <c r="T29" s="44" t="s">
        <v>46</v>
      </c>
      <c r="U29" s="44" t="s">
        <v>46</v>
      </c>
      <c r="V29" s="42">
        <v>616.05201592478136</v>
      </c>
      <c r="W29" s="42">
        <v>616.04899516792727</v>
      </c>
      <c r="X29" s="42">
        <v>25.570453497703486</v>
      </c>
      <c r="Y29" s="42">
        <v>50.469516394329013</v>
      </c>
      <c r="Z29" s="42">
        <v>52.324857285957393</v>
      </c>
      <c r="AA29" s="42">
        <v>52.567330294079149</v>
      </c>
      <c r="AB29" s="42">
        <v>54.552774315456375</v>
      </c>
      <c r="AC29" s="42">
        <v>89.826745436850103</v>
      </c>
      <c r="AD29" s="42">
        <v>43.962224176299507</v>
      </c>
      <c r="AE29" s="42">
        <v>34.59472769079288</v>
      </c>
      <c r="AF29" s="42">
        <v>37.431855823245172</v>
      </c>
      <c r="AG29" s="42">
        <v>53.918754019612869</v>
      </c>
      <c r="AH29" s="42">
        <v>57.36360777684817</v>
      </c>
      <c r="AI29" s="42">
        <v>82.514767986522557</v>
      </c>
      <c r="AJ29" s="42">
        <v>0</v>
      </c>
      <c r="AK29" s="42">
        <v>0</v>
      </c>
      <c r="AL29" s="42">
        <v>635.0976146976966</v>
      </c>
      <c r="AM29" s="42">
        <v>635.09156180101422</v>
      </c>
      <c r="AN29" s="42">
        <v>28.482379155497124</v>
      </c>
      <c r="AO29" s="42">
        <v>53.075671168633079</v>
      </c>
      <c r="AP29" s="42">
        <v>56.30381870336538</v>
      </c>
      <c r="AQ29" s="42">
        <v>55.449681561288784</v>
      </c>
      <c r="AR29" s="42">
        <v>61.491555255803888</v>
      </c>
      <c r="AS29" s="42">
        <v>94.703709711384676</v>
      </c>
      <c r="AT29" s="42">
        <v>48.648655955287673</v>
      </c>
      <c r="AU29" s="42">
        <v>36.634629284978459</v>
      </c>
      <c r="AV29" s="42">
        <v>40.193644316196263</v>
      </c>
      <c r="AW29" s="42">
        <v>56.970861008190056</v>
      </c>
      <c r="AX29" s="42">
        <v>59.377741162543181</v>
      </c>
      <c r="AY29" s="42">
        <v>91.564426212713641</v>
      </c>
      <c r="AZ29" s="44" t="s">
        <v>46</v>
      </c>
      <c r="BA29" s="44" t="s">
        <v>46</v>
      </c>
      <c r="BB29" s="42">
        <v>682.89677349588203</v>
      </c>
      <c r="BC29" s="42">
        <v>683.0261552296231</v>
      </c>
      <c r="BD29" s="49" t="s">
        <v>46</v>
      </c>
      <c r="BE29" s="49" t="s">
        <v>46</v>
      </c>
      <c r="BF29" s="49">
        <v>29.593878</v>
      </c>
      <c r="BG29" s="49" t="s">
        <v>46</v>
      </c>
      <c r="BH29" s="49" t="s">
        <v>46</v>
      </c>
      <c r="BI29" s="44">
        <v>57.487133</v>
      </c>
      <c r="BJ29" s="49" t="s">
        <v>46</v>
      </c>
      <c r="BK29" s="49" t="s">
        <v>46</v>
      </c>
      <c r="BL29" s="44">
        <v>55.271430000000002</v>
      </c>
      <c r="BM29" s="49" t="s">
        <v>46</v>
      </c>
      <c r="BN29" s="49" t="s">
        <v>46</v>
      </c>
      <c r="BO29" s="44">
        <v>68.107487000000006</v>
      </c>
      <c r="BP29" s="49" t="s">
        <v>46</v>
      </c>
      <c r="BQ29" s="49" t="s">
        <v>46</v>
      </c>
      <c r="BR29" s="44">
        <v>57.691881000000002</v>
      </c>
      <c r="BS29" s="49" t="s">
        <v>46</v>
      </c>
      <c r="BT29" s="49" t="s">
        <v>46</v>
      </c>
      <c r="BU29" s="44">
        <v>98.349165999999997</v>
      </c>
      <c r="BV29" s="49" t="s">
        <v>46</v>
      </c>
      <c r="BW29" s="49" t="s">
        <v>46</v>
      </c>
      <c r="BX29" s="44">
        <v>53.629544000000003</v>
      </c>
      <c r="BY29" s="49" t="s">
        <v>46</v>
      </c>
      <c r="BZ29" s="49" t="s">
        <v>46</v>
      </c>
      <c r="CA29" s="44">
        <v>37.225751000000002</v>
      </c>
      <c r="CB29" s="49" t="s">
        <v>46</v>
      </c>
      <c r="CC29" s="49" t="s">
        <v>46</v>
      </c>
      <c r="CD29" s="44">
        <v>45.836395000000003</v>
      </c>
      <c r="CE29" s="49" t="s">
        <v>46</v>
      </c>
      <c r="CF29" s="49" t="s">
        <v>46</v>
      </c>
      <c r="CG29" s="44">
        <v>62.361108000000002</v>
      </c>
      <c r="CH29" s="49" t="s">
        <v>46</v>
      </c>
      <c r="CI29" s="49" t="s">
        <v>46</v>
      </c>
      <c r="CJ29" s="44">
        <v>59.707315999999999</v>
      </c>
      <c r="CK29" s="49" t="s">
        <v>46</v>
      </c>
      <c r="CL29" s="49" t="s">
        <v>46</v>
      </c>
      <c r="CM29" s="44">
        <v>87.188049000000007</v>
      </c>
      <c r="CN29" s="50"/>
      <c r="CO29" s="50"/>
      <c r="CP29" s="50">
        <f t="shared" si="21"/>
        <v>712.44913800000006</v>
      </c>
      <c r="CQ29" s="52">
        <v>712.45063400000004</v>
      </c>
      <c r="CR29" s="49" t="s">
        <v>46</v>
      </c>
      <c r="CS29" s="49" t="s">
        <v>46</v>
      </c>
      <c r="CT29" s="44">
        <v>41.674408</v>
      </c>
      <c r="CU29" s="49" t="s">
        <v>46</v>
      </c>
      <c r="CV29" s="49" t="s">
        <v>46</v>
      </c>
      <c r="CW29" s="49">
        <v>61.200242000000003</v>
      </c>
      <c r="CX29" s="49" t="s">
        <v>46</v>
      </c>
      <c r="CY29" s="49" t="s">
        <v>46</v>
      </c>
      <c r="CZ29" s="49">
        <v>61.076495000000001</v>
      </c>
      <c r="DA29" s="49" t="s">
        <v>46</v>
      </c>
      <c r="DB29" s="49" t="s">
        <v>46</v>
      </c>
      <c r="DC29" s="49">
        <v>70.465400000000002</v>
      </c>
      <c r="DD29" s="49" t="s">
        <v>46</v>
      </c>
      <c r="DE29" s="49" t="s">
        <v>46</v>
      </c>
      <c r="DF29" s="49">
        <v>61.256869999999999</v>
      </c>
      <c r="DG29" s="49" t="s">
        <v>46</v>
      </c>
      <c r="DH29" s="49" t="s">
        <v>46</v>
      </c>
      <c r="DI29" s="49">
        <v>106.26254400000001</v>
      </c>
      <c r="DJ29" s="49" t="s">
        <v>46</v>
      </c>
      <c r="DK29" s="49" t="s">
        <v>46</v>
      </c>
      <c r="DL29" s="49">
        <v>61.264338000000002</v>
      </c>
      <c r="DM29" s="49" t="s">
        <v>46</v>
      </c>
      <c r="DN29" s="49" t="s">
        <v>46</v>
      </c>
      <c r="DO29" s="49">
        <v>38.585672000000002</v>
      </c>
      <c r="DP29" s="49" t="s">
        <v>46</v>
      </c>
      <c r="DQ29" s="49" t="s">
        <v>46</v>
      </c>
      <c r="DR29" s="49">
        <v>48.221957000000003</v>
      </c>
      <c r="DS29" s="49" t="s">
        <v>46</v>
      </c>
      <c r="DT29" s="49" t="s">
        <v>46</v>
      </c>
      <c r="DU29" s="49">
        <v>64.842325000000002</v>
      </c>
      <c r="DV29" s="49" t="s">
        <v>46</v>
      </c>
      <c r="DW29" s="49" t="s">
        <v>46</v>
      </c>
      <c r="DX29" s="49">
        <v>63.336728999999998</v>
      </c>
      <c r="DY29" s="49" t="s">
        <v>46</v>
      </c>
      <c r="DZ29" s="49" t="s">
        <v>46</v>
      </c>
      <c r="EA29" s="44">
        <v>93.166175999999993</v>
      </c>
      <c r="EB29" s="49" t="s">
        <v>46</v>
      </c>
      <c r="EC29" s="49" t="s">
        <v>46</v>
      </c>
      <c r="ED29" s="44">
        <f t="shared" si="24"/>
        <v>771.3531559999999</v>
      </c>
      <c r="EE29" s="140">
        <v>771.49979499999995</v>
      </c>
      <c r="EF29" s="44" t="s">
        <v>46</v>
      </c>
      <c r="EG29" s="44" t="s">
        <v>46</v>
      </c>
      <c r="EH29" s="44">
        <v>41.269947000000002</v>
      </c>
      <c r="EI29" s="44" t="s">
        <v>46</v>
      </c>
      <c r="EJ29" s="44" t="s">
        <v>46</v>
      </c>
      <c r="EK29" s="44">
        <v>63.562545999999998</v>
      </c>
      <c r="EL29" s="44" t="s">
        <v>46</v>
      </c>
      <c r="EM29" s="44" t="s">
        <v>46</v>
      </c>
      <c r="EN29" s="44">
        <v>64.507273999999995</v>
      </c>
      <c r="EO29" s="44" t="s">
        <v>46</v>
      </c>
      <c r="EP29" s="44" t="s">
        <v>46</v>
      </c>
      <c r="EQ29" s="44">
        <v>67.148633000000004</v>
      </c>
      <c r="ER29" s="44" t="s">
        <v>46</v>
      </c>
      <c r="ES29" s="44" t="s">
        <v>46</v>
      </c>
      <c r="ET29" s="44">
        <v>68.550933000000001</v>
      </c>
      <c r="EU29" s="44" t="s">
        <v>46</v>
      </c>
      <c r="EV29" s="44" t="s">
        <v>46</v>
      </c>
      <c r="EW29" s="44">
        <v>109.818864</v>
      </c>
      <c r="EX29" s="44" t="s">
        <v>46</v>
      </c>
      <c r="EY29" s="44" t="s">
        <v>46</v>
      </c>
      <c r="EZ29" s="44">
        <v>58.099231000000003</v>
      </c>
      <c r="FA29" s="44" t="s">
        <v>46</v>
      </c>
      <c r="FB29" s="44" t="s">
        <v>46</v>
      </c>
      <c r="FC29" s="44">
        <v>41.917757000000002</v>
      </c>
      <c r="FD29" s="44" t="s">
        <v>46</v>
      </c>
      <c r="FE29" s="44" t="s">
        <v>46</v>
      </c>
      <c r="FF29" s="44">
        <v>50.842301999999997</v>
      </c>
      <c r="FG29" s="44" t="s">
        <v>46</v>
      </c>
      <c r="FH29" s="44" t="s">
        <v>46</v>
      </c>
      <c r="FI29" s="44">
        <v>64.583537000000007</v>
      </c>
      <c r="FJ29" s="44" t="s">
        <v>46</v>
      </c>
      <c r="FK29" s="44" t="s">
        <v>46</v>
      </c>
      <c r="FL29" s="44">
        <v>70.826830000000001</v>
      </c>
      <c r="FM29" s="44" t="s">
        <v>46</v>
      </c>
      <c r="FN29" s="44" t="s">
        <v>46</v>
      </c>
      <c r="FO29" s="44">
        <v>102.225814</v>
      </c>
      <c r="FP29" s="44" t="s">
        <v>46</v>
      </c>
      <c r="FQ29" s="44" t="s">
        <v>46</v>
      </c>
      <c r="FR29" s="44">
        <f t="shared" si="27"/>
        <v>803.35366800000008</v>
      </c>
      <c r="FS29" s="95">
        <v>803.25638900000001</v>
      </c>
      <c r="FT29" s="44" t="s">
        <v>46</v>
      </c>
      <c r="FU29" s="44" t="s">
        <v>46</v>
      </c>
      <c r="FV29" s="44">
        <v>44.642285999999999</v>
      </c>
      <c r="FW29" s="44" t="s">
        <v>46</v>
      </c>
      <c r="FX29" s="44" t="s">
        <v>46</v>
      </c>
      <c r="FY29" s="44">
        <v>68.114012000000002</v>
      </c>
      <c r="FZ29" s="44" t="s">
        <v>46</v>
      </c>
      <c r="GA29" s="44" t="s">
        <v>46</v>
      </c>
      <c r="GB29" s="44">
        <v>71.318122000000002</v>
      </c>
      <c r="GC29" s="44" t="s">
        <v>46</v>
      </c>
      <c r="GD29" s="44" t="s">
        <v>46</v>
      </c>
      <c r="GE29" s="44">
        <v>70.085673999999997</v>
      </c>
      <c r="GF29" s="44" t="s">
        <v>46</v>
      </c>
      <c r="GG29" s="44" t="s">
        <v>46</v>
      </c>
      <c r="GH29" s="44">
        <v>74.181639000000004</v>
      </c>
      <c r="GI29" s="44" t="s">
        <v>46</v>
      </c>
      <c r="GJ29" s="44" t="s">
        <v>46</v>
      </c>
      <c r="GK29" s="44">
        <v>125.122815</v>
      </c>
      <c r="GL29" s="44" t="s">
        <v>46</v>
      </c>
      <c r="GM29" s="44" t="s">
        <v>46</v>
      </c>
      <c r="GN29" s="44">
        <v>59.738911999999999</v>
      </c>
      <c r="GO29" s="44" t="s">
        <v>46</v>
      </c>
      <c r="GP29" s="44" t="s">
        <v>46</v>
      </c>
      <c r="GQ29" s="44">
        <v>44.264901000000002</v>
      </c>
      <c r="GR29" s="44" t="s">
        <v>46</v>
      </c>
      <c r="GS29" s="44" t="s">
        <v>46</v>
      </c>
      <c r="GT29" s="44">
        <v>54.430034999999997</v>
      </c>
      <c r="GU29" s="44" t="s">
        <v>46</v>
      </c>
      <c r="GV29" s="44" t="s">
        <v>46</v>
      </c>
      <c r="GW29" s="44">
        <v>68.864416000000006</v>
      </c>
      <c r="GX29" s="44" t="s">
        <v>46</v>
      </c>
      <c r="GY29" s="44" t="s">
        <v>46</v>
      </c>
      <c r="GZ29" s="44">
        <v>74.264162999999996</v>
      </c>
      <c r="HA29" s="44" t="s">
        <v>46</v>
      </c>
      <c r="HB29" s="44" t="s">
        <v>46</v>
      </c>
      <c r="HC29" s="44">
        <v>107.670321</v>
      </c>
      <c r="HD29" s="44" t="s">
        <v>46</v>
      </c>
      <c r="HE29" s="44" t="s">
        <v>46</v>
      </c>
      <c r="HF29" s="44">
        <f t="shared" si="30"/>
        <v>862.69729600000005</v>
      </c>
      <c r="HG29" s="44">
        <v>862.66474600000004</v>
      </c>
      <c r="HH29" s="44" t="s">
        <v>46</v>
      </c>
      <c r="HI29" s="44" t="s">
        <v>46</v>
      </c>
      <c r="HJ29" s="44">
        <v>47.703434000000001</v>
      </c>
      <c r="HK29" s="44" t="s">
        <v>46</v>
      </c>
      <c r="HL29" s="44" t="s">
        <v>46</v>
      </c>
      <c r="HM29" s="44">
        <v>72.360078999999999</v>
      </c>
      <c r="HN29" s="44" t="s">
        <v>46</v>
      </c>
      <c r="HO29" s="44" t="s">
        <v>46</v>
      </c>
      <c r="HP29" s="44">
        <v>76.122570999999994</v>
      </c>
      <c r="HQ29" s="44" t="s">
        <v>46</v>
      </c>
      <c r="HR29" s="44" t="s">
        <v>46</v>
      </c>
      <c r="HS29" s="44">
        <v>72.813102000000001</v>
      </c>
      <c r="HT29" s="44" t="s">
        <v>46</v>
      </c>
      <c r="HU29" s="44" t="s">
        <v>46</v>
      </c>
      <c r="HV29" s="44">
        <v>78.481002000000004</v>
      </c>
      <c r="HW29" s="44" t="s">
        <v>46</v>
      </c>
      <c r="HX29" s="44" t="s">
        <v>46</v>
      </c>
      <c r="HY29" s="44">
        <v>129.793014</v>
      </c>
      <c r="HZ29" s="44" t="s">
        <v>46</v>
      </c>
      <c r="IA29" s="44" t="s">
        <v>46</v>
      </c>
      <c r="IB29" s="44">
        <v>65.106913000000006</v>
      </c>
      <c r="IC29" s="44" t="s">
        <v>46</v>
      </c>
      <c r="ID29" s="44" t="s">
        <v>46</v>
      </c>
      <c r="IE29" s="44">
        <v>49.709837999999998</v>
      </c>
      <c r="IF29" s="44" t="s">
        <v>46</v>
      </c>
      <c r="IG29" s="44" t="s">
        <v>46</v>
      </c>
      <c r="IH29" s="44">
        <v>51.543061000000002</v>
      </c>
      <c r="II29" s="44" t="s">
        <v>46</v>
      </c>
      <c r="IJ29" s="44" t="s">
        <v>46</v>
      </c>
      <c r="IK29" s="44">
        <v>76.960076000000001</v>
      </c>
      <c r="IL29" s="44" t="s">
        <v>46</v>
      </c>
      <c r="IM29" s="44" t="s">
        <v>46</v>
      </c>
      <c r="IN29" s="44">
        <v>84.392458000000005</v>
      </c>
      <c r="IO29" s="44" t="s">
        <v>46</v>
      </c>
      <c r="IP29" s="44" t="s">
        <v>46</v>
      </c>
      <c r="IQ29" s="44">
        <v>108.896163</v>
      </c>
      <c r="IR29" s="44" t="s">
        <v>46</v>
      </c>
      <c r="IS29" s="44" t="s">
        <v>46</v>
      </c>
      <c r="IT29" s="50">
        <f t="shared" si="70"/>
        <v>913.88171099999988</v>
      </c>
      <c r="IU29" s="44">
        <v>913.88660100000004</v>
      </c>
      <c r="IV29" s="44" t="s">
        <v>46</v>
      </c>
      <c r="IW29" s="44" t="s">
        <v>46</v>
      </c>
      <c r="IX29" s="50">
        <v>50.167006000000001</v>
      </c>
      <c r="IY29" s="44" t="s">
        <v>46</v>
      </c>
      <c r="IZ29" s="44" t="s">
        <v>46</v>
      </c>
      <c r="JA29" s="50">
        <v>73.857423999999995</v>
      </c>
      <c r="JB29" s="44" t="s">
        <v>46</v>
      </c>
      <c r="JC29" s="44" t="s">
        <v>46</v>
      </c>
      <c r="JD29" s="50">
        <v>74.724095000000005</v>
      </c>
      <c r="JE29" s="44" t="s">
        <v>46</v>
      </c>
      <c r="JF29" s="44" t="s">
        <v>46</v>
      </c>
      <c r="JG29" s="50">
        <v>78.135641000000007</v>
      </c>
      <c r="JH29" s="44" t="s">
        <v>46</v>
      </c>
      <c r="JI29" s="44" t="s">
        <v>46</v>
      </c>
      <c r="JJ29" s="50">
        <v>85.333096999999995</v>
      </c>
      <c r="JK29" s="44" t="s">
        <v>46</v>
      </c>
      <c r="JL29" s="44" t="s">
        <v>46</v>
      </c>
      <c r="JM29" s="50">
        <v>128.45186799999999</v>
      </c>
      <c r="JN29" s="44" t="s">
        <v>46</v>
      </c>
      <c r="JO29" s="44" t="s">
        <v>46</v>
      </c>
      <c r="JP29" s="50">
        <v>71.520792</v>
      </c>
      <c r="JQ29" s="44" t="s">
        <v>46</v>
      </c>
      <c r="JR29" s="44" t="s">
        <v>46</v>
      </c>
      <c r="JS29" s="50">
        <v>50.791350000000001</v>
      </c>
      <c r="JT29" s="44" t="s">
        <v>46</v>
      </c>
      <c r="JU29" s="44" t="s">
        <v>46</v>
      </c>
      <c r="JV29" s="50">
        <v>53.814202000000002</v>
      </c>
      <c r="JW29" s="44" t="s">
        <v>46</v>
      </c>
      <c r="JX29" s="44" t="s">
        <v>46</v>
      </c>
      <c r="JY29" s="50">
        <v>77.756508999999994</v>
      </c>
      <c r="JZ29" s="44" t="s">
        <v>46</v>
      </c>
      <c r="KA29" s="44" t="s">
        <v>46</v>
      </c>
      <c r="KB29" s="50">
        <v>85.900084000000007</v>
      </c>
      <c r="KC29" s="44" t="s">
        <v>46</v>
      </c>
      <c r="KD29" s="44" t="s">
        <v>46</v>
      </c>
      <c r="KE29" s="50">
        <v>111.779555</v>
      </c>
      <c r="KF29" s="44" t="s">
        <v>46</v>
      </c>
      <c r="KG29" s="44" t="s">
        <v>46</v>
      </c>
      <c r="KH29" s="50">
        <f t="shared" si="4"/>
        <v>942.2316229999999</v>
      </c>
      <c r="KI29" s="44">
        <v>942.29833499999995</v>
      </c>
      <c r="KJ29" s="44" t="s">
        <v>46</v>
      </c>
      <c r="KK29" s="44" t="s">
        <v>46</v>
      </c>
      <c r="KL29" s="50">
        <v>56.478414000000001</v>
      </c>
      <c r="KM29" s="44" t="s">
        <v>46</v>
      </c>
      <c r="KN29" s="44" t="s">
        <v>46</v>
      </c>
      <c r="KO29" s="50">
        <v>77.646112000000002</v>
      </c>
      <c r="KP29" s="44" t="s">
        <v>46</v>
      </c>
      <c r="KQ29" s="44" t="s">
        <v>46</v>
      </c>
      <c r="KR29" s="50">
        <v>78.142052000000007</v>
      </c>
      <c r="KS29" s="44" t="s">
        <v>46</v>
      </c>
      <c r="KT29" s="44" t="s">
        <v>46</v>
      </c>
      <c r="KU29" s="50">
        <v>85.574554000000006</v>
      </c>
      <c r="KV29" s="44" t="s">
        <v>46</v>
      </c>
      <c r="KW29" s="44" t="s">
        <v>46</v>
      </c>
      <c r="KX29" s="50">
        <v>76.415757999999997</v>
      </c>
      <c r="KY29" s="44" t="s">
        <v>46</v>
      </c>
      <c r="KZ29" s="44" t="s">
        <v>46</v>
      </c>
      <c r="LA29" s="50">
        <v>125.90582000000001</v>
      </c>
      <c r="LB29" s="44" t="s">
        <v>46</v>
      </c>
      <c r="LC29" s="44" t="s">
        <v>46</v>
      </c>
      <c r="LD29" s="50">
        <v>75.796918000000005</v>
      </c>
      <c r="LE29" s="44"/>
      <c r="LF29" s="44"/>
      <c r="LG29" s="44">
        <v>50.948875999999998</v>
      </c>
      <c r="LH29" s="44" t="s">
        <v>46</v>
      </c>
      <c r="LI29" s="44" t="s">
        <v>46</v>
      </c>
      <c r="LJ29" s="50">
        <v>61.714030999999999</v>
      </c>
      <c r="LK29" s="44" t="s">
        <v>46</v>
      </c>
      <c r="LL29" s="44" t="s">
        <v>46</v>
      </c>
      <c r="LM29" s="50">
        <v>81.837169000000003</v>
      </c>
      <c r="LN29" s="44" t="s">
        <v>46</v>
      </c>
      <c r="LO29" s="44" t="s">
        <v>46</v>
      </c>
      <c r="LP29" s="50">
        <v>84.979838999999998</v>
      </c>
      <c r="LQ29" s="44" t="s">
        <v>46</v>
      </c>
      <c r="LR29" s="44" t="s">
        <v>46</v>
      </c>
      <c r="LS29" s="50">
        <v>124.40542600000001</v>
      </c>
      <c r="LT29" s="44" t="s">
        <v>46</v>
      </c>
      <c r="LU29" s="50" t="s">
        <v>46</v>
      </c>
      <c r="LV29" s="50">
        <f t="shared" si="58"/>
        <v>979.84496900000011</v>
      </c>
      <c r="LW29" s="50">
        <v>980.27612299999998</v>
      </c>
      <c r="LX29" s="44" t="s">
        <v>46</v>
      </c>
      <c r="LY29" s="44" t="s">
        <v>46</v>
      </c>
      <c r="LZ29" s="50">
        <v>52.552360999999998</v>
      </c>
      <c r="MA29" s="44" t="s">
        <v>46</v>
      </c>
      <c r="MB29" s="44" t="s">
        <v>46</v>
      </c>
      <c r="MC29" s="50">
        <v>82.525728000000001</v>
      </c>
      <c r="MD29" s="44" t="s">
        <v>46</v>
      </c>
      <c r="ME29" s="44" t="s">
        <v>46</v>
      </c>
      <c r="MF29" s="50">
        <v>88.057185000000004</v>
      </c>
      <c r="MG29" s="44" t="s">
        <v>46</v>
      </c>
      <c r="MH29" s="44" t="s">
        <v>46</v>
      </c>
      <c r="MI29" s="50">
        <v>92.081626</v>
      </c>
      <c r="MJ29" s="44" t="s">
        <v>46</v>
      </c>
      <c r="MK29" s="44" t="s">
        <v>46</v>
      </c>
      <c r="ML29" s="50">
        <v>86.154293999999993</v>
      </c>
      <c r="MM29" s="44" t="s">
        <v>46</v>
      </c>
      <c r="MN29" s="44" t="s">
        <v>46</v>
      </c>
      <c r="MO29" s="50">
        <v>159.060283</v>
      </c>
      <c r="MP29" s="44" t="s">
        <v>46</v>
      </c>
      <c r="MQ29" s="44" t="s">
        <v>46</v>
      </c>
      <c r="MR29" s="50">
        <v>67.621414999999999</v>
      </c>
      <c r="MS29" s="44" t="s">
        <v>46</v>
      </c>
      <c r="MT29" s="44" t="s">
        <v>46</v>
      </c>
      <c r="MU29" s="50">
        <v>55.243887000000001</v>
      </c>
      <c r="MV29" s="44" t="s">
        <v>46</v>
      </c>
      <c r="MW29" s="44" t="s">
        <v>46</v>
      </c>
      <c r="MX29" s="50">
        <v>62.770282000000002</v>
      </c>
      <c r="MY29" s="44" t="s">
        <v>46</v>
      </c>
      <c r="MZ29" s="44" t="s">
        <v>46</v>
      </c>
      <c r="NA29" s="50">
        <v>86.215891999999997</v>
      </c>
      <c r="NB29" s="44" t="s">
        <v>46</v>
      </c>
      <c r="NC29" s="44" t="s">
        <v>46</v>
      </c>
      <c r="ND29" s="50">
        <v>88.551640000000006</v>
      </c>
      <c r="NE29" s="44" t="s">
        <v>46</v>
      </c>
      <c r="NF29" s="44" t="s">
        <v>46</v>
      </c>
      <c r="NG29" s="50">
        <v>136.49356299999999</v>
      </c>
      <c r="NH29" s="44" t="s">
        <v>46</v>
      </c>
      <c r="NI29" s="50" t="s">
        <v>46</v>
      </c>
      <c r="NJ29" s="50">
        <f t="shared" si="7"/>
        <v>1057.328156</v>
      </c>
      <c r="NK29" s="50">
        <v>1057.2057239999999</v>
      </c>
      <c r="NL29" s="44" t="s">
        <v>46</v>
      </c>
      <c r="NM29" s="50" t="s">
        <v>46</v>
      </c>
      <c r="NN29" s="50">
        <v>50.662002000000001</v>
      </c>
      <c r="NO29" s="44" t="s">
        <v>46</v>
      </c>
      <c r="NP29" s="50" t="s">
        <v>46</v>
      </c>
      <c r="NQ29" s="50">
        <v>82.902351999999993</v>
      </c>
      <c r="NR29" s="44" t="s">
        <v>46</v>
      </c>
      <c r="NS29" s="50" t="s">
        <v>46</v>
      </c>
      <c r="NT29" s="50">
        <v>82.834490000000002</v>
      </c>
      <c r="NU29" s="44" t="s">
        <v>46</v>
      </c>
      <c r="NV29" s="50" t="s">
        <v>46</v>
      </c>
      <c r="NW29" s="50">
        <v>90.433463000000003</v>
      </c>
      <c r="NX29" s="44" t="s">
        <v>46</v>
      </c>
      <c r="NY29" s="50" t="s">
        <v>46</v>
      </c>
      <c r="NZ29" s="50">
        <v>96.846342000000007</v>
      </c>
      <c r="OA29" s="50" t="s">
        <v>46</v>
      </c>
      <c r="OB29" s="50" t="s">
        <v>46</v>
      </c>
      <c r="OC29" s="50">
        <v>151.12045499999999</v>
      </c>
      <c r="OD29" s="50" t="s">
        <v>46</v>
      </c>
      <c r="OE29" s="50" t="s">
        <v>46</v>
      </c>
      <c r="OF29" s="50">
        <v>88.721952000000002</v>
      </c>
      <c r="OG29" s="50" t="s">
        <v>46</v>
      </c>
      <c r="OH29" s="50" t="s">
        <v>46</v>
      </c>
      <c r="OI29" s="94">
        <v>59.641221999999999</v>
      </c>
      <c r="OJ29" s="50" t="s">
        <v>46</v>
      </c>
      <c r="OK29" s="50" t="s">
        <v>46</v>
      </c>
      <c r="OL29" s="50">
        <v>70.979258999999999</v>
      </c>
      <c r="OM29" s="50" t="s">
        <v>46</v>
      </c>
      <c r="ON29" s="50" t="s">
        <v>46</v>
      </c>
      <c r="OO29" s="50">
        <v>92.824579</v>
      </c>
      <c r="OP29" s="50" t="s">
        <v>46</v>
      </c>
      <c r="OQ29" s="50" t="s">
        <v>46</v>
      </c>
      <c r="OR29" s="50">
        <v>99.111531999999997</v>
      </c>
      <c r="OS29" s="50" t="s">
        <v>46</v>
      </c>
      <c r="OT29" s="50" t="s">
        <v>46</v>
      </c>
      <c r="OU29" s="50">
        <v>150.30999800000001</v>
      </c>
      <c r="OV29" s="44" t="s">
        <v>46</v>
      </c>
      <c r="OW29" s="50" t="s">
        <v>46</v>
      </c>
      <c r="OX29" s="50">
        <f t="shared" si="9"/>
        <v>1116.3876459999999</v>
      </c>
      <c r="OY29" s="50">
        <v>1116.3813809999999</v>
      </c>
      <c r="OZ29" s="44" t="s">
        <v>46</v>
      </c>
      <c r="PA29" s="50" t="s">
        <v>46</v>
      </c>
      <c r="PB29" s="50">
        <v>63.414932</v>
      </c>
      <c r="PC29" s="44" t="s">
        <v>46</v>
      </c>
      <c r="PD29" s="50" t="s">
        <v>46</v>
      </c>
      <c r="PE29" s="50">
        <v>100.015018</v>
      </c>
      <c r="PF29" s="44" t="s">
        <v>46</v>
      </c>
      <c r="PG29" s="50" t="s">
        <v>46</v>
      </c>
      <c r="PH29" s="50">
        <v>106.59799599999999</v>
      </c>
      <c r="PI29" s="44" t="s">
        <v>46</v>
      </c>
      <c r="PJ29" s="50" t="s">
        <v>46</v>
      </c>
      <c r="PK29" s="50">
        <v>104.33596900000001</v>
      </c>
      <c r="PL29" s="44" t="s">
        <v>46</v>
      </c>
      <c r="PM29" s="50" t="s">
        <v>46</v>
      </c>
      <c r="PN29" s="50">
        <v>105.42227699999999</v>
      </c>
      <c r="PO29" s="44" t="s">
        <v>46</v>
      </c>
      <c r="PP29" s="50" t="s">
        <v>46</v>
      </c>
      <c r="PQ29" s="50">
        <v>184.17065799999997</v>
      </c>
      <c r="PR29" s="44" t="s">
        <v>46</v>
      </c>
      <c r="PS29" s="50" t="s">
        <v>46</v>
      </c>
      <c r="PT29" s="50">
        <v>96.374875000000003</v>
      </c>
      <c r="PU29" s="44" t="s">
        <v>46</v>
      </c>
      <c r="PV29" s="50" t="s">
        <v>46</v>
      </c>
      <c r="PW29" s="50">
        <v>72.307623000000007</v>
      </c>
      <c r="PX29" s="44" t="s">
        <v>46</v>
      </c>
      <c r="PY29" s="50" t="s">
        <v>46</v>
      </c>
      <c r="PZ29" s="50">
        <v>81.155293</v>
      </c>
      <c r="QA29" s="44" t="s">
        <v>46</v>
      </c>
      <c r="QB29" s="50" t="s">
        <v>46</v>
      </c>
      <c r="QC29" s="50">
        <v>108.642453</v>
      </c>
      <c r="QD29" s="44" t="s">
        <v>46</v>
      </c>
      <c r="QE29" s="50" t="s">
        <v>46</v>
      </c>
      <c r="QF29" s="50">
        <v>116.065062</v>
      </c>
      <c r="QG29" s="44" t="s">
        <v>46</v>
      </c>
      <c r="QH29" s="50" t="s">
        <v>46</v>
      </c>
      <c r="QI29" s="50">
        <v>162.32134400000001</v>
      </c>
      <c r="QJ29" s="44" t="s">
        <v>46</v>
      </c>
      <c r="QK29" s="50" t="s">
        <v>46</v>
      </c>
      <c r="QL29" s="50">
        <f t="shared" si="40"/>
        <v>1300.8235</v>
      </c>
      <c r="QM29" s="50">
        <v>1300.80889</v>
      </c>
      <c r="QN29" s="44" t="s">
        <v>46</v>
      </c>
      <c r="QO29" s="50" t="s">
        <v>46</v>
      </c>
      <c r="QP29" s="50">
        <v>82.441591000000003</v>
      </c>
      <c r="QQ29" s="44" t="s">
        <v>46</v>
      </c>
      <c r="QR29" s="50" t="s">
        <v>46</v>
      </c>
      <c r="QS29" s="50">
        <v>119.17071900000001</v>
      </c>
      <c r="QT29" s="44" t="s">
        <v>46</v>
      </c>
      <c r="QU29" s="50" t="s">
        <v>46</v>
      </c>
      <c r="QV29" s="50">
        <v>123.374178</v>
      </c>
      <c r="QW29" s="44" t="s">
        <v>46</v>
      </c>
      <c r="QX29" s="50" t="s">
        <v>46</v>
      </c>
      <c r="QY29" s="50">
        <v>121.09766</v>
      </c>
      <c r="QZ29" s="44" t="s">
        <v>46</v>
      </c>
      <c r="RA29" s="50" t="s">
        <v>46</v>
      </c>
      <c r="RB29" s="50">
        <v>134.84477899999999</v>
      </c>
      <c r="RC29" s="44" t="s">
        <v>46</v>
      </c>
      <c r="RD29" s="50" t="s">
        <v>46</v>
      </c>
      <c r="RE29" s="50">
        <v>196.76243199999999</v>
      </c>
      <c r="RF29" s="44" t="s">
        <v>46</v>
      </c>
      <c r="RG29" s="50" t="s">
        <v>46</v>
      </c>
      <c r="RH29" s="50">
        <v>119.78409000000001</v>
      </c>
      <c r="RI29" s="44" t="s">
        <v>46</v>
      </c>
      <c r="RJ29" s="50" t="s">
        <v>46</v>
      </c>
      <c r="RK29" s="50">
        <v>85.753555000000006</v>
      </c>
      <c r="RL29" s="44" t="s">
        <v>46</v>
      </c>
      <c r="RM29" s="50" t="s">
        <v>46</v>
      </c>
      <c r="RN29" s="50">
        <v>85.602963000000003</v>
      </c>
      <c r="RO29" s="44" t="s">
        <v>46</v>
      </c>
      <c r="RP29" s="50" t="s">
        <v>46</v>
      </c>
      <c r="RQ29" s="50">
        <v>120.563934</v>
      </c>
      <c r="RR29" s="44" t="s">
        <v>46</v>
      </c>
      <c r="RS29" s="50" t="s">
        <v>46</v>
      </c>
      <c r="RT29" s="50">
        <v>131.50502900000001</v>
      </c>
      <c r="RU29" s="44" t="s">
        <v>46</v>
      </c>
      <c r="RV29" s="50" t="s">
        <v>46</v>
      </c>
      <c r="RW29" s="50">
        <v>170.18194700000001</v>
      </c>
      <c r="RX29" s="44" t="s">
        <v>46</v>
      </c>
      <c r="RY29" s="50" t="s">
        <v>46</v>
      </c>
      <c r="RZ29" s="50">
        <f t="shared" si="43"/>
        <v>1491.0828770000001</v>
      </c>
      <c r="SA29" s="50">
        <v>1491.090686</v>
      </c>
      <c r="SB29" s="44" t="s">
        <v>46</v>
      </c>
      <c r="SC29" s="50" t="s">
        <v>46</v>
      </c>
      <c r="SD29" s="50">
        <v>96.034439000000006</v>
      </c>
      <c r="SE29" s="44" t="s">
        <v>46</v>
      </c>
      <c r="SF29" s="50" t="s">
        <v>46</v>
      </c>
      <c r="SG29" s="50">
        <v>123.14668399999999</v>
      </c>
      <c r="SH29" s="44" t="s">
        <v>46</v>
      </c>
      <c r="SI29" s="50" t="s">
        <v>46</v>
      </c>
      <c r="SJ29" s="50">
        <v>119.82305100000001</v>
      </c>
      <c r="SK29" s="44" t="s">
        <v>46</v>
      </c>
      <c r="SL29" s="50" t="s">
        <v>46</v>
      </c>
      <c r="SM29" s="50">
        <v>140.114013</v>
      </c>
      <c r="SN29" s="44" t="s">
        <v>46</v>
      </c>
      <c r="SO29" s="50" t="s">
        <v>46</v>
      </c>
      <c r="SP29" s="50">
        <v>129.44498300000001</v>
      </c>
      <c r="SQ29" s="50" t="s">
        <v>46</v>
      </c>
      <c r="SR29" s="50" t="s">
        <v>46</v>
      </c>
      <c r="SS29" s="50">
        <v>198.897392</v>
      </c>
      <c r="ST29" s="50" t="s">
        <v>46</v>
      </c>
      <c r="SU29" s="50" t="s">
        <v>46</v>
      </c>
      <c r="SV29" s="50">
        <v>130.80481399999999</v>
      </c>
      <c r="SW29" s="50" t="s">
        <v>46</v>
      </c>
      <c r="SX29" s="50" t="s">
        <v>46</v>
      </c>
      <c r="SY29" s="50">
        <v>89.832386999999997</v>
      </c>
      <c r="SZ29" s="50" t="s">
        <v>46</v>
      </c>
      <c r="TA29" s="50" t="s">
        <v>46</v>
      </c>
      <c r="TB29" s="50">
        <v>93.198813999999999</v>
      </c>
      <c r="TC29" s="50" t="s">
        <v>46</v>
      </c>
      <c r="TD29" s="50" t="s">
        <v>46</v>
      </c>
      <c r="TE29" s="50">
        <v>133.11957799999999</v>
      </c>
      <c r="TF29" s="50" t="s">
        <v>46</v>
      </c>
      <c r="TG29" s="50" t="s">
        <v>46</v>
      </c>
      <c r="TH29" s="50">
        <v>126.71190199999999</v>
      </c>
      <c r="TI29" s="50" t="s">
        <v>46</v>
      </c>
      <c r="TJ29" s="50" t="s">
        <v>46</v>
      </c>
      <c r="TK29" s="50">
        <v>176.826694</v>
      </c>
      <c r="TL29" s="44" t="s">
        <v>46</v>
      </c>
      <c r="TM29" s="50" t="s">
        <v>46</v>
      </c>
      <c r="TN29" s="50">
        <f t="shared" si="47"/>
        <v>1557.9547510000002</v>
      </c>
      <c r="TO29" s="44" t="s">
        <v>46</v>
      </c>
      <c r="TP29" s="50" t="s">
        <v>46</v>
      </c>
      <c r="TQ29" s="50">
        <v>98.365396000000004</v>
      </c>
      <c r="TR29" s="44" t="s">
        <v>46</v>
      </c>
      <c r="TS29" s="50" t="s">
        <v>46</v>
      </c>
      <c r="TT29" s="50">
        <v>127.05155700000002</v>
      </c>
      <c r="TU29" s="44" t="s">
        <v>46</v>
      </c>
      <c r="TV29" s="50" t="s">
        <v>46</v>
      </c>
      <c r="TW29" s="50">
        <v>127.367589</v>
      </c>
      <c r="TX29" s="44" t="s">
        <v>46</v>
      </c>
      <c r="TY29" s="50" t="s">
        <v>46</v>
      </c>
      <c r="TZ29" s="50">
        <v>137.862167</v>
      </c>
      <c r="UA29" s="50"/>
      <c r="UB29" s="50"/>
      <c r="UC29" s="50"/>
      <c r="UD29" s="50"/>
      <c r="UE29" s="50"/>
      <c r="UF29" s="50"/>
      <c r="UG29" s="50"/>
      <c r="UH29" s="50"/>
      <c r="UI29" s="50"/>
      <c r="UJ29" s="50"/>
      <c r="UK29" s="50"/>
      <c r="UL29" s="50"/>
      <c r="UM29" s="50"/>
      <c r="UN29" s="50"/>
      <c r="UO29" s="50"/>
      <c r="UP29" s="50"/>
      <c r="UQ29" s="50"/>
      <c r="UR29" s="50"/>
      <c r="US29" s="50"/>
      <c r="UT29" s="50"/>
      <c r="UU29" s="50"/>
      <c r="UV29" s="50"/>
      <c r="UW29" s="50"/>
      <c r="UX29" s="50"/>
      <c r="UY29" s="292" t="s">
        <v>46</v>
      </c>
      <c r="UZ29" s="276" t="s">
        <v>46</v>
      </c>
      <c r="VA29" s="276">
        <f t="shared" si="52"/>
        <v>479.11818699999998</v>
      </c>
      <c r="VB29" s="292" t="s">
        <v>46</v>
      </c>
      <c r="VC29" s="276" t="s">
        <v>46</v>
      </c>
      <c r="VD29" s="276">
        <f t="shared" si="55"/>
        <v>490.64670899999999</v>
      </c>
      <c r="VE29" s="277">
        <f t="shared" si="56"/>
        <v>11.528522000000009</v>
      </c>
      <c r="VF29" s="277">
        <f t="shared" si="57"/>
        <v>2.406195864153247</v>
      </c>
    </row>
    <row r="30" spans="1:578" s="12" customFormat="1" ht="20.5">
      <c r="A30" s="48" t="s">
        <v>125</v>
      </c>
      <c r="B30" s="13">
        <v>1200</v>
      </c>
      <c r="C30" s="77" t="s">
        <v>126</v>
      </c>
      <c r="D30" s="42">
        <v>178.80181956847144</v>
      </c>
      <c r="E30" s="42">
        <v>227.84663007040373</v>
      </c>
      <c r="F30" s="42">
        <v>191.19457060574499</v>
      </c>
      <c r="G30" s="42">
        <v>147.05771168063927</v>
      </c>
      <c r="H30" s="42">
        <v>5.8501331808014756</v>
      </c>
      <c r="I30" s="42">
        <v>12.222288148616116</v>
      </c>
      <c r="J30" s="42">
        <v>12.536900757536953</v>
      </c>
      <c r="K30" s="42">
        <v>12.77090767838544</v>
      </c>
      <c r="L30" s="42">
        <v>12.179155212548592</v>
      </c>
      <c r="M30" s="42">
        <v>14.200543821606026</v>
      </c>
      <c r="N30" s="42">
        <v>15.538878549353734</v>
      </c>
      <c r="O30" s="42">
        <v>10.231802892413816</v>
      </c>
      <c r="P30" s="42">
        <v>10.75784713803564</v>
      </c>
      <c r="Q30" s="42">
        <v>12.183389679057035</v>
      </c>
      <c r="R30" s="42">
        <v>12.615908560565963</v>
      </c>
      <c r="S30" s="42">
        <v>21.001422871810632</v>
      </c>
      <c r="T30" s="44" t="s">
        <v>46</v>
      </c>
      <c r="U30" s="44" t="s">
        <v>46</v>
      </c>
      <c r="V30" s="42">
        <v>152.08917849073143</v>
      </c>
      <c r="W30" s="42">
        <v>152.09639956517037</v>
      </c>
      <c r="X30" s="42">
        <v>5.4356221649279171</v>
      </c>
      <c r="Y30" s="42">
        <v>12.256011633399924</v>
      </c>
      <c r="Z30" s="42">
        <v>13.130911320937276</v>
      </c>
      <c r="AA30" s="42">
        <v>13.092816773951201</v>
      </c>
      <c r="AB30" s="42">
        <v>13.010958958685492</v>
      </c>
      <c r="AC30" s="42">
        <v>15.319976835646923</v>
      </c>
      <c r="AD30" s="42">
        <v>16.858013044888761</v>
      </c>
      <c r="AE30" s="42">
        <v>11.196851469257432</v>
      </c>
      <c r="AF30" s="42">
        <v>9.9995475267642195</v>
      </c>
      <c r="AG30" s="42">
        <v>14.172481943756726</v>
      </c>
      <c r="AH30" s="42">
        <v>14.343597930575239</v>
      </c>
      <c r="AI30" s="42">
        <v>21.603570839095966</v>
      </c>
      <c r="AJ30" s="42">
        <v>0</v>
      </c>
      <c r="AK30" s="42">
        <v>0</v>
      </c>
      <c r="AL30" s="42">
        <v>160.42036044188706</v>
      </c>
      <c r="AM30" s="42">
        <v>160.4124165485683</v>
      </c>
      <c r="AN30" s="42">
        <v>6.1914957797622083</v>
      </c>
      <c r="AO30" s="42">
        <v>13.758167284193036</v>
      </c>
      <c r="AP30" s="42">
        <v>14.167450669034324</v>
      </c>
      <c r="AQ30" s="42">
        <v>14.364238109060278</v>
      </c>
      <c r="AR30" s="42">
        <v>14.706280840746498</v>
      </c>
      <c r="AS30" s="42">
        <v>16.963324056209128</v>
      </c>
      <c r="AT30" s="42">
        <v>19.335762175514084</v>
      </c>
      <c r="AU30" s="42">
        <v>13.410394647725399</v>
      </c>
      <c r="AV30" s="42">
        <v>11.440858333191045</v>
      </c>
      <c r="AW30" s="42">
        <v>15.230889408711391</v>
      </c>
      <c r="AX30" s="42">
        <v>14.373360140238248</v>
      </c>
      <c r="AY30" s="42">
        <v>23.577789824759112</v>
      </c>
      <c r="AZ30" s="44" t="s">
        <v>46</v>
      </c>
      <c r="BA30" s="44" t="s">
        <v>46</v>
      </c>
      <c r="BB30" s="42">
        <v>177.52001126914473</v>
      </c>
      <c r="BC30" s="42">
        <v>177.54915452957013</v>
      </c>
      <c r="BD30" s="49" t="s">
        <v>46</v>
      </c>
      <c r="BE30" s="49" t="s">
        <v>46</v>
      </c>
      <c r="BF30" s="49">
        <v>7.0002370000000003</v>
      </c>
      <c r="BG30" s="49" t="s">
        <v>46</v>
      </c>
      <c r="BH30" s="49" t="s">
        <v>46</v>
      </c>
      <c r="BI30" s="44">
        <v>13.865736999999999</v>
      </c>
      <c r="BJ30" s="49" t="s">
        <v>46</v>
      </c>
      <c r="BK30" s="49" t="s">
        <v>46</v>
      </c>
      <c r="BL30" s="44">
        <v>14.180113</v>
      </c>
      <c r="BM30" s="49" t="s">
        <v>46</v>
      </c>
      <c r="BN30" s="49" t="s">
        <v>46</v>
      </c>
      <c r="BO30" s="44">
        <v>15.762333</v>
      </c>
      <c r="BP30" s="49" t="s">
        <v>46</v>
      </c>
      <c r="BQ30" s="49" t="s">
        <v>46</v>
      </c>
      <c r="BR30" s="44">
        <v>14.695591</v>
      </c>
      <c r="BS30" s="49" t="s">
        <v>46</v>
      </c>
      <c r="BT30" s="49" t="s">
        <v>46</v>
      </c>
      <c r="BU30" s="44">
        <v>17.931916999999999</v>
      </c>
      <c r="BV30" s="49" t="s">
        <v>46</v>
      </c>
      <c r="BW30" s="49" t="s">
        <v>46</v>
      </c>
      <c r="BX30" s="44">
        <v>21.204274000000002</v>
      </c>
      <c r="BY30" s="49" t="s">
        <v>46</v>
      </c>
      <c r="BZ30" s="49" t="s">
        <v>46</v>
      </c>
      <c r="CA30" s="44">
        <v>14.066966000000001</v>
      </c>
      <c r="CB30" s="49" t="s">
        <v>46</v>
      </c>
      <c r="CC30" s="49" t="s">
        <v>46</v>
      </c>
      <c r="CD30" s="44">
        <v>12.859456</v>
      </c>
      <c r="CE30" s="49" t="s">
        <v>46</v>
      </c>
      <c r="CF30" s="49" t="s">
        <v>46</v>
      </c>
      <c r="CG30" s="44">
        <v>15.919532999999999</v>
      </c>
      <c r="CH30" s="49" t="s">
        <v>46</v>
      </c>
      <c r="CI30" s="49" t="s">
        <v>46</v>
      </c>
      <c r="CJ30" s="44">
        <v>15.100251</v>
      </c>
      <c r="CK30" s="49" t="s">
        <v>46</v>
      </c>
      <c r="CL30" s="49" t="s">
        <v>46</v>
      </c>
      <c r="CM30" s="44">
        <v>21.922722</v>
      </c>
      <c r="CN30" s="50"/>
      <c r="CO30" s="50"/>
      <c r="CP30" s="50">
        <f t="shared" si="21"/>
        <v>184.50913</v>
      </c>
      <c r="CQ30" s="52">
        <v>184.54147699999999</v>
      </c>
      <c r="CR30" s="49" t="s">
        <v>46</v>
      </c>
      <c r="CS30" s="49" t="s">
        <v>46</v>
      </c>
      <c r="CT30" s="44">
        <v>10.136217</v>
      </c>
      <c r="CU30" s="49" t="s">
        <v>46</v>
      </c>
      <c r="CV30" s="49" t="s">
        <v>46</v>
      </c>
      <c r="CW30" s="49">
        <v>16.217257</v>
      </c>
      <c r="CX30" s="49" t="s">
        <v>46</v>
      </c>
      <c r="CY30" s="49" t="s">
        <v>46</v>
      </c>
      <c r="CZ30" s="49">
        <v>15.917654000000001</v>
      </c>
      <c r="DA30" s="49" t="s">
        <v>46</v>
      </c>
      <c r="DB30" s="49" t="s">
        <v>46</v>
      </c>
      <c r="DC30" s="49">
        <v>16.79222</v>
      </c>
      <c r="DD30" s="49" t="s">
        <v>46</v>
      </c>
      <c r="DE30" s="49" t="s">
        <v>46</v>
      </c>
      <c r="DF30" s="49">
        <v>15.621689999999999</v>
      </c>
      <c r="DG30" s="49" t="s">
        <v>46</v>
      </c>
      <c r="DH30" s="49" t="s">
        <v>46</v>
      </c>
      <c r="DI30" s="49">
        <v>20.220908000000001</v>
      </c>
      <c r="DJ30" s="49" t="s">
        <v>46</v>
      </c>
      <c r="DK30" s="49" t="s">
        <v>46</v>
      </c>
      <c r="DL30" s="49">
        <v>22.748366999999998</v>
      </c>
      <c r="DM30" s="49" t="s">
        <v>46</v>
      </c>
      <c r="DN30" s="49" t="s">
        <v>46</v>
      </c>
      <c r="DO30" s="49">
        <v>15.032788</v>
      </c>
      <c r="DP30" s="49" t="s">
        <v>46</v>
      </c>
      <c r="DQ30" s="49" t="s">
        <v>46</v>
      </c>
      <c r="DR30" s="49">
        <v>13.601143</v>
      </c>
      <c r="DS30" s="49" t="s">
        <v>46</v>
      </c>
      <c r="DT30" s="49" t="s">
        <v>46</v>
      </c>
      <c r="DU30" s="49">
        <v>16.770123000000002</v>
      </c>
      <c r="DV30" s="49" t="s">
        <v>46</v>
      </c>
      <c r="DW30" s="49" t="s">
        <v>46</v>
      </c>
      <c r="DX30" s="49">
        <v>16.106608000000001</v>
      </c>
      <c r="DY30" s="49" t="s">
        <v>46</v>
      </c>
      <c r="DZ30" s="49" t="s">
        <v>46</v>
      </c>
      <c r="EA30" s="44">
        <v>22.823933</v>
      </c>
      <c r="EB30" s="49" t="s">
        <v>46</v>
      </c>
      <c r="EC30" s="49" t="s">
        <v>46</v>
      </c>
      <c r="ED30" s="44">
        <f t="shared" si="24"/>
        <v>201.98890800000004</v>
      </c>
      <c r="EE30" s="140">
        <v>201.93394599999999</v>
      </c>
      <c r="EF30" s="44" t="s">
        <v>46</v>
      </c>
      <c r="EG30" s="44" t="s">
        <v>46</v>
      </c>
      <c r="EH30" s="44">
        <v>10.85974</v>
      </c>
      <c r="EI30" s="44" t="s">
        <v>46</v>
      </c>
      <c r="EJ30" s="44" t="s">
        <v>46</v>
      </c>
      <c r="EK30" s="44">
        <v>16.51632</v>
      </c>
      <c r="EL30" s="44" t="s">
        <v>46</v>
      </c>
      <c r="EM30" s="44" t="s">
        <v>46</v>
      </c>
      <c r="EN30" s="44">
        <v>16.65822</v>
      </c>
      <c r="EO30" s="44" t="s">
        <v>46</v>
      </c>
      <c r="EP30" s="44" t="s">
        <v>46</v>
      </c>
      <c r="EQ30" s="44">
        <v>16.911107999999999</v>
      </c>
      <c r="ER30" s="44" t="s">
        <v>46</v>
      </c>
      <c r="ES30" s="44" t="s">
        <v>46</v>
      </c>
      <c r="ET30" s="44">
        <v>16.780470000000001</v>
      </c>
      <c r="EU30" s="44" t="s">
        <v>46</v>
      </c>
      <c r="EV30" s="44" t="s">
        <v>46</v>
      </c>
      <c r="EW30" s="44">
        <v>21.379539000000001</v>
      </c>
      <c r="EX30" s="44" t="s">
        <v>46</v>
      </c>
      <c r="EY30" s="44" t="s">
        <v>46</v>
      </c>
      <c r="EZ30" s="44">
        <v>23.622606000000001</v>
      </c>
      <c r="FA30" s="44" t="s">
        <v>46</v>
      </c>
      <c r="FB30" s="44" t="s">
        <v>46</v>
      </c>
      <c r="FC30" s="44">
        <v>15.173946000000001</v>
      </c>
      <c r="FD30" s="44" t="s">
        <v>46</v>
      </c>
      <c r="FE30" s="44" t="s">
        <v>46</v>
      </c>
      <c r="FF30" s="44">
        <v>13.551959</v>
      </c>
      <c r="FG30" s="44" t="s">
        <v>46</v>
      </c>
      <c r="FH30" s="44" t="s">
        <v>46</v>
      </c>
      <c r="FI30" s="44">
        <v>18.551082999999998</v>
      </c>
      <c r="FJ30" s="44" t="s">
        <v>46</v>
      </c>
      <c r="FK30" s="44" t="s">
        <v>46</v>
      </c>
      <c r="FL30" s="44">
        <v>17.511004</v>
      </c>
      <c r="FM30" s="44" t="s">
        <v>46</v>
      </c>
      <c r="FN30" s="44" t="s">
        <v>46</v>
      </c>
      <c r="FO30" s="44">
        <v>25.552612</v>
      </c>
      <c r="FP30" s="44" t="s">
        <v>46</v>
      </c>
      <c r="FQ30" s="44" t="s">
        <v>46</v>
      </c>
      <c r="FR30" s="44">
        <f t="shared" si="27"/>
        <v>213.06860700000004</v>
      </c>
      <c r="FS30" s="95">
        <v>213.09576999999999</v>
      </c>
      <c r="FT30" s="44" t="s">
        <v>46</v>
      </c>
      <c r="FU30" s="44" t="s">
        <v>46</v>
      </c>
      <c r="FV30" s="44">
        <v>12.063609</v>
      </c>
      <c r="FW30" s="44" t="s">
        <v>46</v>
      </c>
      <c r="FX30" s="44" t="s">
        <v>46</v>
      </c>
      <c r="FY30" s="44">
        <v>17.122395000000001</v>
      </c>
      <c r="FZ30" s="44" t="s">
        <v>46</v>
      </c>
      <c r="GA30" s="44" t="s">
        <v>46</v>
      </c>
      <c r="GB30" s="44">
        <v>19.074627</v>
      </c>
      <c r="GC30" s="44" t="s">
        <v>46</v>
      </c>
      <c r="GD30" s="44" t="s">
        <v>46</v>
      </c>
      <c r="GE30" s="44">
        <v>18.356615000000001</v>
      </c>
      <c r="GF30" s="44" t="s">
        <v>46</v>
      </c>
      <c r="GG30" s="44" t="s">
        <v>46</v>
      </c>
      <c r="GH30" s="44">
        <v>18.45843</v>
      </c>
      <c r="GI30" s="44" t="s">
        <v>46</v>
      </c>
      <c r="GJ30" s="44" t="s">
        <v>46</v>
      </c>
      <c r="GK30" s="44">
        <v>24.753755000000002</v>
      </c>
      <c r="GL30" s="44" t="s">
        <v>46</v>
      </c>
      <c r="GM30" s="44" t="s">
        <v>46</v>
      </c>
      <c r="GN30" s="44">
        <v>25.290870000000002</v>
      </c>
      <c r="GO30" s="44" t="s">
        <v>46</v>
      </c>
      <c r="GP30" s="44" t="s">
        <v>46</v>
      </c>
      <c r="GQ30" s="44">
        <v>16.891969</v>
      </c>
      <c r="GR30" s="44" t="s">
        <v>46</v>
      </c>
      <c r="GS30" s="44" t="s">
        <v>46</v>
      </c>
      <c r="GT30" s="44">
        <v>15.05157</v>
      </c>
      <c r="GU30" s="44" t="s">
        <v>46</v>
      </c>
      <c r="GV30" s="44" t="s">
        <v>46</v>
      </c>
      <c r="GW30" s="44">
        <v>19.588287000000001</v>
      </c>
      <c r="GX30" s="44" t="s">
        <v>46</v>
      </c>
      <c r="GY30" s="44" t="s">
        <v>46</v>
      </c>
      <c r="GZ30" s="44">
        <v>18.964694999999999</v>
      </c>
      <c r="HA30" s="44" t="s">
        <v>46</v>
      </c>
      <c r="HB30" s="44" t="s">
        <v>46</v>
      </c>
      <c r="HC30" s="44">
        <v>26.538771000000001</v>
      </c>
      <c r="HD30" s="44" t="s">
        <v>46</v>
      </c>
      <c r="HE30" s="44" t="s">
        <v>46</v>
      </c>
      <c r="HF30" s="44">
        <f t="shared" si="30"/>
        <v>232.15559300000001</v>
      </c>
      <c r="HG30" s="44">
        <v>232.13900599999999</v>
      </c>
      <c r="HH30" s="44" t="s">
        <v>46</v>
      </c>
      <c r="HI30" s="44" t="s">
        <v>46</v>
      </c>
      <c r="HJ30" s="44">
        <v>14.133088000000001</v>
      </c>
      <c r="HK30" s="44" t="s">
        <v>46</v>
      </c>
      <c r="HL30" s="44" t="s">
        <v>46</v>
      </c>
      <c r="HM30" s="44">
        <v>19.006724999999999</v>
      </c>
      <c r="HN30" s="44" t="s">
        <v>46</v>
      </c>
      <c r="HO30" s="44" t="s">
        <v>46</v>
      </c>
      <c r="HP30" s="44">
        <v>20.021329999999999</v>
      </c>
      <c r="HQ30" s="44" t="s">
        <v>46</v>
      </c>
      <c r="HR30" s="44" t="s">
        <v>46</v>
      </c>
      <c r="HS30" s="44">
        <v>20.312593</v>
      </c>
      <c r="HT30" s="44" t="s">
        <v>46</v>
      </c>
      <c r="HU30" s="44" t="s">
        <v>46</v>
      </c>
      <c r="HV30" s="44">
        <v>20.716609999999999</v>
      </c>
      <c r="HW30" s="44" t="s">
        <v>46</v>
      </c>
      <c r="HX30" s="44" t="s">
        <v>46</v>
      </c>
      <c r="HY30" s="44">
        <v>26.300367000000001</v>
      </c>
      <c r="HZ30" s="44" t="s">
        <v>46</v>
      </c>
      <c r="IA30" s="44" t="s">
        <v>46</v>
      </c>
      <c r="IB30" s="44">
        <v>28.058954</v>
      </c>
      <c r="IC30" s="44" t="s">
        <v>46</v>
      </c>
      <c r="ID30" s="44" t="s">
        <v>46</v>
      </c>
      <c r="IE30" s="44">
        <v>19.205145000000002</v>
      </c>
      <c r="IF30" s="44" t="s">
        <v>46</v>
      </c>
      <c r="IG30" s="44" t="s">
        <v>46</v>
      </c>
      <c r="IH30" s="44">
        <v>15.986184</v>
      </c>
      <c r="II30" s="44" t="s">
        <v>46</v>
      </c>
      <c r="IJ30" s="44" t="s">
        <v>46</v>
      </c>
      <c r="IK30" s="44">
        <v>21.584990999999999</v>
      </c>
      <c r="IL30" s="44" t="s">
        <v>46</v>
      </c>
      <c r="IM30" s="44" t="s">
        <v>46</v>
      </c>
      <c r="IN30" s="44">
        <v>21.210367000000002</v>
      </c>
      <c r="IO30" s="44" t="s">
        <v>46</v>
      </c>
      <c r="IP30" s="44" t="s">
        <v>46</v>
      </c>
      <c r="IQ30" s="44">
        <v>28.717662000000001</v>
      </c>
      <c r="IR30" s="44" t="s">
        <v>46</v>
      </c>
      <c r="IS30" s="44" t="s">
        <v>46</v>
      </c>
      <c r="IT30" s="50">
        <f t="shared" si="70"/>
        <v>255.25401600000001</v>
      </c>
      <c r="IU30" s="44">
        <v>255.24901299999999</v>
      </c>
      <c r="IV30" s="44" t="s">
        <v>46</v>
      </c>
      <c r="IW30" s="44" t="s">
        <v>46</v>
      </c>
      <c r="IX30" s="50">
        <v>14.694849</v>
      </c>
      <c r="IY30" s="44" t="s">
        <v>46</v>
      </c>
      <c r="IZ30" s="44" t="s">
        <v>46</v>
      </c>
      <c r="JA30" s="50">
        <v>20.627741</v>
      </c>
      <c r="JB30" s="44" t="s">
        <v>46</v>
      </c>
      <c r="JC30" s="44" t="s">
        <v>46</v>
      </c>
      <c r="JD30" s="50">
        <v>20.595860999999999</v>
      </c>
      <c r="JE30" s="44" t="s">
        <v>46</v>
      </c>
      <c r="JF30" s="44" t="s">
        <v>46</v>
      </c>
      <c r="JG30" s="50">
        <v>21.070826</v>
      </c>
      <c r="JH30" s="44" t="s">
        <v>46</v>
      </c>
      <c r="JI30" s="44" t="s">
        <v>46</v>
      </c>
      <c r="JJ30" s="50">
        <v>21.989623000000002</v>
      </c>
      <c r="JK30" s="44" t="s">
        <v>46</v>
      </c>
      <c r="JL30" s="44" t="s">
        <v>46</v>
      </c>
      <c r="JM30" s="50">
        <v>26.849298000000001</v>
      </c>
      <c r="JN30" s="44" t="s">
        <v>46</v>
      </c>
      <c r="JO30" s="44" t="s">
        <v>46</v>
      </c>
      <c r="JP30" s="50">
        <v>29.892648999999999</v>
      </c>
      <c r="JQ30" s="44" t="s">
        <v>46</v>
      </c>
      <c r="JR30" s="44" t="s">
        <v>46</v>
      </c>
      <c r="JS30" s="50">
        <v>20.934480000000001</v>
      </c>
      <c r="JT30" s="44" t="s">
        <v>46</v>
      </c>
      <c r="JU30" s="44" t="s">
        <v>46</v>
      </c>
      <c r="JV30" s="50">
        <v>17.044302999999999</v>
      </c>
      <c r="JW30" s="44" t="s">
        <v>46</v>
      </c>
      <c r="JX30" s="44" t="s">
        <v>46</v>
      </c>
      <c r="JY30" s="50">
        <v>21.947716</v>
      </c>
      <c r="JZ30" s="44" t="s">
        <v>46</v>
      </c>
      <c r="KA30" s="44" t="s">
        <v>46</v>
      </c>
      <c r="KB30" s="50">
        <v>21.766213</v>
      </c>
      <c r="KC30" s="44" t="s">
        <v>46</v>
      </c>
      <c r="KD30" s="44" t="s">
        <v>46</v>
      </c>
      <c r="KE30" s="50">
        <v>29.624192000000001</v>
      </c>
      <c r="KF30" s="44" t="s">
        <v>46</v>
      </c>
      <c r="KG30" s="44" t="s">
        <v>46</v>
      </c>
      <c r="KH30" s="50">
        <f t="shared" si="4"/>
        <v>267.03775100000001</v>
      </c>
      <c r="KI30" s="44">
        <v>267.03247399999998</v>
      </c>
      <c r="KJ30" s="44" t="s">
        <v>46</v>
      </c>
      <c r="KK30" s="44" t="s">
        <v>46</v>
      </c>
      <c r="KL30" s="50">
        <v>15.60609</v>
      </c>
      <c r="KM30" s="44" t="s">
        <v>46</v>
      </c>
      <c r="KN30" s="44" t="s">
        <v>46</v>
      </c>
      <c r="KO30" s="50">
        <v>21.014887000000002</v>
      </c>
      <c r="KP30" s="44" t="s">
        <v>46</v>
      </c>
      <c r="KQ30" s="44" t="s">
        <v>46</v>
      </c>
      <c r="KR30" s="50">
        <v>21.917707</v>
      </c>
      <c r="KS30" s="44" t="s">
        <v>46</v>
      </c>
      <c r="KT30" s="44" t="s">
        <v>46</v>
      </c>
      <c r="KU30" s="50">
        <v>23.362072999999999</v>
      </c>
      <c r="KV30" s="44" t="s">
        <v>46</v>
      </c>
      <c r="KW30" s="44" t="s">
        <v>46</v>
      </c>
      <c r="KX30" s="50">
        <v>21.574023</v>
      </c>
      <c r="KY30" s="44" t="s">
        <v>46</v>
      </c>
      <c r="KZ30" s="44" t="s">
        <v>46</v>
      </c>
      <c r="LA30" s="50">
        <v>27.605301000000001</v>
      </c>
      <c r="LB30" s="44" t="s">
        <v>46</v>
      </c>
      <c r="LC30" s="44" t="s">
        <v>46</v>
      </c>
      <c r="LD30" s="50">
        <v>27.49025</v>
      </c>
      <c r="LE30" s="44"/>
      <c r="LF30" s="44"/>
      <c r="LG30" s="44">
        <v>20.079588000000001</v>
      </c>
      <c r="LH30" s="44" t="s">
        <v>46</v>
      </c>
      <c r="LI30" s="44" t="s">
        <v>46</v>
      </c>
      <c r="LJ30" s="50">
        <v>18.892928999999999</v>
      </c>
      <c r="LK30" s="44" t="s">
        <v>46</v>
      </c>
      <c r="LL30" s="44" t="s">
        <v>46</v>
      </c>
      <c r="LM30" s="50">
        <v>23.084070000000001</v>
      </c>
      <c r="LN30" s="44" t="s">
        <v>46</v>
      </c>
      <c r="LO30" s="44" t="s">
        <v>46</v>
      </c>
      <c r="LP30" s="50">
        <v>22.784763999999999</v>
      </c>
      <c r="LQ30" s="44" t="s">
        <v>46</v>
      </c>
      <c r="LR30" s="44" t="s">
        <v>46</v>
      </c>
      <c r="LS30" s="50">
        <v>32.763902000000002</v>
      </c>
      <c r="LT30" s="44" t="s">
        <v>46</v>
      </c>
      <c r="LU30" s="50" t="s">
        <v>46</v>
      </c>
      <c r="LV30" s="50">
        <f t="shared" si="58"/>
        <v>276.17558400000001</v>
      </c>
      <c r="LW30" s="50">
        <v>275.780596</v>
      </c>
      <c r="LX30" s="44" t="s">
        <v>46</v>
      </c>
      <c r="LY30" s="44" t="s">
        <v>46</v>
      </c>
      <c r="LZ30" s="50">
        <v>15.171860000000001</v>
      </c>
      <c r="MA30" s="44" t="s">
        <v>46</v>
      </c>
      <c r="MB30" s="44" t="s">
        <v>46</v>
      </c>
      <c r="MC30" s="50">
        <v>20.915402</v>
      </c>
      <c r="MD30" s="44" t="s">
        <v>46</v>
      </c>
      <c r="ME30" s="44" t="s">
        <v>46</v>
      </c>
      <c r="MF30" s="50">
        <v>24.102058</v>
      </c>
      <c r="MG30" s="44" t="s">
        <v>46</v>
      </c>
      <c r="MH30" s="44" t="s">
        <v>46</v>
      </c>
      <c r="MI30" s="50">
        <v>23.411866</v>
      </c>
      <c r="MJ30" s="44" t="s">
        <v>46</v>
      </c>
      <c r="MK30" s="44" t="s">
        <v>46</v>
      </c>
      <c r="ML30" s="50">
        <v>23.653711000000001</v>
      </c>
      <c r="MM30" s="44" t="s">
        <v>46</v>
      </c>
      <c r="MN30" s="44" t="s">
        <v>46</v>
      </c>
      <c r="MO30" s="50">
        <v>35.441625999999999</v>
      </c>
      <c r="MP30" s="44" t="s">
        <v>46</v>
      </c>
      <c r="MQ30" s="44" t="s">
        <v>46</v>
      </c>
      <c r="MR30" s="50">
        <v>25.476647</v>
      </c>
      <c r="MS30" s="44" t="s">
        <v>46</v>
      </c>
      <c r="MT30" s="44" t="s">
        <v>46</v>
      </c>
      <c r="MU30" s="50">
        <v>21.465809</v>
      </c>
      <c r="MV30" s="44" t="s">
        <v>46</v>
      </c>
      <c r="MW30" s="44" t="s">
        <v>46</v>
      </c>
      <c r="MX30" s="50">
        <v>21.500937</v>
      </c>
      <c r="MY30" s="44" t="s">
        <v>46</v>
      </c>
      <c r="MZ30" s="44" t="s">
        <v>46</v>
      </c>
      <c r="NA30" s="50">
        <v>23.434132000000002</v>
      </c>
      <c r="NB30" s="44" t="s">
        <v>46</v>
      </c>
      <c r="NC30" s="44" t="s">
        <v>46</v>
      </c>
      <c r="ND30" s="50">
        <v>24.968502000000001</v>
      </c>
      <c r="NE30" s="44" t="s">
        <v>46</v>
      </c>
      <c r="NF30" s="44" t="s">
        <v>46</v>
      </c>
      <c r="NG30" s="50">
        <v>34.901001000000001</v>
      </c>
      <c r="NH30" s="44" t="s">
        <v>46</v>
      </c>
      <c r="NI30" s="50" t="s">
        <v>46</v>
      </c>
      <c r="NJ30" s="50">
        <f t="shared" si="7"/>
        <v>294.44355100000001</v>
      </c>
      <c r="NK30" s="50">
        <v>294.43352700000003</v>
      </c>
      <c r="NL30" s="44" t="s">
        <v>46</v>
      </c>
      <c r="NM30" s="50" t="s">
        <v>46</v>
      </c>
      <c r="NN30" s="50">
        <v>15.617573999999999</v>
      </c>
      <c r="NO30" s="44" t="s">
        <v>46</v>
      </c>
      <c r="NP30" s="50" t="s">
        <v>46</v>
      </c>
      <c r="NQ30" s="50">
        <v>22.601464</v>
      </c>
      <c r="NR30" s="44" t="s">
        <v>46</v>
      </c>
      <c r="NS30" s="50" t="s">
        <v>46</v>
      </c>
      <c r="NT30" s="50">
        <v>23.196287999999999</v>
      </c>
      <c r="NU30" s="44" t="s">
        <v>46</v>
      </c>
      <c r="NV30" s="50" t="s">
        <v>46</v>
      </c>
      <c r="NW30" s="50">
        <v>25.533168</v>
      </c>
      <c r="NX30" s="44" t="s">
        <v>46</v>
      </c>
      <c r="NY30" s="50" t="s">
        <v>46</v>
      </c>
      <c r="NZ30" s="50">
        <v>25.121352000000002</v>
      </c>
      <c r="OA30" s="50" t="s">
        <v>46</v>
      </c>
      <c r="OB30" s="50" t="s">
        <v>46</v>
      </c>
      <c r="OC30" s="50">
        <v>31.863081000000001</v>
      </c>
      <c r="OD30" s="50" t="s">
        <v>46</v>
      </c>
      <c r="OE30" s="50" t="s">
        <v>46</v>
      </c>
      <c r="OF30" s="50">
        <v>33.521543000000001</v>
      </c>
      <c r="OG30" s="50" t="s">
        <v>46</v>
      </c>
      <c r="OH30" s="50" t="s">
        <v>46</v>
      </c>
      <c r="OI30" s="94">
        <v>23.387843</v>
      </c>
      <c r="OJ30" s="50" t="s">
        <v>46</v>
      </c>
      <c r="OK30" s="50" t="s">
        <v>46</v>
      </c>
      <c r="OL30" s="50">
        <v>24.218807000000002</v>
      </c>
      <c r="OM30" s="50" t="s">
        <v>46</v>
      </c>
      <c r="ON30" s="50" t="s">
        <v>46</v>
      </c>
      <c r="OO30" s="50">
        <v>26.64387</v>
      </c>
      <c r="OP30" s="50" t="s">
        <v>46</v>
      </c>
      <c r="OQ30" s="50" t="s">
        <v>46</v>
      </c>
      <c r="OR30" s="50">
        <v>26.977986999999999</v>
      </c>
      <c r="OS30" s="50" t="s">
        <v>46</v>
      </c>
      <c r="OT30" s="50" t="s">
        <v>46</v>
      </c>
      <c r="OU30" s="50">
        <v>38.621962000000003</v>
      </c>
      <c r="OV30" s="44" t="s">
        <v>46</v>
      </c>
      <c r="OW30" s="50" t="s">
        <v>46</v>
      </c>
      <c r="OX30" s="50">
        <f t="shared" si="9"/>
        <v>317.30493899999999</v>
      </c>
      <c r="OY30" s="50">
        <v>317.30250899999999</v>
      </c>
      <c r="OZ30" s="44" t="s">
        <v>46</v>
      </c>
      <c r="PA30" s="50" t="s">
        <v>46</v>
      </c>
      <c r="PB30" s="50">
        <v>20.448105999999999</v>
      </c>
      <c r="PC30" s="44" t="s">
        <v>46</v>
      </c>
      <c r="PD30" s="50" t="s">
        <v>46</v>
      </c>
      <c r="PE30" s="50">
        <v>27.972745</v>
      </c>
      <c r="PF30" s="44" t="s">
        <v>46</v>
      </c>
      <c r="PG30" s="50" t="s">
        <v>46</v>
      </c>
      <c r="PH30" s="50">
        <v>28.419388000000001</v>
      </c>
      <c r="PI30" s="44" t="s">
        <v>46</v>
      </c>
      <c r="PJ30" s="50" t="s">
        <v>46</v>
      </c>
      <c r="PK30" s="50">
        <v>28.192057999999999</v>
      </c>
      <c r="PL30" s="44" t="s">
        <v>46</v>
      </c>
      <c r="PM30" s="50" t="s">
        <v>46</v>
      </c>
      <c r="PN30" s="50">
        <v>28.479697999999999</v>
      </c>
      <c r="PO30" s="44" t="s">
        <v>46</v>
      </c>
      <c r="PP30" s="50" t="s">
        <v>46</v>
      </c>
      <c r="PQ30" s="50">
        <v>36.321249999999999</v>
      </c>
      <c r="PR30" s="44" t="s">
        <v>46</v>
      </c>
      <c r="PS30" s="50" t="s">
        <v>46</v>
      </c>
      <c r="PT30" s="50">
        <v>39.271540000000002</v>
      </c>
      <c r="PU30" s="44" t="s">
        <v>46</v>
      </c>
      <c r="PV30" s="50" t="s">
        <v>46</v>
      </c>
      <c r="PW30" s="50">
        <v>28.492414</v>
      </c>
      <c r="PX30" s="44" t="s">
        <v>46</v>
      </c>
      <c r="PY30" s="50" t="s">
        <v>46</v>
      </c>
      <c r="PZ30" s="50">
        <v>25.017626</v>
      </c>
      <c r="QA30" s="44" t="s">
        <v>46</v>
      </c>
      <c r="QB30" s="50" t="s">
        <v>46</v>
      </c>
      <c r="QC30" s="50">
        <v>31.623038000000001</v>
      </c>
      <c r="QD30" s="44" t="s">
        <v>46</v>
      </c>
      <c r="QE30" s="50" t="s">
        <v>46</v>
      </c>
      <c r="QF30" s="50">
        <v>30.471254999999999</v>
      </c>
      <c r="QG30" s="44" t="s">
        <v>46</v>
      </c>
      <c r="QH30" s="50" t="s">
        <v>46</v>
      </c>
      <c r="QI30" s="50">
        <v>42.848233999999998</v>
      </c>
      <c r="QJ30" s="44" t="s">
        <v>46</v>
      </c>
      <c r="QK30" s="50" t="s">
        <v>46</v>
      </c>
      <c r="QL30" s="50">
        <f t="shared" si="40"/>
        <v>367.55735199999998</v>
      </c>
      <c r="QM30" s="50">
        <v>367.57586600000002</v>
      </c>
      <c r="QN30" s="44" t="s">
        <v>46</v>
      </c>
      <c r="QO30" s="50" t="s">
        <v>46</v>
      </c>
      <c r="QP30" s="50">
        <v>25.603897</v>
      </c>
      <c r="QQ30" s="44" t="s">
        <v>46</v>
      </c>
      <c r="QR30" s="50" t="s">
        <v>46</v>
      </c>
      <c r="QS30" s="50">
        <v>32.418042999999997</v>
      </c>
      <c r="QT30" s="44" t="s">
        <v>46</v>
      </c>
      <c r="QU30" s="50" t="s">
        <v>46</v>
      </c>
      <c r="QV30" s="50">
        <v>32.942802999999998</v>
      </c>
      <c r="QW30" s="44" t="s">
        <v>46</v>
      </c>
      <c r="QX30" s="50" t="s">
        <v>46</v>
      </c>
      <c r="QY30" s="50">
        <v>32.72139</v>
      </c>
      <c r="QZ30" s="44" t="s">
        <v>46</v>
      </c>
      <c r="RA30" s="50" t="s">
        <v>46</v>
      </c>
      <c r="RB30" s="50">
        <v>34.906323</v>
      </c>
      <c r="RC30" s="44" t="s">
        <v>46</v>
      </c>
      <c r="RD30" s="50" t="s">
        <v>46</v>
      </c>
      <c r="RE30" s="50">
        <v>39.386457</v>
      </c>
      <c r="RF30" s="44" t="s">
        <v>46</v>
      </c>
      <c r="RG30" s="50" t="s">
        <v>46</v>
      </c>
      <c r="RH30" s="50">
        <v>45.628203999999997</v>
      </c>
      <c r="RI30" s="44" t="s">
        <v>46</v>
      </c>
      <c r="RJ30" s="50" t="s">
        <v>46</v>
      </c>
      <c r="RK30" s="50">
        <v>33.432105999999997</v>
      </c>
      <c r="RL30" s="44" t="s">
        <v>46</v>
      </c>
      <c r="RM30" s="50" t="s">
        <v>46</v>
      </c>
      <c r="RN30" s="50">
        <v>29.872146999999998</v>
      </c>
      <c r="RO30" s="44" t="s">
        <v>46</v>
      </c>
      <c r="RP30" s="50" t="s">
        <v>46</v>
      </c>
      <c r="RQ30" s="50">
        <v>34.288873000000002</v>
      </c>
      <c r="RR30" s="44" t="s">
        <v>46</v>
      </c>
      <c r="RS30" s="50" t="s">
        <v>46</v>
      </c>
      <c r="RT30" s="50">
        <v>34.088054999999997</v>
      </c>
      <c r="RU30" s="44" t="s">
        <v>46</v>
      </c>
      <c r="RV30" s="50" t="s">
        <v>46</v>
      </c>
      <c r="RW30" s="50">
        <v>43.534001000000004</v>
      </c>
      <c r="RX30" s="44" t="s">
        <v>46</v>
      </c>
      <c r="RY30" s="50" t="s">
        <v>46</v>
      </c>
      <c r="RZ30" s="50">
        <f t="shared" si="43"/>
        <v>418.82229899999999</v>
      </c>
      <c r="SA30" s="50">
        <v>418.832515</v>
      </c>
      <c r="SB30" s="44" t="s">
        <v>46</v>
      </c>
      <c r="SC30" s="50" t="s">
        <v>46</v>
      </c>
      <c r="SD30" s="50">
        <v>27.437080000000002</v>
      </c>
      <c r="SE30" s="44" t="s">
        <v>46</v>
      </c>
      <c r="SF30" s="50" t="s">
        <v>46</v>
      </c>
      <c r="SG30" s="50">
        <v>32.792990000000003</v>
      </c>
      <c r="SH30" s="44" t="s">
        <v>46</v>
      </c>
      <c r="SI30" s="50" t="s">
        <v>46</v>
      </c>
      <c r="SJ30" s="50">
        <v>34.132995000000001</v>
      </c>
      <c r="SK30" s="44" t="s">
        <v>46</v>
      </c>
      <c r="SL30" s="50" t="s">
        <v>46</v>
      </c>
      <c r="SM30" s="50">
        <v>35.856774999999999</v>
      </c>
      <c r="SN30" s="44" t="s">
        <v>46</v>
      </c>
      <c r="SO30" s="50" t="s">
        <v>46</v>
      </c>
      <c r="SP30" s="50">
        <v>34.582765999999999</v>
      </c>
      <c r="SQ30" s="50" t="s">
        <v>46</v>
      </c>
      <c r="SR30" s="50" t="s">
        <v>46</v>
      </c>
      <c r="SS30" s="50">
        <v>41.508025000000004</v>
      </c>
      <c r="ST30" s="50" t="s">
        <v>46</v>
      </c>
      <c r="SU30" s="50" t="s">
        <v>46</v>
      </c>
      <c r="SV30" s="50">
        <v>46.201771999999998</v>
      </c>
      <c r="SW30" s="50" t="s">
        <v>46</v>
      </c>
      <c r="SX30" s="50" t="s">
        <v>46</v>
      </c>
      <c r="SY30" s="50">
        <v>35.482095000000001</v>
      </c>
      <c r="SZ30" s="50" t="s">
        <v>46</v>
      </c>
      <c r="TA30" s="50" t="s">
        <v>46</v>
      </c>
      <c r="TB30" s="50">
        <v>29.836728999999998</v>
      </c>
      <c r="TC30" s="50" t="s">
        <v>46</v>
      </c>
      <c r="TD30" s="50" t="s">
        <v>46</v>
      </c>
      <c r="TE30" s="50">
        <v>36.776812999999997</v>
      </c>
      <c r="TF30" s="50" t="s">
        <v>46</v>
      </c>
      <c r="TG30" s="50" t="s">
        <v>46</v>
      </c>
      <c r="TH30" s="50">
        <v>34.577781000000002</v>
      </c>
      <c r="TI30" s="50" t="s">
        <v>46</v>
      </c>
      <c r="TJ30" s="50" t="s">
        <v>46</v>
      </c>
      <c r="TK30" s="50">
        <v>44.896607000000003</v>
      </c>
      <c r="TL30" s="44" t="s">
        <v>46</v>
      </c>
      <c r="TM30" s="50" t="s">
        <v>46</v>
      </c>
      <c r="TN30" s="50">
        <f t="shared" si="47"/>
        <v>434.08242800000005</v>
      </c>
      <c r="TO30" s="44" t="s">
        <v>46</v>
      </c>
      <c r="TP30" s="50" t="s">
        <v>46</v>
      </c>
      <c r="TQ30" s="50">
        <v>28.279657999999998</v>
      </c>
      <c r="TR30" s="44" t="s">
        <v>46</v>
      </c>
      <c r="TS30" s="50" t="s">
        <v>46</v>
      </c>
      <c r="TT30" s="50">
        <v>35.187964000000001</v>
      </c>
      <c r="TU30" s="44" t="s">
        <v>46</v>
      </c>
      <c r="TV30" s="50" t="s">
        <v>46</v>
      </c>
      <c r="TW30" s="50">
        <v>35.662701999999996</v>
      </c>
      <c r="TX30" s="44" t="s">
        <v>46</v>
      </c>
      <c r="TY30" s="50" t="s">
        <v>46</v>
      </c>
      <c r="TZ30" s="50">
        <v>35.975645999999998</v>
      </c>
      <c r="UA30" s="50"/>
      <c r="UB30" s="50"/>
      <c r="UC30" s="50"/>
      <c r="UD30" s="50"/>
      <c r="UE30" s="50"/>
      <c r="UF30" s="50"/>
      <c r="UG30" s="50"/>
      <c r="UH30" s="50"/>
      <c r="UI30" s="50"/>
      <c r="UJ30" s="50"/>
      <c r="UK30" s="50"/>
      <c r="UL30" s="50"/>
      <c r="UM30" s="50"/>
      <c r="UN30" s="50"/>
      <c r="UO30" s="50"/>
      <c r="UP30" s="50"/>
      <c r="UQ30" s="50"/>
      <c r="UR30" s="50"/>
      <c r="US30" s="50"/>
      <c r="UT30" s="50"/>
      <c r="UU30" s="50"/>
      <c r="UV30" s="50"/>
      <c r="UW30" s="50"/>
      <c r="UX30" s="50"/>
      <c r="UY30" s="292" t="s">
        <v>46</v>
      </c>
      <c r="UZ30" s="276" t="s">
        <v>46</v>
      </c>
      <c r="VA30" s="276">
        <f t="shared" si="52"/>
        <v>130.21984</v>
      </c>
      <c r="VB30" s="292" t="s">
        <v>46</v>
      </c>
      <c r="VC30" s="276" t="s">
        <v>46</v>
      </c>
      <c r="VD30" s="276">
        <f t="shared" si="55"/>
        <v>135.10597000000001</v>
      </c>
      <c r="VE30" s="277">
        <f t="shared" si="56"/>
        <v>4.8861300000000085</v>
      </c>
      <c r="VF30" s="277">
        <f t="shared" si="57"/>
        <v>3.75221625214715</v>
      </c>
    </row>
    <row r="31" spans="1:578" s="12" customFormat="1" ht="20.5">
      <c r="A31" s="47" t="s">
        <v>127</v>
      </c>
      <c r="B31" s="13">
        <v>2000</v>
      </c>
      <c r="C31" s="47" t="s">
        <v>128</v>
      </c>
      <c r="D31" s="42">
        <v>458.49423879203874</v>
      </c>
      <c r="E31" s="42">
        <v>575.25811463793616</v>
      </c>
      <c r="F31" s="42">
        <v>406.47143727127337</v>
      </c>
      <c r="G31" s="42">
        <v>400.86227170021806</v>
      </c>
      <c r="H31" s="42">
        <v>29.027401665329172</v>
      </c>
      <c r="I31" s="42">
        <v>38.393798270926176</v>
      </c>
      <c r="J31" s="42">
        <v>41.15189441152868</v>
      </c>
      <c r="K31" s="42">
        <v>34.102412621442106</v>
      </c>
      <c r="L31" s="42">
        <v>35.355079083215237</v>
      </c>
      <c r="M31" s="42">
        <v>31.484917558807293</v>
      </c>
      <c r="N31" s="42">
        <v>29.014551710007346</v>
      </c>
      <c r="O31" s="42">
        <v>29.996842647452208</v>
      </c>
      <c r="P31" s="42">
        <v>32.160511323213868</v>
      </c>
      <c r="Q31" s="42">
        <v>34.825580104837194</v>
      </c>
      <c r="R31" s="42">
        <v>39.877864952390709</v>
      </c>
      <c r="S31" s="42">
        <v>59.448617253174433</v>
      </c>
      <c r="T31" s="44" t="s">
        <v>46</v>
      </c>
      <c r="U31" s="44" t="s">
        <v>46</v>
      </c>
      <c r="V31" s="42">
        <v>434.83947160232441</v>
      </c>
      <c r="W31" s="42">
        <v>434.66681464533497</v>
      </c>
      <c r="X31" s="42">
        <v>26.958585893079725</v>
      </c>
      <c r="Y31" s="42">
        <v>40.353669017250901</v>
      </c>
      <c r="Z31" s="42">
        <v>41.686280954576247</v>
      </c>
      <c r="AA31" s="42">
        <v>37.671360720769947</v>
      </c>
      <c r="AB31" s="42">
        <v>37.05958702568568</v>
      </c>
      <c r="AC31" s="42">
        <v>35.189922083539649</v>
      </c>
      <c r="AD31" s="42">
        <v>33.824817445546692</v>
      </c>
      <c r="AE31" s="42">
        <v>32.469594652278587</v>
      </c>
      <c r="AF31" s="42">
        <v>33.584640952527309</v>
      </c>
      <c r="AG31" s="42">
        <v>38.295082270448084</v>
      </c>
      <c r="AH31" s="42">
        <v>42.441107335757906</v>
      </c>
      <c r="AI31" s="42">
        <v>57.081985873728669</v>
      </c>
      <c r="AJ31" s="42">
        <v>0</v>
      </c>
      <c r="AK31" s="42">
        <v>0</v>
      </c>
      <c r="AL31" s="42">
        <v>456.61663422518939</v>
      </c>
      <c r="AM31" s="42">
        <v>456.79584919835406</v>
      </c>
      <c r="AN31" s="42">
        <v>38.577592045577425</v>
      </c>
      <c r="AO31" s="42">
        <v>42.282267886921531</v>
      </c>
      <c r="AP31" s="42">
        <v>41.207376452040684</v>
      </c>
      <c r="AQ31" s="42">
        <v>44.325749426582668</v>
      </c>
      <c r="AR31" s="42">
        <v>44.143866568773085</v>
      </c>
      <c r="AS31" s="42">
        <v>38.18659825499001</v>
      </c>
      <c r="AT31" s="42">
        <v>37.713901742164246</v>
      </c>
      <c r="AU31" s="42">
        <v>35.603947900125782</v>
      </c>
      <c r="AV31" s="42">
        <v>38.504954439644628</v>
      </c>
      <c r="AW31" s="42">
        <v>42.783394801395552</v>
      </c>
      <c r="AX31" s="42">
        <v>49.318225280448033</v>
      </c>
      <c r="AY31" s="42">
        <v>61.382762477162906</v>
      </c>
      <c r="AZ31" s="44" t="s">
        <v>46</v>
      </c>
      <c r="BA31" s="44" t="s">
        <v>46</v>
      </c>
      <c r="BB31" s="42">
        <v>514.03063727582651</v>
      </c>
      <c r="BC31" s="42">
        <v>513.74296247602467</v>
      </c>
      <c r="BD31" s="49" t="s">
        <v>46</v>
      </c>
      <c r="BE31" s="49" t="s">
        <v>46</v>
      </c>
      <c r="BF31" s="49">
        <v>32.554659000000001</v>
      </c>
      <c r="BG31" s="49" t="s">
        <v>46</v>
      </c>
      <c r="BH31" s="49" t="s">
        <v>46</v>
      </c>
      <c r="BI31" s="44">
        <v>41.669204999999998</v>
      </c>
      <c r="BJ31" s="49" t="s">
        <v>46</v>
      </c>
      <c r="BK31" s="49" t="s">
        <v>46</v>
      </c>
      <c r="BL31" s="44">
        <v>40.958972000000003</v>
      </c>
      <c r="BM31" s="49" t="s">
        <v>46</v>
      </c>
      <c r="BN31" s="49" t="s">
        <v>46</v>
      </c>
      <c r="BO31" s="44">
        <v>41.473751999999998</v>
      </c>
      <c r="BP31" s="49" t="s">
        <v>46</v>
      </c>
      <c r="BQ31" s="49" t="s">
        <v>46</v>
      </c>
      <c r="BR31" s="44">
        <v>41.104216999999998</v>
      </c>
      <c r="BS31" s="49" t="s">
        <v>46</v>
      </c>
      <c r="BT31" s="49" t="s">
        <v>46</v>
      </c>
      <c r="BU31" s="44">
        <v>37.819108999999997</v>
      </c>
      <c r="BV31" s="49" t="s">
        <v>46</v>
      </c>
      <c r="BW31" s="49" t="s">
        <v>46</v>
      </c>
      <c r="BX31" s="44">
        <v>39.274704999999997</v>
      </c>
      <c r="BY31" s="49" t="s">
        <v>46</v>
      </c>
      <c r="BZ31" s="49" t="s">
        <v>46</v>
      </c>
      <c r="CA31" s="44">
        <v>36.993761999999997</v>
      </c>
      <c r="CB31" s="49" t="s">
        <v>46</v>
      </c>
      <c r="CC31" s="49" t="s">
        <v>46</v>
      </c>
      <c r="CD31" s="44">
        <v>41.645462999999999</v>
      </c>
      <c r="CE31" s="49" t="s">
        <v>46</v>
      </c>
      <c r="CF31" s="49" t="s">
        <v>46</v>
      </c>
      <c r="CG31" s="44">
        <v>44.991129000000001</v>
      </c>
      <c r="CH31" s="49" t="s">
        <v>46</v>
      </c>
      <c r="CI31" s="49" t="s">
        <v>46</v>
      </c>
      <c r="CJ31" s="44">
        <v>45.614846</v>
      </c>
      <c r="CK31" s="49" t="s">
        <v>46</v>
      </c>
      <c r="CL31" s="49" t="s">
        <v>46</v>
      </c>
      <c r="CM31" s="44">
        <v>63.991976000000001</v>
      </c>
      <c r="CN31" s="50"/>
      <c r="CO31" s="50"/>
      <c r="CP31" s="50">
        <f t="shared" si="21"/>
        <v>508.09179500000005</v>
      </c>
      <c r="CQ31" s="52">
        <v>505.87125600000002</v>
      </c>
      <c r="CR31" s="49" t="s">
        <v>46</v>
      </c>
      <c r="CS31" s="49" t="s">
        <v>46</v>
      </c>
      <c r="CT31" s="44">
        <v>34.985650999999997</v>
      </c>
      <c r="CU31" s="49" t="s">
        <v>46</v>
      </c>
      <c r="CV31" s="49" t="s">
        <v>46</v>
      </c>
      <c r="CW31" s="49">
        <v>42.163243999999999</v>
      </c>
      <c r="CX31" s="49" t="s">
        <v>46</v>
      </c>
      <c r="CY31" s="49" t="s">
        <v>46</v>
      </c>
      <c r="CZ31" s="49">
        <v>43.357784000000002</v>
      </c>
      <c r="DA31" s="49" t="s">
        <v>46</v>
      </c>
      <c r="DB31" s="49" t="s">
        <v>46</v>
      </c>
      <c r="DC31" s="49">
        <v>42.812604</v>
      </c>
      <c r="DD31" s="49" t="s">
        <v>46</v>
      </c>
      <c r="DE31" s="49" t="s">
        <v>46</v>
      </c>
      <c r="DF31" s="49">
        <v>41.632275999999997</v>
      </c>
      <c r="DG31" s="49" t="s">
        <v>46</v>
      </c>
      <c r="DH31" s="49" t="s">
        <v>46</v>
      </c>
      <c r="DI31" s="49">
        <v>42.769782999999997</v>
      </c>
      <c r="DJ31" s="49" t="s">
        <v>46</v>
      </c>
      <c r="DK31" s="49" t="s">
        <v>46</v>
      </c>
      <c r="DL31" s="49">
        <v>40.894109</v>
      </c>
      <c r="DM31" s="49" t="s">
        <v>46</v>
      </c>
      <c r="DN31" s="49" t="s">
        <v>46</v>
      </c>
      <c r="DO31" s="49">
        <v>37.402752</v>
      </c>
      <c r="DP31" s="49" t="s">
        <v>46</v>
      </c>
      <c r="DQ31" s="49" t="s">
        <v>46</v>
      </c>
      <c r="DR31" s="49">
        <v>39.48377</v>
      </c>
      <c r="DS31" s="49" t="s">
        <v>46</v>
      </c>
      <c r="DT31" s="49" t="s">
        <v>46</v>
      </c>
      <c r="DU31" s="49">
        <v>44.112848999999997</v>
      </c>
      <c r="DV31" s="49" t="s">
        <v>46</v>
      </c>
      <c r="DW31" s="49" t="s">
        <v>46</v>
      </c>
      <c r="DX31" s="49">
        <v>45.668311000000003</v>
      </c>
      <c r="DY31" s="49" t="s">
        <v>46</v>
      </c>
      <c r="DZ31" s="49" t="s">
        <v>46</v>
      </c>
      <c r="EA31" s="44">
        <v>62.551406999999998</v>
      </c>
      <c r="EB31" s="49" t="s">
        <v>46</v>
      </c>
      <c r="EC31" s="49" t="s">
        <v>46</v>
      </c>
      <c r="ED31" s="44">
        <f t="shared" si="24"/>
        <v>517.83453999999995</v>
      </c>
      <c r="EE31" s="140">
        <v>515.77268100000003</v>
      </c>
      <c r="EF31" s="44" t="s">
        <v>46</v>
      </c>
      <c r="EG31" s="44" t="s">
        <v>46</v>
      </c>
      <c r="EH31" s="44">
        <v>33.346001000000001</v>
      </c>
      <c r="EI31" s="44" t="s">
        <v>46</v>
      </c>
      <c r="EJ31" s="44" t="s">
        <v>46</v>
      </c>
      <c r="EK31" s="44">
        <v>45.54974</v>
      </c>
      <c r="EL31" s="44" t="s">
        <v>46</v>
      </c>
      <c r="EM31" s="44" t="s">
        <v>46</v>
      </c>
      <c r="EN31" s="44">
        <v>43.935453000000003</v>
      </c>
      <c r="EO31" s="44" t="s">
        <v>46</v>
      </c>
      <c r="EP31" s="44" t="s">
        <v>46</v>
      </c>
      <c r="EQ31" s="44">
        <v>43.560986</v>
      </c>
      <c r="ER31" s="44" t="s">
        <v>46</v>
      </c>
      <c r="ES31" s="44" t="s">
        <v>46</v>
      </c>
      <c r="ET31" s="44">
        <v>43.504731</v>
      </c>
      <c r="EU31" s="44" t="s">
        <v>46</v>
      </c>
      <c r="EV31" s="44" t="s">
        <v>46</v>
      </c>
      <c r="EW31" s="44">
        <v>41.416226000000002</v>
      </c>
      <c r="EX31" s="44" t="s">
        <v>46</v>
      </c>
      <c r="EY31" s="44" t="s">
        <v>46</v>
      </c>
      <c r="EZ31" s="44">
        <v>37.404580000000003</v>
      </c>
      <c r="FA31" s="44" t="s">
        <v>46</v>
      </c>
      <c r="FB31" s="44" t="s">
        <v>46</v>
      </c>
      <c r="FC31" s="44">
        <v>39.583188999999997</v>
      </c>
      <c r="FD31" s="44" t="s">
        <v>46</v>
      </c>
      <c r="FE31" s="44" t="s">
        <v>46</v>
      </c>
      <c r="FF31" s="44">
        <v>41.442728000000002</v>
      </c>
      <c r="FG31" s="44" t="s">
        <v>46</v>
      </c>
      <c r="FH31" s="44" t="s">
        <v>46</v>
      </c>
      <c r="FI31" s="44">
        <v>44.624586999999998</v>
      </c>
      <c r="FJ31" s="44" t="s">
        <v>46</v>
      </c>
      <c r="FK31" s="44" t="s">
        <v>46</v>
      </c>
      <c r="FL31" s="44">
        <v>49.143427000000003</v>
      </c>
      <c r="FM31" s="44" t="s">
        <v>46</v>
      </c>
      <c r="FN31" s="44" t="s">
        <v>46</v>
      </c>
      <c r="FO31" s="44">
        <v>64.910599000000005</v>
      </c>
      <c r="FP31" s="44" t="s">
        <v>46</v>
      </c>
      <c r="FQ31" s="44" t="s">
        <v>46</v>
      </c>
      <c r="FR31" s="44">
        <f t="shared" si="27"/>
        <v>528.42224700000008</v>
      </c>
      <c r="FS31" s="95">
        <v>527.37503600000002</v>
      </c>
      <c r="FT31" s="44" t="s">
        <v>46</v>
      </c>
      <c r="FU31" s="44" t="s">
        <v>46</v>
      </c>
      <c r="FV31" s="44">
        <v>38.370201000000002</v>
      </c>
      <c r="FW31" s="44" t="s">
        <v>46</v>
      </c>
      <c r="FX31" s="44" t="s">
        <v>46</v>
      </c>
      <c r="FY31" s="44">
        <v>44.798000999999999</v>
      </c>
      <c r="FZ31" s="44" t="s">
        <v>46</v>
      </c>
      <c r="GA31" s="44" t="s">
        <v>46</v>
      </c>
      <c r="GB31" s="44">
        <v>46.035375999999999</v>
      </c>
      <c r="GC31" s="44" t="s">
        <v>46</v>
      </c>
      <c r="GD31" s="44" t="s">
        <v>46</v>
      </c>
      <c r="GE31" s="44">
        <v>46.502153999999997</v>
      </c>
      <c r="GF31" s="44" t="s">
        <v>46</v>
      </c>
      <c r="GG31" s="44" t="s">
        <v>46</v>
      </c>
      <c r="GH31" s="44">
        <v>50.310825000000001</v>
      </c>
      <c r="GI31" s="44" t="s">
        <v>46</v>
      </c>
      <c r="GJ31" s="44" t="s">
        <v>46</v>
      </c>
      <c r="GK31" s="44">
        <v>48.592286000000001</v>
      </c>
      <c r="GL31" s="44" t="s">
        <v>46</v>
      </c>
      <c r="GM31" s="44" t="s">
        <v>46</v>
      </c>
      <c r="GN31" s="44">
        <v>40.175116000000003</v>
      </c>
      <c r="GO31" s="44" t="s">
        <v>46</v>
      </c>
      <c r="GP31" s="44" t="s">
        <v>46</v>
      </c>
      <c r="GQ31" s="44">
        <v>41.172792000000001</v>
      </c>
      <c r="GR31" s="44" t="s">
        <v>46</v>
      </c>
      <c r="GS31" s="44" t="s">
        <v>46</v>
      </c>
      <c r="GT31" s="44">
        <v>41.394463999999999</v>
      </c>
      <c r="GU31" s="44" t="s">
        <v>46</v>
      </c>
      <c r="GV31" s="44" t="s">
        <v>46</v>
      </c>
      <c r="GW31" s="44">
        <v>46.411540000000002</v>
      </c>
      <c r="GX31" s="44" t="s">
        <v>46</v>
      </c>
      <c r="GY31" s="44" t="s">
        <v>46</v>
      </c>
      <c r="GZ31" s="44">
        <v>51.786579000000003</v>
      </c>
      <c r="HA31" s="44" t="s">
        <v>46</v>
      </c>
      <c r="HB31" s="44" t="s">
        <v>46</v>
      </c>
      <c r="HC31" s="44">
        <v>70.374370999999996</v>
      </c>
      <c r="HD31" s="44" t="s">
        <v>46</v>
      </c>
      <c r="HE31" s="44" t="s">
        <v>46</v>
      </c>
      <c r="HF31" s="44">
        <f t="shared" si="30"/>
        <v>565.92370500000004</v>
      </c>
      <c r="HG31" s="44">
        <v>564.647875</v>
      </c>
      <c r="HH31" s="44" t="s">
        <v>46</v>
      </c>
      <c r="HI31" s="44" t="s">
        <v>46</v>
      </c>
      <c r="HJ31" s="44">
        <v>40.097113</v>
      </c>
      <c r="HK31" s="44" t="s">
        <v>46</v>
      </c>
      <c r="HL31" s="44" t="s">
        <v>46</v>
      </c>
      <c r="HM31" s="44">
        <v>46.297437000000002</v>
      </c>
      <c r="HN31" s="44" t="s">
        <v>46</v>
      </c>
      <c r="HO31" s="44" t="s">
        <v>46</v>
      </c>
      <c r="HP31" s="44">
        <v>52.329179000000003</v>
      </c>
      <c r="HQ31" s="44" t="s">
        <v>46</v>
      </c>
      <c r="HR31" s="44" t="s">
        <v>46</v>
      </c>
      <c r="HS31" s="44">
        <v>47.074874000000001</v>
      </c>
      <c r="HT31" s="44" t="s">
        <v>46</v>
      </c>
      <c r="HU31" s="44" t="s">
        <v>46</v>
      </c>
      <c r="HV31" s="44">
        <v>49.893478999999999</v>
      </c>
      <c r="HW31" s="44" t="s">
        <v>46</v>
      </c>
      <c r="HX31" s="44" t="s">
        <v>46</v>
      </c>
      <c r="HY31" s="44">
        <v>51.191409</v>
      </c>
      <c r="HZ31" s="44" t="s">
        <v>46</v>
      </c>
      <c r="IA31" s="44" t="s">
        <v>46</v>
      </c>
      <c r="IB31" s="44">
        <v>46.330868000000002</v>
      </c>
      <c r="IC31" s="44" t="s">
        <v>46</v>
      </c>
      <c r="ID31" s="44" t="s">
        <v>46</v>
      </c>
      <c r="IE31" s="44">
        <v>46.785677999999997</v>
      </c>
      <c r="IF31" s="44" t="s">
        <v>46</v>
      </c>
      <c r="IG31" s="44" t="s">
        <v>46</v>
      </c>
      <c r="IH31" s="44">
        <v>45.493850000000002</v>
      </c>
      <c r="II31" s="44" t="s">
        <v>46</v>
      </c>
      <c r="IJ31" s="44" t="s">
        <v>46</v>
      </c>
      <c r="IK31" s="44">
        <v>52.186889999999998</v>
      </c>
      <c r="IL31" s="44" t="s">
        <v>46</v>
      </c>
      <c r="IM31" s="44" t="s">
        <v>46</v>
      </c>
      <c r="IN31" s="44">
        <v>55.746143000000004</v>
      </c>
      <c r="IO31" s="44" t="s">
        <v>46</v>
      </c>
      <c r="IP31" s="44" t="s">
        <v>46</v>
      </c>
      <c r="IQ31" s="44">
        <v>70.596478000000005</v>
      </c>
      <c r="IR31" s="44" t="s">
        <v>46</v>
      </c>
      <c r="IS31" s="44" t="s">
        <v>46</v>
      </c>
      <c r="IT31" s="50">
        <f t="shared" si="70"/>
        <v>604.02339800000016</v>
      </c>
      <c r="IU31" s="44">
        <v>603.54245400000002</v>
      </c>
      <c r="IV31" s="44" t="s">
        <v>46</v>
      </c>
      <c r="IW31" s="44" t="s">
        <v>46</v>
      </c>
      <c r="IX31" s="50">
        <v>42.948892000000001</v>
      </c>
      <c r="IY31" s="44" t="s">
        <v>46</v>
      </c>
      <c r="IZ31" s="44" t="s">
        <v>46</v>
      </c>
      <c r="JA31" s="50">
        <v>51.830717999999997</v>
      </c>
      <c r="JB31" s="44" t="s">
        <v>46</v>
      </c>
      <c r="JC31" s="44" t="s">
        <v>46</v>
      </c>
      <c r="JD31" s="50">
        <v>51.052106000000002</v>
      </c>
      <c r="JE31" s="44" t="s">
        <v>46</v>
      </c>
      <c r="JF31" s="44" t="s">
        <v>46</v>
      </c>
      <c r="JG31" s="50">
        <v>51.205066000000002</v>
      </c>
      <c r="JH31" s="44" t="s">
        <v>46</v>
      </c>
      <c r="JI31" s="44" t="s">
        <v>46</v>
      </c>
      <c r="JJ31" s="50">
        <v>52.961468000000004</v>
      </c>
      <c r="JK31" s="44" t="s">
        <v>46</v>
      </c>
      <c r="JL31" s="44" t="s">
        <v>46</v>
      </c>
      <c r="JM31" s="50">
        <v>50.202714</v>
      </c>
      <c r="JN31" s="44" t="s">
        <v>46</v>
      </c>
      <c r="JO31" s="44" t="s">
        <v>46</v>
      </c>
      <c r="JP31" s="50">
        <v>47.667653999999999</v>
      </c>
      <c r="JQ31" s="44" t="s">
        <v>46</v>
      </c>
      <c r="JR31" s="44" t="s">
        <v>46</v>
      </c>
      <c r="JS31" s="50">
        <v>45.634436000000001</v>
      </c>
      <c r="JT31" s="44" t="s">
        <v>46</v>
      </c>
      <c r="JU31" s="44" t="s">
        <v>46</v>
      </c>
      <c r="JV31" s="50">
        <v>49.093603999999999</v>
      </c>
      <c r="JW31" s="44" t="s">
        <v>46</v>
      </c>
      <c r="JX31" s="44" t="s">
        <v>46</v>
      </c>
      <c r="JY31" s="50">
        <v>56.959819000000003</v>
      </c>
      <c r="JZ31" s="44" t="s">
        <v>46</v>
      </c>
      <c r="KA31" s="44" t="s">
        <v>46</v>
      </c>
      <c r="KB31" s="50">
        <v>56.062724000000003</v>
      </c>
      <c r="KC31" s="44" t="s">
        <v>46</v>
      </c>
      <c r="KD31" s="44" t="s">
        <v>46</v>
      </c>
      <c r="KE31" s="50">
        <v>73.480052999999998</v>
      </c>
      <c r="KF31" s="44" t="s">
        <v>46</v>
      </c>
      <c r="KG31" s="44" t="s">
        <v>46</v>
      </c>
      <c r="KH31" s="50">
        <f t="shared" si="4"/>
        <v>629.09925399999997</v>
      </c>
      <c r="KI31" s="44">
        <v>628.029043</v>
      </c>
      <c r="KJ31" s="44" t="s">
        <v>46</v>
      </c>
      <c r="KK31" s="44" t="s">
        <v>46</v>
      </c>
      <c r="KL31" s="50">
        <v>42.398502000000001</v>
      </c>
      <c r="KM31" s="44" t="s">
        <v>46</v>
      </c>
      <c r="KN31" s="44" t="s">
        <v>46</v>
      </c>
      <c r="KO31" s="50">
        <v>48.583097000000002</v>
      </c>
      <c r="KP31" s="44" t="s">
        <v>46</v>
      </c>
      <c r="KQ31" s="44" t="s">
        <v>46</v>
      </c>
      <c r="KR31" s="50">
        <v>50.400906999999997</v>
      </c>
      <c r="KS31" s="44" t="s">
        <v>46</v>
      </c>
      <c r="KT31" s="44" t="s">
        <v>46</v>
      </c>
      <c r="KU31" s="50">
        <v>43.150815000000001</v>
      </c>
      <c r="KV31" s="44" t="s">
        <v>46</v>
      </c>
      <c r="KW31" s="44" t="s">
        <v>46</v>
      </c>
      <c r="KX31" s="50">
        <v>35.948821000000002</v>
      </c>
      <c r="KY31" s="44" t="s">
        <v>46</v>
      </c>
      <c r="KZ31" s="44" t="s">
        <v>46</v>
      </c>
      <c r="LA31" s="50">
        <v>38.133031000000003</v>
      </c>
      <c r="LB31" s="44" t="s">
        <v>46</v>
      </c>
      <c r="LC31" s="44" t="s">
        <v>46</v>
      </c>
      <c r="LD31" s="50">
        <v>42.263567999999999</v>
      </c>
      <c r="LE31" s="44"/>
      <c r="LF31" s="44"/>
      <c r="LG31" s="44">
        <v>42.179935</v>
      </c>
      <c r="LH31" s="44" t="s">
        <v>46</v>
      </c>
      <c r="LI31" s="44" t="s">
        <v>46</v>
      </c>
      <c r="LJ31" s="50">
        <v>50.075901000000002</v>
      </c>
      <c r="LK31" s="44" t="s">
        <v>46</v>
      </c>
      <c r="LL31" s="44" t="s">
        <v>46</v>
      </c>
      <c r="LM31" s="50">
        <v>53.499428999999999</v>
      </c>
      <c r="LN31" s="44" t="s">
        <v>46</v>
      </c>
      <c r="LO31" s="44" t="s">
        <v>46</v>
      </c>
      <c r="LP31" s="50">
        <v>54.416894999999997</v>
      </c>
      <c r="LQ31" s="44" t="s">
        <v>46</v>
      </c>
      <c r="LR31" s="44" t="s">
        <v>46</v>
      </c>
      <c r="LS31" s="50">
        <v>71.328733</v>
      </c>
      <c r="LT31" s="44" t="s">
        <v>46</v>
      </c>
      <c r="LU31" s="50" t="s">
        <v>46</v>
      </c>
      <c r="LV31" s="50">
        <f t="shared" si="58"/>
        <v>572.37963400000012</v>
      </c>
      <c r="LW31" s="50">
        <v>571.24685499999998</v>
      </c>
      <c r="LX31" s="44" t="s">
        <v>46</v>
      </c>
      <c r="LY31" s="44" t="s">
        <v>46</v>
      </c>
      <c r="LZ31" s="50">
        <v>34.523944</v>
      </c>
      <c r="MA31" s="44" t="s">
        <v>46</v>
      </c>
      <c r="MB31" s="44" t="s">
        <v>46</v>
      </c>
      <c r="MC31" s="50">
        <v>47.907187999999998</v>
      </c>
      <c r="MD31" s="44" t="s">
        <v>46</v>
      </c>
      <c r="ME31" s="44" t="s">
        <v>46</v>
      </c>
      <c r="MF31" s="50">
        <v>46.909213000000001</v>
      </c>
      <c r="MG31" s="44" t="s">
        <v>46</v>
      </c>
      <c r="MH31" s="44" t="s">
        <v>46</v>
      </c>
      <c r="MI31" s="50">
        <v>44.213636999999999</v>
      </c>
      <c r="MJ31" s="44" t="s">
        <v>46</v>
      </c>
      <c r="MK31" s="44" t="s">
        <v>46</v>
      </c>
      <c r="ML31" s="50">
        <v>44.604087999999997</v>
      </c>
      <c r="MM31" s="44" t="s">
        <v>46</v>
      </c>
      <c r="MN31" s="44" t="s">
        <v>46</v>
      </c>
      <c r="MO31" s="50">
        <v>52.890241000000003</v>
      </c>
      <c r="MP31" s="44" t="s">
        <v>46</v>
      </c>
      <c r="MQ31" s="44" t="s">
        <v>46</v>
      </c>
      <c r="MR31" s="50">
        <v>38.665374999999997</v>
      </c>
      <c r="MS31" s="44" t="s">
        <v>46</v>
      </c>
      <c r="MT31" s="44" t="s">
        <v>46</v>
      </c>
      <c r="MU31" s="50">
        <v>42.597897000000003</v>
      </c>
      <c r="MV31" s="44" t="s">
        <v>46</v>
      </c>
      <c r="MW31" s="44" t="s">
        <v>46</v>
      </c>
      <c r="MX31" s="50">
        <v>44.707861000000001</v>
      </c>
      <c r="MY31" s="44" t="s">
        <v>46</v>
      </c>
      <c r="MZ31" s="44" t="s">
        <v>46</v>
      </c>
      <c r="NA31" s="50">
        <v>54.092117999999999</v>
      </c>
      <c r="NB31" s="44" t="s">
        <v>46</v>
      </c>
      <c r="NC31" s="44" t="s">
        <v>46</v>
      </c>
      <c r="ND31" s="50">
        <v>56.883096999999999</v>
      </c>
      <c r="NE31" s="44" t="s">
        <v>46</v>
      </c>
      <c r="NF31" s="44" t="s">
        <v>46</v>
      </c>
      <c r="NG31" s="50">
        <v>76.462018</v>
      </c>
      <c r="NH31" s="44" t="s">
        <v>46</v>
      </c>
      <c r="NI31" s="50" t="s">
        <v>46</v>
      </c>
      <c r="NJ31" s="50">
        <f t="shared" si="7"/>
        <v>584.4566769999999</v>
      </c>
      <c r="NK31" s="50">
        <v>583.95138399999996</v>
      </c>
      <c r="NL31" s="44" t="s">
        <v>46</v>
      </c>
      <c r="NM31" s="50" t="s">
        <v>46</v>
      </c>
      <c r="NN31" s="50">
        <v>52.517909000000003</v>
      </c>
      <c r="NO31" s="44" t="s">
        <v>46</v>
      </c>
      <c r="NP31" s="50" t="s">
        <v>46</v>
      </c>
      <c r="NQ31" s="50">
        <v>47.451562000000003</v>
      </c>
      <c r="NR31" s="44" t="s">
        <v>46</v>
      </c>
      <c r="NS31" s="50" t="s">
        <v>46</v>
      </c>
      <c r="NT31" s="50">
        <v>53.258076000000003</v>
      </c>
      <c r="NU31" s="44" t="s">
        <v>46</v>
      </c>
      <c r="NV31" s="50" t="s">
        <v>46</v>
      </c>
      <c r="NW31" s="50">
        <v>54.553244999999997</v>
      </c>
      <c r="NX31" s="44" t="s">
        <v>46</v>
      </c>
      <c r="NY31" s="50" t="s">
        <v>46</v>
      </c>
      <c r="NZ31" s="50">
        <v>56.744928999999999</v>
      </c>
      <c r="OA31" s="50" t="s">
        <v>46</v>
      </c>
      <c r="OB31" s="50" t="s">
        <v>46</v>
      </c>
      <c r="OC31" s="50">
        <v>57.261270000000003</v>
      </c>
      <c r="OD31" s="50" t="s">
        <v>46</v>
      </c>
      <c r="OE31" s="50" t="s">
        <v>46</v>
      </c>
      <c r="OF31" s="50">
        <v>52.892513999999998</v>
      </c>
      <c r="OG31" s="50" t="s">
        <v>46</v>
      </c>
      <c r="OH31" s="50" t="s">
        <v>46</v>
      </c>
      <c r="OI31" s="94">
        <v>54.438910999999997</v>
      </c>
      <c r="OJ31" s="50" t="s">
        <v>46</v>
      </c>
      <c r="OK31" s="50" t="s">
        <v>46</v>
      </c>
      <c r="OL31" s="50">
        <v>59.006526000000001</v>
      </c>
      <c r="OM31" s="50" t="s">
        <v>46</v>
      </c>
      <c r="ON31" s="50" t="s">
        <v>46</v>
      </c>
      <c r="OO31" s="50">
        <v>63.774166999999998</v>
      </c>
      <c r="OP31" s="50" t="s">
        <v>46</v>
      </c>
      <c r="OQ31" s="50" t="s">
        <v>46</v>
      </c>
      <c r="OR31" s="50">
        <v>73.028248000000005</v>
      </c>
      <c r="OS31" s="50" t="s">
        <v>46</v>
      </c>
      <c r="OT31" s="50" t="s">
        <v>46</v>
      </c>
      <c r="OU31" s="50">
        <v>95.279291999999998</v>
      </c>
      <c r="OV31" s="44" t="s">
        <v>46</v>
      </c>
      <c r="OW31" s="50" t="s">
        <v>46</v>
      </c>
      <c r="OX31" s="50">
        <f t="shared" si="9"/>
        <v>720.20664899999997</v>
      </c>
      <c r="OY31" s="50">
        <v>719.65534700000001</v>
      </c>
      <c r="OZ31" s="44" t="s">
        <v>46</v>
      </c>
      <c r="PA31" s="50" t="s">
        <v>46</v>
      </c>
      <c r="PB31" s="50">
        <v>68.916055</v>
      </c>
      <c r="PC31" s="44" t="s">
        <v>46</v>
      </c>
      <c r="PD31" s="50" t="s">
        <v>46</v>
      </c>
      <c r="PE31" s="50">
        <v>70.657732999999993</v>
      </c>
      <c r="PF31" s="44" t="s">
        <v>46</v>
      </c>
      <c r="PG31" s="50" t="s">
        <v>46</v>
      </c>
      <c r="PH31" s="50">
        <v>74.456280000000007</v>
      </c>
      <c r="PI31" s="44" t="s">
        <v>46</v>
      </c>
      <c r="PJ31" s="50" t="s">
        <v>46</v>
      </c>
      <c r="PK31" s="50">
        <v>66.225182000000004</v>
      </c>
      <c r="PL31" s="44" t="s">
        <v>46</v>
      </c>
      <c r="PM31" s="50" t="s">
        <v>46</v>
      </c>
      <c r="PN31" s="50">
        <v>63.088377999999999</v>
      </c>
      <c r="PO31" s="44" t="s">
        <v>46</v>
      </c>
      <c r="PP31" s="50" t="s">
        <v>46</v>
      </c>
      <c r="PQ31" s="50">
        <v>59.923998000000005</v>
      </c>
      <c r="PR31" s="44" t="s">
        <v>46</v>
      </c>
      <c r="PS31" s="50" t="s">
        <v>46</v>
      </c>
      <c r="PT31" s="50">
        <v>58.424937999999997</v>
      </c>
      <c r="PU31" s="44" t="s">
        <v>46</v>
      </c>
      <c r="PV31" s="50" t="s">
        <v>46</v>
      </c>
      <c r="PW31" s="50">
        <v>61.177526999999998</v>
      </c>
      <c r="PX31" s="44" t="s">
        <v>46</v>
      </c>
      <c r="PY31" s="50" t="s">
        <v>46</v>
      </c>
      <c r="PZ31" s="50">
        <v>61.469361999999997</v>
      </c>
      <c r="QA31" s="44" t="s">
        <v>46</v>
      </c>
      <c r="QB31" s="50" t="s">
        <v>46</v>
      </c>
      <c r="QC31" s="50">
        <v>64.330834999999993</v>
      </c>
      <c r="QD31" s="44" t="s">
        <v>46</v>
      </c>
      <c r="QE31" s="50" t="s">
        <v>46</v>
      </c>
      <c r="QF31" s="50">
        <v>76.972211000000001</v>
      </c>
      <c r="QG31" s="44" t="s">
        <v>46</v>
      </c>
      <c r="QH31" s="50" t="s">
        <v>46</v>
      </c>
      <c r="QI31" s="50">
        <v>106.90467599999999</v>
      </c>
      <c r="QJ31" s="44" t="s">
        <v>46</v>
      </c>
      <c r="QK31" s="50" t="s">
        <v>46</v>
      </c>
      <c r="QL31" s="50">
        <f t="shared" si="40"/>
        <v>832.54717500000004</v>
      </c>
      <c r="QM31" s="50">
        <v>831.322901</v>
      </c>
      <c r="QN31" s="44" t="s">
        <v>46</v>
      </c>
      <c r="QO31" s="50" t="s">
        <v>46</v>
      </c>
      <c r="QP31" s="50">
        <v>55.461373000000002</v>
      </c>
      <c r="QQ31" s="44" t="s">
        <v>46</v>
      </c>
      <c r="QR31" s="50" t="s">
        <v>46</v>
      </c>
      <c r="QS31" s="50">
        <v>73.688157000000004</v>
      </c>
      <c r="QT31" s="44" t="s">
        <v>46</v>
      </c>
      <c r="QU31" s="50" t="s">
        <v>46</v>
      </c>
      <c r="QV31" s="50">
        <v>59.115394000000002</v>
      </c>
      <c r="QW31" s="44" t="s">
        <v>46</v>
      </c>
      <c r="QX31" s="50" t="s">
        <v>46</v>
      </c>
      <c r="QY31" s="50">
        <v>68.888490000000004</v>
      </c>
      <c r="QZ31" s="44" t="s">
        <v>46</v>
      </c>
      <c r="RA31" s="50" t="s">
        <v>46</v>
      </c>
      <c r="RB31" s="50">
        <v>63.581448999999999</v>
      </c>
      <c r="RC31" s="44" t="s">
        <v>46</v>
      </c>
      <c r="RD31" s="50" t="s">
        <v>46</v>
      </c>
      <c r="RE31" s="50">
        <v>61.043841</v>
      </c>
      <c r="RF31" s="44" t="s">
        <v>46</v>
      </c>
      <c r="RG31" s="50" t="s">
        <v>46</v>
      </c>
      <c r="RH31" s="50">
        <v>60.446829999999999</v>
      </c>
      <c r="RI31" s="44" t="s">
        <v>46</v>
      </c>
      <c r="RJ31" s="50" t="s">
        <v>46</v>
      </c>
      <c r="RK31" s="50">
        <v>54.419103999999997</v>
      </c>
      <c r="RL31" s="44" t="s">
        <v>46</v>
      </c>
      <c r="RM31" s="50" t="s">
        <v>46</v>
      </c>
      <c r="RN31" s="50">
        <v>56.536045000000001</v>
      </c>
      <c r="RO31" s="44" t="s">
        <v>46</v>
      </c>
      <c r="RP31" s="50" t="s">
        <v>46</v>
      </c>
      <c r="RQ31" s="50">
        <v>71.753658999999999</v>
      </c>
      <c r="RR31" s="44" t="s">
        <v>46</v>
      </c>
      <c r="RS31" s="50" t="s">
        <v>46</v>
      </c>
      <c r="RT31" s="50">
        <v>69.531398999999993</v>
      </c>
      <c r="RU31" s="44" t="s">
        <v>46</v>
      </c>
      <c r="RV31" s="50" t="s">
        <v>46</v>
      </c>
      <c r="RW31" s="50">
        <v>93.868606999999997</v>
      </c>
      <c r="RX31" s="44" t="s">
        <v>46</v>
      </c>
      <c r="RY31" s="50" t="s">
        <v>46</v>
      </c>
      <c r="RZ31" s="50">
        <f t="shared" si="43"/>
        <v>788.33434799999998</v>
      </c>
      <c r="SA31" s="50">
        <v>787.18783199999996</v>
      </c>
      <c r="SB31" s="44" t="s">
        <v>46</v>
      </c>
      <c r="SC31" s="50" t="s">
        <v>46</v>
      </c>
      <c r="SD31" s="50">
        <v>54.651755000000001</v>
      </c>
      <c r="SE31" s="44" t="s">
        <v>46</v>
      </c>
      <c r="SF31" s="50" t="s">
        <v>46</v>
      </c>
      <c r="SG31" s="50">
        <v>65.053567000000001</v>
      </c>
      <c r="SH31" s="44" t="s">
        <v>46</v>
      </c>
      <c r="SI31" s="50" t="s">
        <v>46</v>
      </c>
      <c r="SJ31" s="50">
        <v>67.811498999999998</v>
      </c>
      <c r="SK31" s="44" t="s">
        <v>46</v>
      </c>
      <c r="SL31" s="50" t="s">
        <v>46</v>
      </c>
      <c r="SM31" s="50">
        <v>70.543147000000005</v>
      </c>
      <c r="SN31" s="44" t="s">
        <v>46</v>
      </c>
      <c r="SO31" s="50" t="s">
        <v>46</v>
      </c>
      <c r="SP31" s="50">
        <v>61.749234000000001</v>
      </c>
      <c r="SQ31" s="50" t="s">
        <v>46</v>
      </c>
      <c r="SR31" s="50" t="s">
        <v>46</v>
      </c>
      <c r="SS31" s="50">
        <v>67.624804999999995</v>
      </c>
      <c r="ST31" s="50" t="s">
        <v>46</v>
      </c>
      <c r="SU31" s="50" t="s">
        <v>46</v>
      </c>
      <c r="SV31" s="50">
        <v>59.599536000000001</v>
      </c>
      <c r="SW31" s="50" t="s">
        <v>46</v>
      </c>
      <c r="SX31" s="50" t="s">
        <v>46</v>
      </c>
      <c r="SY31" s="50">
        <v>60.464378000000004</v>
      </c>
      <c r="SZ31" s="50" t="s">
        <v>46</v>
      </c>
      <c r="TA31" s="50" t="s">
        <v>46</v>
      </c>
      <c r="TB31" s="50">
        <v>66.104416999999998</v>
      </c>
      <c r="TC31" s="50" t="s">
        <v>46</v>
      </c>
      <c r="TD31" s="50" t="s">
        <v>46</v>
      </c>
      <c r="TE31" s="50">
        <v>71.194062000000002</v>
      </c>
      <c r="TF31" s="50" t="s">
        <v>46</v>
      </c>
      <c r="TG31" s="50" t="s">
        <v>46</v>
      </c>
      <c r="TH31" s="50">
        <v>77.096620999999999</v>
      </c>
      <c r="TI31" s="50" t="s">
        <v>46</v>
      </c>
      <c r="TJ31" s="50" t="s">
        <v>46</v>
      </c>
      <c r="TK31" s="50">
        <v>96.153473000000048</v>
      </c>
      <c r="TL31" s="44" t="s">
        <v>46</v>
      </c>
      <c r="TM31" s="50" t="s">
        <v>46</v>
      </c>
      <c r="TN31" s="50">
        <f t="shared" si="47"/>
        <v>818.04649400000017</v>
      </c>
      <c r="TO31" s="44" t="s">
        <v>46</v>
      </c>
      <c r="TP31" s="50" t="s">
        <v>46</v>
      </c>
      <c r="TQ31" s="50">
        <v>54.971390000000007</v>
      </c>
      <c r="TR31" s="44" t="s">
        <v>46</v>
      </c>
      <c r="TS31" s="50" t="s">
        <v>46</v>
      </c>
      <c r="TT31" s="50">
        <v>74.94468599999999</v>
      </c>
      <c r="TU31" s="44" t="s">
        <v>46</v>
      </c>
      <c r="TV31" s="50" t="s">
        <v>46</v>
      </c>
      <c r="TW31" s="50">
        <v>79.915592999999987</v>
      </c>
      <c r="TX31" s="44" t="s">
        <v>46</v>
      </c>
      <c r="TY31" s="50" t="s">
        <v>46</v>
      </c>
      <c r="TZ31" s="50">
        <v>68.481391000000002</v>
      </c>
      <c r="UA31" s="50"/>
      <c r="UB31" s="50"/>
      <c r="UC31" s="50"/>
      <c r="UD31" s="50"/>
      <c r="UE31" s="50"/>
      <c r="UF31" s="50"/>
      <c r="UG31" s="50"/>
      <c r="UH31" s="50"/>
      <c r="UI31" s="50"/>
      <c r="UJ31" s="50"/>
      <c r="UK31" s="50"/>
      <c r="UL31" s="50"/>
      <c r="UM31" s="50"/>
      <c r="UN31" s="50"/>
      <c r="UO31" s="50"/>
      <c r="UP31" s="50"/>
      <c r="UQ31" s="50"/>
      <c r="UR31" s="50"/>
      <c r="US31" s="50"/>
      <c r="UT31" s="50"/>
      <c r="UU31" s="50"/>
      <c r="UV31" s="50"/>
      <c r="UW31" s="50"/>
      <c r="UX31" s="50"/>
      <c r="UY31" s="292" t="s">
        <v>46</v>
      </c>
      <c r="UZ31" s="276" t="s">
        <v>46</v>
      </c>
      <c r="VA31" s="276">
        <f t="shared" si="52"/>
        <v>258.05996800000003</v>
      </c>
      <c r="VB31" s="292" t="s">
        <v>46</v>
      </c>
      <c r="VC31" s="276" t="s">
        <v>46</v>
      </c>
      <c r="VD31" s="276">
        <f t="shared" si="55"/>
        <v>278.31306000000001</v>
      </c>
      <c r="VE31" s="277">
        <f t="shared" si="56"/>
        <v>20.253091999999981</v>
      </c>
      <c r="VF31" s="277">
        <f t="shared" si="57"/>
        <v>7.8482114668788796</v>
      </c>
    </row>
    <row r="32" spans="1:578" s="12" customFormat="1" ht="22.5" customHeight="1">
      <c r="A32" s="46" t="s">
        <v>129</v>
      </c>
      <c r="B32" s="13" t="s">
        <v>130</v>
      </c>
      <c r="C32" s="46" t="s">
        <v>131</v>
      </c>
      <c r="D32" s="42">
        <v>15.227710713086436</v>
      </c>
      <c r="E32" s="42">
        <v>25.189757030409609</v>
      </c>
      <c r="F32" s="42">
        <v>33.681666581294358</v>
      </c>
      <c r="G32" s="42">
        <v>38.274760815248641</v>
      </c>
      <c r="H32" s="42">
        <v>8.1213168963181754</v>
      </c>
      <c r="I32" s="42">
        <v>1.3270115138786915</v>
      </c>
      <c r="J32" s="42">
        <v>1.5797989197557212</v>
      </c>
      <c r="K32" s="42">
        <v>7.0892425199628919</v>
      </c>
      <c r="L32" s="42">
        <v>1.522383196453065</v>
      </c>
      <c r="M32" s="42">
        <v>1.6772798675021769</v>
      </c>
      <c r="N32" s="42">
        <v>7.2118186578334793</v>
      </c>
      <c r="O32" s="42">
        <v>1.4380951161347972</v>
      </c>
      <c r="P32" s="42">
        <v>1.6737767571043993</v>
      </c>
      <c r="Q32" s="42">
        <v>6.8092910683490704</v>
      </c>
      <c r="R32" s="42">
        <v>1.3930598004564574</v>
      </c>
      <c r="S32" s="42">
        <v>2.3281725772761677</v>
      </c>
      <c r="T32" s="44" t="s">
        <v>46</v>
      </c>
      <c r="U32" s="44" t="s">
        <v>46</v>
      </c>
      <c r="V32" s="42">
        <v>42.171246891025085</v>
      </c>
      <c r="W32" s="42">
        <v>42.180469946101617</v>
      </c>
      <c r="X32" s="42">
        <v>6.746377368370128</v>
      </c>
      <c r="Y32" s="42">
        <v>1.364756034399349</v>
      </c>
      <c r="Z32" s="42">
        <v>1.3432379440071485</v>
      </c>
      <c r="AA32" s="42">
        <v>6.3413042612164983</v>
      </c>
      <c r="AB32" s="42">
        <v>1.5478910194022799</v>
      </c>
      <c r="AC32" s="42">
        <v>1.8107722779039392</v>
      </c>
      <c r="AD32" s="42">
        <v>8.033216942419223</v>
      </c>
      <c r="AE32" s="42">
        <v>3.0433264466337699</v>
      </c>
      <c r="AF32" s="42">
        <v>3.4088152600155945</v>
      </c>
      <c r="AG32" s="42">
        <v>7.527381745123817</v>
      </c>
      <c r="AH32" s="42">
        <v>2.9933907604396106</v>
      </c>
      <c r="AI32" s="42">
        <v>4.1703362530662886</v>
      </c>
      <c r="AJ32" s="42">
        <v>0</v>
      </c>
      <c r="AK32" s="42">
        <v>0</v>
      </c>
      <c r="AL32" s="42">
        <v>48.330806312997652</v>
      </c>
      <c r="AM32" s="42">
        <v>48.340840405006233</v>
      </c>
      <c r="AN32" s="42">
        <v>7.1432618482535686</v>
      </c>
      <c r="AO32" s="42">
        <v>2.8884169697383624</v>
      </c>
      <c r="AP32" s="42">
        <v>2.9022515523531456</v>
      </c>
      <c r="AQ32" s="42">
        <v>6.4804895817326029</v>
      </c>
      <c r="AR32" s="42">
        <v>3.0483235724327122</v>
      </c>
      <c r="AS32" s="42">
        <v>3.1473369531192197</v>
      </c>
      <c r="AT32" s="42">
        <v>6.0824383469644463</v>
      </c>
      <c r="AU32" s="42">
        <v>2.8969214745505147</v>
      </c>
      <c r="AV32" s="42">
        <v>3.0900037563815803</v>
      </c>
      <c r="AW32" s="42">
        <v>5.55582637549018</v>
      </c>
      <c r="AX32" s="42">
        <v>2.8959325786421251</v>
      </c>
      <c r="AY32" s="42">
        <v>3.2904422854736173</v>
      </c>
      <c r="AZ32" s="44" t="s">
        <v>46</v>
      </c>
      <c r="BA32" s="44" t="s">
        <v>46</v>
      </c>
      <c r="BB32" s="42">
        <v>49.421645295132073</v>
      </c>
      <c r="BC32" s="42">
        <v>49.414280510640239</v>
      </c>
      <c r="BD32" s="49" t="s">
        <v>46</v>
      </c>
      <c r="BE32" s="49" t="s">
        <v>46</v>
      </c>
      <c r="BF32" s="49">
        <v>7.9765639999999998</v>
      </c>
      <c r="BG32" s="49" t="s">
        <v>46</v>
      </c>
      <c r="BH32" s="49" t="s">
        <v>46</v>
      </c>
      <c r="BI32" s="44">
        <v>4.1255600000000001</v>
      </c>
      <c r="BJ32" s="49" t="s">
        <v>46</v>
      </c>
      <c r="BK32" s="49" t="s">
        <v>46</v>
      </c>
      <c r="BL32" s="44">
        <v>4.1265609999999997</v>
      </c>
      <c r="BM32" s="49" t="s">
        <v>46</v>
      </c>
      <c r="BN32" s="49" t="s">
        <v>46</v>
      </c>
      <c r="BO32" s="44">
        <v>6.3887960000000001</v>
      </c>
      <c r="BP32" s="49" t="s">
        <v>46</v>
      </c>
      <c r="BQ32" s="49" t="s">
        <v>46</v>
      </c>
      <c r="BR32" s="44">
        <v>4.3849020000000003</v>
      </c>
      <c r="BS32" s="49" t="s">
        <v>46</v>
      </c>
      <c r="BT32" s="49" t="s">
        <v>46</v>
      </c>
      <c r="BU32" s="44">
        <v>4.2334800000000001</v>
      </c>
      <c r="BV32" s="49" t="s">
        <v>46</v>
      </c>
      <c r="BW32" s="49" t="s">
        <v>46</v>
      </c>
      <c r="BX32" s="44">
        <v>6.2874109999999996</v>
      </c>
      <c r="BY32" s="49" t="s">
        <v>46</v>
      </c>
      <c r="BZ32" s="49" t="s">
        <v>46</v>
      </c>
      <c r="CA32" s="44">
        <v>4.1301290000000002</v>
      </c>
      <c r="CB32" s="49" t="s">
        <v>46</v>
      </c>
      <c r="CC32" s="49" t="s">
        <v>46</v>
      </c>
      <c r="CD32" s="44">
        <v>4.5473179999999997</v>
      </c>
      <c r="CE32" s="49" t="s">
        <v>46</v>
      </c>
      <c r="CF32" s="49" t="s">
        <v>46</v>
      </c>
      <c r="CG32" s="44">
        <v>5.921106</v>
      </c>
      <c r="CH32" s="49" t="s">
        <v>46</v>
      </c>
      <c r="CI32" s="49" t="s">
        <v>46</v>
      </c>
      <c r="CJ32" s="44">
        <v>2.7577430000000001</v>
      </c>
      <c r="CK32" s="49" t="s">
        <v>46</v>
      </c>
      <c r="CL32" s="49" t="s">
        <v>46</v>
      </c>
      <c r="CM32" s="44">
        <v>4.4893929999999997</v>
      </c>
      <c r="CN32" s="50"/>
      <c r="CO32" s="50"/>
      <c r="CP32" s="50">
        <f t="shared" si="21"/>
        <v>59.368962999999994</v>
      </c>
      <c r="CQ32" s="52">
        <v>59.211871000000002</v>
      </c>
      <c r="CR32" s="49" t="s">
        <v>46</v>
      </c>
      <c r="CS32" s="49" t="s">
        <v>46</v>
      </c>
      <c r="CT32" s="44">
        <v>5.6153060000000004</v>
      </c>
      <c r="CU32" s="49" t="s">
        <v>46</v>
      </c>
      <c r="CV32" s="49" t="s">
        <v>46</v>
      </c>
      <c r="CW32" s="49">
        <v>5.2884190000000002</v>
      </c>
      <c r="CX32" s="49" t="s">
        <v>46</v>
      </c>
      <c r="CY32" s="49" t="s">
        <v>46</v>
      </c>
      <c r="CZ32" s="49">
        <v>3.9916969999999998</v>
      </c>
      <c r="DA32" s="49" t="s">
        <v>46</v>
      </c>
      <c r="DB32" s="49" t="s">
        <v>46</v>
      </c>
      <c r="DC32" s="49">
        <v>5.3170609999999998</v>
      </c>
      <c r="DD32" s="49" t="s">
        <v>46</v>
      </c>
      <c r="DE32" s="49" t="s">
        <v>46</v>
      </c>
      <c r="DF32" s="49">
        <v>4.0669769999999996</v>
      </c>
      <c r="DG32" s="49" t="s">
        <v>46</v>
      </c>
      <c r="DH32" s="49" t="s">
        <v>46</v>
      </c>
      <c r="DI32" s="49">
        <v>4.1057009999999998</v>
      </c>
      <c r="DJ32" s="49" t="s">
        <v>46</v>
      </c>
      <c r="DK32" s="49" t="s">
        <v>46</v>
      </c>
      <c r="DL32" s="49">
        <v>5.1012339999999998</v>
      </c>
      <c r="DM32" s="49" t="s">
        <v>46</v>
      </c>
      <c r="DN32" s="49" t="s">
        <v>46</v>
      </c>
      <c r="DO32" s="49">
        <v>3.9030770000000001</v>
      </c>
      <c r="DP32" s="49" t="s">
        <v>46</v>
      </c>
      <c r="DQ32" s="49" t="s">
        <v>46</v>
      </c>
      <c r="DR32" s="49">
        <v>4.4331449999999997</v>
      </c>
      <c r="DS32" s="49" t="s">
        <v>46</v>
      </c>
      <c r="DT32" s="49" t="s">
        <v>46</v>
      </c>
      <c r="DU32" s="49">
        <v>4.8295110000000001</v>
      </c>
      <c r="DV32" s="49" t="s">
        <v>46</v>
      </c>
      <c r="DW32" s="49" t="s">
        <v>46</v>
      </c>
      <c r="DX32" s="49">
        <v>3.9871460000000001</v>
      </c>
      <c r="DY32" s="49" t="s">
        <v>46</v>
      </c>
      <c r="DZ32" s="49" t="s">
        <v>46</v>
      </c>
      <c r="EA32" s="44">
        <v>4.2682039999999999</v>
      </c>
      <c r="EB32" s="49" t="s">
        <v>46</v>
      </c>
      <c r="EC32" s="49" t="s">
        <v>46</v>
      </c>
      <c r="ED32" s="44">
        <f t="shared" si="24"/>
        <v>54.907478000000005</v>
      </c>
      <c r="EE32" s="140">
        <v>54.723568</v>
      </c>
      <c r="EF32" s="44" t="s">
        <v>46</v>
      </c>
      <c r="EG32" s="44" t="s">
        <v>46</v>
      </c>
      <c r="EH32" s="44">
        <v>4.6123479999999999</v>
      </c>
      <c r="EI32" s="44" t="s">
        <v>46</v>
      </c>
      <c r="EJ32" s="44" t="s">
        <v>46</v>
      </c>
      <c r="EK32" s="44">
        <v>3.8745989999999999</v>
      </c>
      <c r="EL32" s="44" t="s">
        <v>46</v>
      </c>
      <c r="EM32" s="44" t="s">
        <v>46</v>
      </c>
      <c r="EN32" s="44">
        <v>3.87087</v>
      </c>
      <c r="EO32" s="44" t="s">
        <v>46</v>
      </c>
      <c r="EP32" s="44" t="s">
        <v>46</v>
      </c>
      <c r="EQ32" s="44">
        <v>4.5237470000000002</v>
      </c>
      <c r="ER32" s="44" t="s">
        <v>46</v>
      </c>
      <c r="ES32" s="44" t="s">
        <v>46</v>
      </c>
      <c r="ET32" s="44">
        <v>2.6661589999999999</v>
      </c>
      <c r="EU32" s="44" t="s">
        <v>46</v>
      </c>
      <c r="EV32" s="44" t="s">
        <v>46</v>
      </c>
      <c r="EW32" s="44">
        <v>5.2858260000000001</v>
      </c>
      <c r="EX32" s="44" t="s">
        <v>46</v>
      </c>
      <c r="EY32" s="44" t="s">
        <v>46</v>
      </c>
      <c r="EZ32" s="44">
        <v>4.4487439999999996</v>
      </c>
      <c r="FA32" s="44" t="s">
        <v>46</v>
      </c>
      <c r="FB32" s="44" t="s">
        <v>46</v>
      </c>
      <c r="FC32" s="44">
        <v>3.9033500000000001</v>
      </c>
      <c r="FD32" s="44" t="s">
        <v>46</v>
      </c>
      <c r="FE32" s="44" t="s">
        <v>46</v>
      </c>
      <c r="FF32" s="44">
        <v>3.9539490000000002</v>
      </c>
      <c r="FG32" s="44" t="s">
        <v>46</v>
      </c>
      <c r="FH32" s="44" t="s">
        <v>46</v>
      </c>
      <c r="FI32" s="44">
        <v>4.34443</v>
      </c>
      <c r="FJ32" s="44" t="s">
        <v>46</v>
      </c>
      <c r="FK32" s="44" t="s">
        <v>46</v>
      </c>
      <c r="FL32" s="44">
        <v>3.9269880000000001</v>
      </c>
      <c r="FM32" s="44" t="s">
        <v>46</v>
      </c>
      <c r="FN32" s="44" t="s">
        <v>46</v>
      </c>
      <c r="FO32" s="44">
        <v>3.981252</v>
      </c>
      <c r="FP32" s="44" t="s">
        <v>46</v>
      </c>
      <c r="FQ32" s="44" t="s">
        <v>46</v>
      </c>
      <c r="FR32" s="44">
        <f t="shared" si="27"/>
        <v>49.392262000000009</v>
      </c>
      <c r="FS32" s="95">
        <v>49.369073</v>
      </c>
      <c r="FT32" s="44" t="s">
        <v>46</v>
      </c>
      <c r="FU32" s="44" t="s">
        <v>46</v>
      </c>
      <c r="FV32" s="44">
        <v>4.1425809999999998</v>
      </c>
      <c r="FW32" s="44" t="s">
        <v>46</v>
      </c>
      <c r="FX32" s="44" t="s">
        <v>46</v>
      </c>
      <c r="FY32" s="44">
        <v>3.759566</v>
      </c>
      <c r="FZ32" s="44" t="s">
        <v>46</v>
      </c>
      <c r="GA32" s="44" t="s">
        <v>46</v>
      </c>
      <c r="GB32" s="44">
        <v>3.759223</v>
      </c>
      <c r="GC32" s="44" t="s">
        <v>46</v>
      </c>
      <c r="GD32" s="44" t="s">
        <v>46</v>
      </c>
      <c r="GE32" s="44">
        <v>4.0658190000000003</v>
      </c>
      <c r="GF32" s="44" t="s">
        <v>46</v>
      </c>
      <c r="GG32" s="44" t="s">
        <v>46</v>
      </c>
      <c r="GH32" s="44">
        <v>3.8068240000000002</v>
      </c>
      <c r="GI32" s="44" t="s">
        <v>46</v>
      </c>
      <c r="GJ32" s="44" t="s">
        <v>46</v>
      </c>
      <c r="GK32" s="44">
        <v>3.7798120000000002</v>
      </c>
      <c r="GL32" s="44" t="s">
        <v>46</v>
      </c>
      <c r="GM32" s="44" t="s">
        <v>46</v>
      </c>
      <c r="GN32" s="44">
        <v>4.0546179999999996</v>
      </c>
      <c r="GO32" s="44" t="s">
        <v>46</v>
      </c>
      <c r="GP32" s="44" t="s">
        <v>46</v>
      </c>
      <c r="GQ32" s="44">
        <v>3.755204</v>
      </c>
      <c r="GR32" s="44" t="s">
        <v>46</v>
      </c>
      <c r="GS32" s="44" t="s">
        <v>46</v>
      </c>
      <c r="GT32" s="44">
        <v>3.7800220000000002</v>
      </c>
      <c r="GU32" s="44" t="s">
        <v>46</v>
      </c>
      <c r="GV32" s="44" t="s">
        <v>46</v>
      </c>
      <c r="GW32" s="44">
        <v>4.044187</v>
      </c>
      <c r="GX32" s="44" t="s">
        <v>46</v>
      </c>
      <c r="GY32" s="44" t="s">
        <v>46</v>
      </c>
      <c r="GZ32" s="44">
        <v>3.7564500000000001</v>
      </c>
      <c r="HA32" s="44" t="s">
        <v>46</v>
      </c>
      <c r="HB32" s="44" t="s">
        <v>46</v>
      </c>
      <c r="HC32" s="44">
        <v>3.8126319999999998</v>
      </c>
      <c r="HD32" s="44" t="s">
        <v>46</v>
      </c>
      <c r="HE32" s="44" t="s">
        <v>46</v>
      </c>
      <c r="HF32" s="44">
        <f t="shared" si="30"/>
        <v>46.516938000000003</v>
      </c>
      <c r="HG32" s="44">
        <v>46.475166000000002</v>
      </c>
      <c r="HH32" s="44" t="s">
        <v>46</v>
      </c>
      <c r="HI32" s="44" t="s">
        <v>46</v>
      </c>
      <c r="HJ32" s="44">
        <v>3.9230480000000001</v>
      </c>
      <c r="HK32" s="44" t="s">
        <v>46</v>
      </c>
      <c r="HL32" s="44" t="s">
        <v>46</v>
      </c>
      <c r="HM32" s="44">
        <v>3.616689</v>
      </c>
      <c r="HN32" s="44" t="s">
        <v>46</v>
      </c>
      <c r="HO32" s="44" t="s">
        <v>46</v>
      </c>
      <c r="HP32" s="44">
        <v>3.6160480000000002</v>
      </c>
      <c r="HQ32" s="44" t="s">
        <v>46</v>
      </c>
      <c r="HR32" s="44" t="s">
        <v>46</v>
      </c>
      <c r="HS32" s="44">
        <v>3.9247589999999999</v>
      </c>
      <c r="HT32" s="44" t="s">
        <v>46</v>
      </c>
      <c r="HU32" s="44" t="s">
        <v>46</v>
      </c>
      <c r="HV32" s="44">
        <v>3.6442570000000001</v>
      </c>
      <c r="HW32" s="44" t="s">
        <v>46</v>
      </c>
      <c r="HX32" s="44" t="s">
        <v>46</v>
      </c>
      <c r="HY32" s="44">
        <v>3.6306569999999998</v>
      </c>
      <c r="HZ32" s="44" t="s">
        <v>46</v>
      </c>
      <c r="IA32" s="44" t="s">
        <v>46</v>
      </c>
      <c r="IB32" s="44">
        <v>3.9115380000000002</v>
      </c>
      <c r="IC32" s="44" t="s">
        <v>46</v>
      </c>
      <c r="ID32" s="44" t="s">
        <v>46</v>
      </c>
      <c r="IE32" s="44">
        <v>3.6152199999999999</v>
      </c>
      <c r="IF32" s="44" t="s">
        <v>46</v>
      </c>
      <c r="IG32" s="44" t="s">
        <v>46</v>
      </c>
      <c r="IH32" s="44">
        <v>3.618887</v>
      </c>
      <c r="II32" s="44" t="s">
        <v>46</v>
      </c>
      <c r="IJ32" s="44" t="s">
        <v>46</v>
      </c>
      <c r="IK32" s="44">
        <v>3.8853409999999999</v>
      </c>
      <c r="IL32" s="44" t="s">
        <v>46</v>
      </c>
      <c r="IM32" s="44" t="s">
        <v>46</v>
      </c>
      <c r="IN32" s="44">
        <v>3.615046</v>
      </c>
      <c r="IO32" s="44" t="s">
        <v>46</v>
      </c>
      <c r="IP32" s="44" t="s">
        <v>46</v>
      </c>
      <c r="IQ32" s="44">
        <v>3.6198320000000002</v>
      </c>
      <c r="IR32" s="44" t="s">
        <v>46</v>
      </c>
      <c r="IS32" s="44" t="s">
        <v>46</v>
      </c>
      <c r="IT32" s="50">
        <f t="shared" si="70"/>
        <v>44.621321999999999</v>
      </c>
      <c r="IU32" s="44">
        <v>44.567664000000001</v>
      </c>
      <c r="IV32" s="44" t="s">
        <v>46</v>
      </c>
      <c r="IW32" s="44" t="s">
        <v>46</v>
      </c>
      <c r="IX32" s="50">
        <v>3.7383289999999998</v>
      </c>
      <c r="IY32" s="44" t="s">
        <v>46</v>
      </c>
      <c r="IZ32" s="44" t="s">
        <v>46</v>
      </c>
      <c r="JA32" s="50">
        <v>3.4670290000000001</v>
      </c>
      <c r="JB32" s="44" t="s">
        <v>46</v>
      </c>
      <c r="JC32" s="44" t="s">
        <v>46</v>
      </c>
      <c r="JD32" s="50">
        <v>3.4668580000000002</v>
      </c>
      <c r="JE32" s="44" t="s">
        <v>46</v>
      </c>
      <c r="JF32" s="44" t="s">
        <v>46</v>
      </c>
      <c r="JG32" s="50">
        <v>3.737708</v>
      </c>
      <c r="JH32" s="44" t="s">
        <v>46</v>
      </c>
      <c r="JI32" s="44" t="s">
        <v>46</v>
      </c>
      <c r="JJ32" s="50">
        <v>3.4902899999999999</v>
      </c>
      <c r="JK32" s="44" t="s">
        <v>46</v>
      </c>
      <c r="JL32" s="44" t="s">
        <v>46</v>
      </c>
      <c r="JM32" s="50">
        <v>3.466405</v>
      </c>
      <c r="JN32" s="44" t="s">
        <v>46</v>
      </c>
      <c r="JO32" s="44" t="s">
        <v>46</v>
      </c>
      <c r="JP32" s="50">
        <v>3.754912</v>
      </c>
      <c r="JQ32" s="44" t="s">
        <v>46</v>
      </c>
      <c r="JR32" s="44" t="s">
        <v>46</v>
      </c>
      <c r="JS32" s="50">
        <v>3.4659689999999999</v>
      </c>
      <c r="JT32" s="44" t="s">
        <v>46</v>
      </c>
      <c r="JU32" s="44" t="s">
        <v>46</v>
      </c>
      <c r="JV32" s="50">
        <v>3.4699659999999999</v>
      </c>
      <c r="JW32" s="44" t="s">
        <v>46</v>
      </c>
      <c r="JX32" s="44" t="s">
        <v>46</v>
      </c>
      <c r="JY32" s="50">
        <v>3.7372589999999999</v>
      </c>
      <c r="JZ32" s="44" t="s">
        <v>46</v>
      </c>
      <c r="KA32" s="44" t="s">
        <v>46</v>
      </c>
      <c r="KB32" s="50">
        <v>3.4722520000000001</v>
      </c>
      <c r="KC32" s="44" t="s">
        <v>46</v>
      </c>
      <c r="KD32" s="44" t="s">
        <v>46</v>
      </c>
      <c r="KE32" s="50">
        <v>3.48577</v>
      </c>
      <c r="KF32" s="44" t="s">
        <v>46</v>
      </c>
      <c r="KG32" s="44" t="s">
        <v>46</v>
      </c>
      <c r="KH32" s="50">
        <f t="shared" si="4"/>
        <v>42.752747000000006</v>
      </c>
      <c r="KI32" s="44">
        <v>42.719273999999999</v>
      </c>
      <c r="KJ32" s="44" t="s">
        <v>46</v>
      </c>
      <c r="KK32" s="44" t="s">
        <v>46</v>
      </c>
      <c r="KL32" s="50">
        <v>1.656552</v>
      </c>
      <c r="KM32" s="44" t="s">
        <v>46</v>
      </c>
      <c r="KN32" s="44" t="s">
        <v>46</v>
      </c>
      <c r="KO32" s="50">
        <v>1.3596109999999999</v>
      </c>
      <c r="KP32" s="44" t="s">
        <v>46</v>
      </c>
      <c r="KQ32" s="44" t="s">
        <v>46</v>
      </c>
      <c r="KR32" s="50">
        <v>5.8460380000000001</v>
      </c>
      <c r="KS32" s="44" t="s">
        <v>46</v>
      </c>
      <c r="KT32" s="44" t="s">
        <v>46</v>
      </c>
      <c r="KU32" s="50">
        <v>5.2242280000000001</v>
      </c>
      <c r="KV32" s="44" t="s">
        <v>46</v>
      </c>
      <c r="KW32" s="44" t="s">
        <v>46</v>
      </c>
      <c r="KX32" s="50">
        <v>3.3671359999999999</v>
      </c>
      <c r="KY32" s="44" t="s">
        <v>46</v>
      </c>
      <c r="KZ32" s="44" t="s">
        <v>46</v>
      </c>
      <c r="LA32" s="50">
        <v>3.3147989999999998</v>
      </c>
      <c r="LB32" s="44" t="s">
        <v>46</v>
      </c>
      <c r="LC32" s="44" t="s">
        <v>46</v>
      </c>
      <c r="LD32" s="50">
        <v>3.7161420000000001</v>
      </c>
      <c r="LE32" s="44"/>
      <c r="LF32" s="44"/>
      <c r="LG32" s="44">
        <v>3.2888359999999999</v>
      </c>
      <c r="LH32" s="44" t="s">
        <v>46</v>
      </c>
      <c r="LI32" s="44" t="s">
        <v>46</v>
      </c>
      <c r="LJ32" s="50">
        <v>3.2755869999999998</v>
      </c>
      <c r="LK32" s="44" t="s">
        <v>46</v>
      </c>
      <c r="LL32" s="44" t="s">
        <v>46</v>
      </c>
      <c r="LM32" s="50">
        <v>3.7357209999999998</v>
      </c>
      <c r="LN32" s="44" t="s">
        <v>46</v>
      </c>
      <c r="LO32" s="44" t="s">
        <v>46</v>
      </c>
      <c r="LP32" s="50">
        <v>3.24661</v>
      </c>
      <c r="LQ32" s="44" t="s">
        <v>46</v>
      </c>
      <c r="LR32" s="44" t="s">
        <v>46</v>
      </c>
      <c r="LS32" s="50">
        <v>3.2406000000000001</v>
      </c>
      <c r="LT32" s="44" t="s">
        <v>46</v>
      </c>
      <c r="LU32" s="50" t="s">
        <v>46</v>
      </c>
      <c r="LV32" s="50">
        <f t="shared" si="58"/>
        <v>41.271859999999997</v>
      </c>
      <c r="LW32" s="50">
        <v>41.274783999999997</v>
      </c>
      <c r="LX32" s="44" t="s">
        <v>46</v>
      </c>
      <c r="LY32" s="44" t="s">
        <v>46</v>
      </c>
      <c r="LZ32" s="50">
        <v>3.5013809999999999</v>
      </c>
      <c r="MA32" s="44" t="s">
        <v>46</v>
      </c>
      <c r="MB32" s="44" t="s">
        <v>46</v>
      </c>
      <c r="MC32" s="50">
        <v>3.4693710000000002</v>
      </c>
      <c r="MD32" s="44" t="s">
        <v>46</v>
      </c>
      <c r="ME32" s="44" t="s">
        <v>46</v>
      </c>
      <c r="MF32" s="50">
        <v>3.1947860000000001</v>
      </c>
      <c r="MG32" s="44" t="s">
        <v>46</v>
      </c>
      <c r="MH32" s="44" t="s">
        <v>46</v>
      </c>
      <c r="MI32" s="50">
        <v>3.8214239999999999</v>
      </c>
      <c r="MJ32" s="44" t="s">
        <v>46</v>
      </c>
      <c r="MK32" s="44" t="s">
        <v>46</v>
      </c>
      <c r="ML32" s="50">
        <v>3.1851720000000001</v>
      </c>
      <c r="MM32" s="44" t="s">
        <v>46</v>
      </c>
      <c r="MN32" s="44" t="s">
        <v>46</v>
      </c>
      <c r="MO32" s="50">
        <v>3.191058</v>
      </c>
      <c r="MP32" s="44" t="s">
        <v>46</v>
      </c>
      <c r="MQ32" s="44" t="s">
        <v>46</v>
      </c>
      <c r="MR32" s="50">
        <v>3.8109489999999999</v>
      </c>
      <c r="MS32" s="44" t="s">
        <v>46</v>
      </c>
      <c r="MT32" s="44" t="s">
        <v>46</v>
      </c>
      <c r="MU32" s="50">
        <v>3.1173350000000002</v>
      </c>
      <c r="MV32" s="44" t="s">
        <v>46</v>
      </c>
      <c r="MW32" s="44" t="s">
        <v>46</v>
      </c>
      <c r="MX32" s="50">
        <v>3.104279</v>
      </c>
      <c r="MY32" s="44" t="s">
        <v>46</v>
      </c>
      <c r="MZ32" s="44" t="s">
        <v>46</v>
      </c>
      <c r="NA32" s="50">
        <v>3.7846700000000002</v>
      </c>
      <c r="NB32" s="44" t="s">
        <v>46</v>
      </c>
      <c r="NC32" s="44" t="s">
        <v>46</v>
      </c>
      <c r="ND32" s="50">
        <v>3.0731090000000001</v>
      </c>
      <c r="NE32" s="44" t="s">
        <v>46</v>
      </c>
      <c r="NF32" s="44" t="s">
        <v>46</v>
      </c>
      <c r="NG32" s="50">
        <v>3.0575830000000002</v>
      </c>
      <c r="NH32" s="44" t="s">
        <v>46</v>
      </c>
      <c r="NI32" s="50" t="s">
        <v>46</v>
      </c>
      <c r="NJ32" s="50">
        <f t="shared" si="7"/>
        <v>40.311117000000003</v>
      </c>
      <c r="NK32" s="50">
        <v>40.308697000000002</v>
      </c>
      <c r="NL32" s="44" t="s">
        <v>46</v>
      </c>
      <c r="NM32" s="50" t="s">
        <v>46</v>
      </c>
      <c r="NN32" s="50">
        <v>3.7801309999999999</v>
      </c>
      <c r="NO32" s="44" t="s">
        <v>46</v>
      </c>
      <c r="NP32" s="50" t="s">
        <v>46</v>
      </c>
      <c r="NQ32" s="50">
        <v>3.0358640000000001</v>
      </c>
      <c r="NR32" s="44" t="s">
        <v>46</v>
      </c>
      <c r="NS32" s="50" t="s">
        <v>46</v>
      </c>
      <c r="NT32" s="50">
        <v>3.0126710000000001</v>
      </c>
      <c r="NU32" s="44" t="s">
        <v>46</v>
      </c>
      <c r="NV32" s="50" t="s">
        <v>46</v>
      </c>
      <c r="NW32" s="50">
        <v>3.7802539999999998</v>
      </c>
      <c r="NX32" s="44" t="s">
        <v>46</v>
      </c>
      <c r="NY32" s="50" t="s">
        <v>46</v>
      </c>
      <c r="NZ32" s="50">
        <v>3.0002979999999999</v>
      </c>
      <c r="OA32" s="50" t="s">
        <v>46</v>
      </c>
      <c r="OB32" s="50" t="s">
        <v>46</v>
      </c>
      <c r="OC32" s="50">
        <v>2.9667590000000001</v>
      </c>
      <c r="OD32" s="50" t="s">
        <v>46</v>
      </c>
      <c r="OE32" s="50" t="s">
        <v>46</v>
      </c>
      <c r="OF32" s="50">
        <v>3.9255149999999999</v>
      </c>
      <c r="OG32" s="50" t="s">
        <v>46</v>
      </c>
      <c r="OH32" s="50" t="s">
        <v>46</v>
      </c>
      <c r="OI32" s="94">
        <v>2.961935</v>
      </c>
      <c r="OJ32" s="50" t="s">
        <v>46</v>
      </c>
      <c r="OK32" s="50" t="s">
        <v>46</v>
      </c>
      <c r="OL32" s="50">
        <v>2.910657</v>
      </c>
      <c r="OM32" s="50" t="s">
        <v>46</v>
      </c>
      <c r="ON32" s="50" t="s">
        <v>46</v>
      </c>
      <c r="OO32" s="50">
        <v>5.2020679999999997</v>
      </c>
      <c r="OP32" s="50" t="s">
        <v>46</v>
      </c>
      <c r="OQ32" s="50" t="s">
        <v>46</v>
      </c>
      <c r="OR32" s="50">
        <v>2.8782589999999999</v>
      </c>
      <c r="OS32" s="50" t="s">
        <v>46</v>
      </c>
      <c r="OT32" s="50" t="s">
        <v>46</v>
      </c>
      <c r="OU32" s="50">
        <v>2.9465919999999999</v>
      </c>
      <c r="OV32" s="44" t="s">
        <v>46</v>
      </c>
      <c r="OW32" s="50" t="s">
        <v>46</v>
      </c>
      <c r="OX32" s="50">
        <f t="shared" si="9"/>
        <v>40.401003000000003</v>
      </c>
      <c r="OY32" s="50">
        <v>40.398733999999997</v>
      </c>
      <c r="OZ32" s="44" t="s">
        <v>46</v>
      </c>
      <c r="PA32" s="50" t="s">
        <v>46</v>
      </c>
      <c r="PB32" s="50">
        <v>7.4435539999999998</v>
      </c>
      <c r="PC32" s="44" t="s">
        <v>46</v>
      </c>
      <c r="PD32" s="50" t="s">
        <v>46</v>
      </c>
      <c r="PE32" s="50">
        <v>2.8301949999999998</v>
      </c>
      <c r="PF32" s="44" t="s">
        <v>46</v>
      </c>
      <c r="PG32" s="50" t="s">
        <v>46</v>
      </c>
      <c r="PH32" s="50">
        <v>2.8323779999999998</v>
      </c>
      <c r="PI32" s="44" t="s">
        <v>46</v>
      </c>
      <c r="PJ32" s="50" t="s">
        <v>46</v>
      </c>
      <c r="PK32" s="50">
        <v>10.341492000000001</v>
      </c>
      <c r="PL32" s="44" t="s">
        <v>46</v>
      </c>
      <c r="PM32" s="50" t="s">
        <v>46</v>
      </c>
      <c r="PN32" s="50">
        <v>2.826673</v>
      </c>
      <c r="PO32" s="44" t="s">
        <v>46</v>
      </c>
      <c r="PP32" s="50" t="s">
        <v>46</v>
      </c>
      <c r="PQ32" s="50">
        <v>2.8638689999999993</v>
      </c>
      <c r="PR32" s="44" t="s">
        <v>46</v>
      </c>
      <c r="PS32" s="50" t="s">
        <v>46</v>
      </c>
      <c r="PT32" s="50">
        <v>14.020948000000001</v>
      </c>
      <c r="PU32" s="44" t="s">
        <v>46</v>
      </c>
      <c r="PV32" s="50" t="s">
        <v>46</v>
      </c>
      <c r="PW32" s="50">
        <v>2.7629069999999998</v>
      </c>
      <c r="PX32" s="44" t="s">
        <v>46</v>
      </c>
      <c r="PY32" s="50" t="s">
        <v>46</v>
      </c>
      <c r="PZ32" s="50">
        <v>3.0895920000000001</v>
      </c>
      <c r="QA32" s="44" t="s">
        <v>46</v>
      </c>
      <c r="QB32" s="50" t="s">
        <v>46</v>
      </c>
      <c r="QC32" s="50">
        <v>17.602160999999999</v>
      </c>
      <c r="QD32" s="44" t="s">
        <v>46</v>
      </c>
      <c r="QE32" s="50" t="s">
        <v>46</v>
      </c>
      <c r="QF32" s="50">
        <v>3.1188380000000002</v>
      </c>
      <c r="QG32" s="44" t="s">
        <v>46</v>
      </c>
      <c r="QH32" s="50" t="s">
        <v>46</v>
      </c>
      <c r="QI32" s="50">
        <v>2.0990530000000001</v>
      </c>
      <c r="QJ32" s="44" t="s">
        <v>46</v>
      </c>
      <c r="QK32" s="50" t="s">
        <v>46</v>
      </c>
      <c r="QL32" s="50">
        <f t="shared" si="40"/>
        <v>71.831659999999999</v>
      </c>
      <c r="QM32" s="50">
        <v>71.826819</v>
      </c>
      <c r="QN32" s="44" t="s">
        <v>46</v>
      </c>
      <c r="QO32" s="50" t="s">
        <v>46</v>
      </c>
      <c r="QP32" s="50">
        <v>19.766563000000001</v>
      </c>
      <c r="QQ32" s="44" t="s">
        <v>46</v>
      </c>
      <c r="QR32" s="50" t="s">
        <v>46</v>
      </c>
      <c r="QS32" s="50">
        <v>3.9792339999999999</v>
      </c>
      <c r="QT32" s="44" t="s">
        <v>46</v>
      </c>
      <c r="QU32" s="50" t="s">
        <v>46</v>
      </c>
      <c r="QV32" s="50">
        <v>2.6065369999999999</v>
      </c>
      <c r="QW32" s="44" t="s">
        <v>46</v>
      </c>
      <c r="QX32" s="50" t="s">
        <v>46</v>
      </c>
      <c r="QY32" s="50">
        <v>20.505372000000001</v>
      </c>
      <c r="QZ32" s="44" t="s">
        <v>46</v>
      </c>
      <c r="RA32" s="50" t="s">
        <v>46</v>
      </c>
      <c r="RB32" s="50">
        <v>2.7042489999999999</v>
      </c>
      <c r="RC32" s="44" t="s">
        <v>46</v>
      </c>
      <c r="RD32" s="50" t="s">
        <v>46</v>
      </c>
      <c r="RE32" s="50">
        <v>2.7852359999999998</v>
      </c>
      <c r="RF32" s="44" t="s">
        <v>46</v>
      </c>
      <c r="RG32" s="50" t="s">
        <v>46</v>
      </c>
      <c r="RH32" s="50">
        <v>20.723520000000001</v>
      </c>
      <c r="RI32" s="44" t="s">
        <v>46</v>
      </c>
      <c r="RJ32" s="50" t="s">
        <v>46</v>
      </c>
      <c r="RK32" s="50">
        <v>2.554071</v>
      </c>
      <c r="RL32" s="44" t="s">
        <v>46</v>
      </c>
      <c r="RM32" s="50" t="s">
        <v>46</v>
      </c>
      <c r="RN32" s="50">
        <v>3.1068030000000002</v>
      </c>
      <c r="RO32" s="44" t="s">
        <v>46</v>
      </c>
      <c r="RP32" s="50" t="s">
        <v>46</v>
      </c>
      <c r="RQ32" s="50">
        <v>19.634017</v>
      </c>
      <c r="RR32" s="44" t="s">
        <v>46</v>
      </c>
      <c r="RS32" s="50" t="s">
        <v>46</v>
      </c>
      <c r="RT32" s="50">
        <v>2.9638610000000001</v>
      </c>
      <c r="RU32" s="44" t="s">
        <v>46</v>
      </c>
      <c r="RV32" s="50" t="s">
        <v>46</v>
      </c>
      <c r="RW32" s="50">
        <v>3.8890639999999999</v>
      </c>
      <c r="RX32" s="44" t="s">
        <v>46</v>
      </c>
      <c r="RY32" s="50" t="s">
        <v>46</v>
      </c>
      <c r="RZ32" s="50">
        <f t="shared" si="43"/>
        <v>105.21852699999999</v>
      </c>
      <c r="SA32" s="50">
        <v>105.218526</v>
      </c>
      <c r="SB32" s="44" t="s">
        <v>46</v>
      </c>
      <c r="SC32" s="50" t="s">
        <v>46</v>
      </c>
      <c r="SD32" s="50">
        <v>19.632114000000001</v>
      </c>
      <c r="SE32" s="44" t="s">
        <v>46</v>
      </c>
      <c r="SF32" s="50" t="s">
        <v>46</v>
      </c>
      <c r="SG32" s="50">
        <v>2.4391970000000001</v>
      </c>
      <c r="SH32" s="44" t="s">
        <v>46</v>
      </c>
      <c r="SI32" s="50" t="s">
        <v>46</v>
      </c>
      <c r="SJ32" s="50">
        <v>2.4536440000000002</v>
      </c>
      <c r="SK32" s="44" t="s">
        <v>46</v>
      </c>
      <c r="SL32" s="50" t="s">
        <v>46</v>
      </c>
      <c r="SM32" s="50">
        <v>18.654207</v>
      </c>
      <c r="SN32" s="44" t="s">
        <v>46</v>
      </c>
      <c r="SO32" s="50" t="s">
        <v>46</v>
      </c>
      <c r="SP32" s="50">
        <v>2.4896769999999999</v>
      </c>
      <c r="SQ32" s="50" t="s">
        <v>46</v>
      </c>
      <c r="SR32" s="50" t="s">
        <v>46</v>
      </c>
      <c r="SS32" s="50">
        <v>2.529944</v>
      </c>
      <c r="ST32" s="50" t="s">
        <v>46</v>
      </c>
      <c r="SU32" s="50" t="s">
        <v>46</v>
      </c>
      <c r="SV32" s="50">
        <v>17.661287000000002</v>
      </c>
      <c r="SW32" s="50" t="s">
        <v>46</v>
      </c>
      <c r="SX32" s="50" t="s">
        <v>46</v>
      </c>
      <c r="SY32" s="50">
        <v>1.964412</v>
      </c>
      <c r="SZ32" s="50" t="s">
        <v>46</v>
      </c>
      <c r="TA32" s="50" t="s">
        <v>46</v>
      </c>
      <c r="TB32" s="50">
        <v>2.3655520000000001</v>
      </c>
      <c r="TC32" s="50" t="s">
        <v>46</v>
      </c>
      <c r="TD32" s="50" t="s">
        <v>46</v>
      </c>
      <c r="TE32" s="50">
        <v>16.386354999999998</v>
      </c>
      <c r="TF32" s="50" t="s">
        <v>46</v>
      </c>
      <c r="TG32" s="50" t="s">
        <v>46</v>
      </c>
      <c r="TH32" s="50">
        <v>1.9578180000000001</v>
      </c>
      <c r="TI32" s="50" t="s">
        <v>46</v>
      </c>
      <c r="TJ32" s="50" t="s">
        <v>46</v>
      </c>
      <c r="TK32" s="50">
        <v>2.7827449999999998</v>
      </c>
      <c r="TL32" s="44" t="s">
        <v>46</v>
      </c>
      <c r="TM32" s="50" t="s">
        <v>46</v>
      </c>
      <c r="TN32" s="50">
        <f t="shared" si="47"/>
        <v>91.316952000000001</v>
      </c>
      <c r="TO32" s="44" t="s">
        <v>46</v>
      </c>
      <c r="TP32" s="50" t="s">
        <v>46</v>
      </c>
      <c r="TQ32" s="50">
        <v>16.364412999999999</v>
      </c>
      <c r="TR32" s="44" t="s">
        <v>46</v>
      </c>
      <c r="TS32" s="50" t="s">
        <v>46</v>
      </c>
      <c r="TT32" s="50">
        <v>1.913923</v>
      </c>
      <c r="TU32" s="44" t="s">
        <v>46</v>
      </c>
      <c r="TV32" s="50" t="s">
        <v>46</v>
      </c>
      <c r="TW32" s="50">
        <v>1.9507950000000001</v>
      </c>
      <c r="TX32" s="44" t="s">
        <v>46</v>
      </c>
      <c r="TY32" s="50" t="s">
        <v>46</v>
      </c>
      <c r="TZ32" s="50">
        <v>16.107462999999999</v>
      </c>
      <c r="UA32" s="50"/>
      <c r="UB32" s="50"/>
      <c r="UC32" s="50"/>
      <c r="UD32" s="50"/>
      <c r="UE32" s="50"/>
      <c r="UF32" s="50"/>
      <c r="UG32" s="50"/>
      <c r="UH32" s="50"/>
      <c r="UI32" s="50"/>
      <c r="UJ32" s="50"/>
      <c r="UK32" s="50"/>
      <c r="UL32" s="50"/>
      <c r="UM32" s="50"/>
      <c r="UN32" s="50"/>
      <c r="UO32" s="50"/>
      <c r="UP32" s="50"/>
      <c r="UQ32" s="50"/>
      <c r="UR32" s="50"/>
      <c r="US32" s="50"/>
      <c r="UT32" s="50"/>
      <c r="UU32" s="50"/>
      <c r="UV32" s="50"/>
      <c r="UW32" s="50"/>
      <c r="UX32" s="50"/>
      <c r="UY32" s="292" t="s">
        <v>46</v>
      </c>
      <c r="UZ32" s="276" t="s">
        <v>46</v>
      </c>
      <c r="VA32" s="276">
        <f t="shared" si="52"/>
        <v>43.179161999999998</v>
      </c>
      <c r="VB32" s="292" t="s">
        <v>46</v>
      </c>
      <c r="VC32" s="276" t="s">
        <v>46</v>
      </c>
      <c r="VD32" s="276">
        <f t="shared" si="55"/>
        <v>36.336593999999998</v>
      </c>
      <c r="VE32" s="277">
        <f>VD32-VA32</f>
        <v>-6.842568</v>
      </c>
      <c r="VF32" s="277">
        <f t="shared" si="57"/>
        <v>-15.846921716544657</v>
      </c>
    </row>
    <row r="33" spans="1:578" s="12" customFormat="1" ht="20.5">
      <c r="A33" s="46" t="s">
        <v>132</v>
      </c>
      <c r="B33" s="13">
        <v>3000</v>
      </c>
      <c r="C33" s="46" t="s">
        <v>133</v>
      </c>
      <c r="D33" s="42">
        <v>134.2848062902317</v>
      </c>
      <c r="E33" s="42">
        <v>150.47637179071262</v>
      </c>
      <c r="F33" s="42">
        <v>143.15854064575615</v>
      </c>
      <c r="G33" s="42">
        <v>102.03262929636143</v>
      </c>
      <c r="H33" s="42">
        <v>8.6129390270971715</v>
      </c>
      <c r="I33" s="42">
        <v>9.4824389161131695</v>
      </c>
      <c r="J33" s="42">
        <v>8.0805843449951915</v>
      </c>
      <c r="K33" s="42">
        <v>8.9434038508602676</v>
      </c>
      <c r="L33" s="42">
        <v>9.4510233294062083</v>
      </c>
      <c r="M33" s="42">
        <v>8.2137167688288635</v>
      </c>
      <c r="N33" s="42">
        <v>10.80548773199925</v>
      </c>
      <c r="O33" s="42">
        <v>9.3537088576615961</v>
      </c>
      <c r="P33" s="42">
        <v>8.8558758914291911</v>
      </c>
      <c r="Q33" s="42">
        <v>9.4075304067705918</v>
      </c>
      <c r="R33" s="42">
        <v>12.921541425489893</v>
      </c>
      <c r="S33" s="42">
        <v>13.379805749540411</v>
      </c>
      <c r="T33" s="44" t="s">
        <v>46</v>
      </c>
      <c r="U33" s="44" t="s">
        <v>46</v>
      </c>
      <c r="V33" s="42">
        <v>117.50805630019181</v>
      </c>
      <c r="W33" s="42">
        <v>117.30128741441426</v>
      </c>
      <c r="X33" s="42">
        <v>6.9970589239674226</v>
      </c>
      <c r="Y33" s="42">
        <v>10.672032316264564</v>
      </c>
      <c r="Z33" s="42">
        <v>9.1946730525153519</v>
      </c>
      <c r="AA33" s="42">
        <v>10.557869619410248</v>
      </c>
      <c r="AB33" s="42">
        <v>10.396693815060814</v>
      </c>
      <c r="AC33" s="42">
        <v>11.384918127956015</v>
      </c>
      <c r="AD33" s="42">
        <v>12.685696154262072</v>
      </c>
      <c r="AE33" s="42">
        <v>9.5909855379309175</v>
      </c>
      <c r="AF33" s="42">
        <v>10.602534988417824</v>
      </c>
      <c r="AG33" s="42">
        <v>9.865709358512472</v>
      </c>
      <c r="AH33" s="42">
        <v>16.619330567270534</v>
      </c>
      <c r="AI33" s="42">
        <v>15.645047552375912</v>
      </c>
      <c r="AJ33" s="42">
        <v>0</v>
      </c>
      <c r="AK33" s="42">
        <v>0</v>
      </c>
      <c r="AL33" s="42">
        <v>134.21255001394417</v>
      </c>
      <c r="AM33" s="42">
        <v>133.74599461585308</v>
      </c>
      <c r="AN33" s="42">
        <v>9.8080531698738191</v>
      </c>
      <c r="AO33" s="42">
        <v>11.337769847638887</v>
      </c>
      <c r="AP33" s="42">
        <v>9.6274380908475194</v>
      </c>
      <c r="AQ33" s="42">
        <v>14.514066510719918</v>
      </c>
      <c r="AR33" s="42">
        <v>11.508204278860108</v>
      </c>
      <c r="AS33" s="42">
        <v>10.397618681737724</v>
      </c>
      <c r="AT33" s="42">
        <v>12.619128519473424</v>
      </c>
      <c r="AU33" s="42">
        <v>12.022060204552051</v>
      </c>
      <c r="AV33" s="42">
        <v>9.8846449365683746</v>
      </c>
      <c r="AW33" s="42">
        <v>12.920881212969764</v>
      </c>
      <c r="AX33" s="42">
        <v>12.009294198667053</v>
      </c>
      <c r="AY33" s="42">
        <v>19.866460634828485</v>
      </c>
      <c r="AZ33" s="44" t="s">
        <v>46</v>
      </c>
      <c r="BA33" s="44" t="s">
        <v>46</v>
      </c>
      <c r="BB33" s="42">
        <v>146.51562028673715</v>
      </c>
      <c r="BC33" s="42">
        <v>146.40321483656894</v>
      </c>
      <c r="BD33" s="49" t="s">
        <v>46</v>
      </c>
      <c r="BE33" s="49" t="s">
        <v>46</v>
      </c>
      <c r="BF33" s="49">
        <f>BF34+BF35+BF36+BF37</f>
        <v>11.542904999999999</v>
      </c>
      <c r="BG33" s="49" t="s">
        <v>46</v>
      </c>
      <c r="BH33" s="49" t="s">
        <v>46</v>
      </c>
      <c r="BI33" s="44">
        <f>BI34+BI35+BI36+BI37</f>
        <v>12.469705000000001</v>
      </c>
      <c r="BJ33" s="49" t="s">
        <v>46</v>
      </c>
      <c r="BK33" s="49" t="s">
        <v>46</v>
      </c>
      <c r="BL33" s="44">
        <f>BL34+BL35+BL36+BL37</f>
        <v>10.763515</v>
      </c>
      <c r="BM33" s="49" t="s">
        <v>46</v>
      </c>
      <c r="BN33" s="49" t="s">
        <v>46</v>
      </c>
      <c r="BO33" s="44">
        <f>BO34+BO35+BO36+BO37</f>
        <v>11.219092999999999</v>
      </c>
      <c r="BP33" s="49" t="s">
        <v>46</v>
      </c>
      <c r="BQ33" s="49" t="s">
        <v>46</v>
      </c>
      <c r="BR33" s="44">
        <f>BR34+BR35+BR36+BR37</f>
        <v>12.930399</v>
      </c>
      <c r="BS33" s="49" t="s">
        <v>46</v>
      </c>
      <c r="BT33" s="49" t="s">
        <v>46</v>
      </c>
      <c r="BU33" s="44">
        <f>BU34+BU35+BU36+BU37</f>
        <v>12.658241</v>
      </c>
      <c r="BV33" s="49" t="s">
        <v>46</v>
      </c>
      <c r="BW33" s="49" t="s">
        <v>46</v>
      </c>
      <c r="BX33" s="44">
        <f>BX34+BX35+BX36+BX37</f>
        <v>15.365355000000001</v>
      </c>
      <c r="BY33" s="49" t="s">
        <v>46</v>
      </c>
      <c r="BZ33" s="49" t="s">
        <v>46</v>
      </c>
      <c r="CA33" s="44">
        <f>CA34+CA35+CA36+CA37</f>
        <v>11.912927999999999</v>
      </c>
      <c r="CB33" s="49" t="s">
        <v>46</v>
      </c>
      <c r="CC33" s="49" t="s">
        <v>46</v>
      </c>
      <c r="CD33" s="44">
        <f>CD34+CD35+CD36+CD37</f>
        <v>11.132762</v>
      </c>
      <c r="CE33" s="49" t="s">
        <v>46</v>
      </c>
      <c r="CF33" s="49" t="s">
        <v>46</v>
      </c>
      <c r="CG33" s="44">
        <f>CG34+CG35+CG36+CG37</f>
        <v>12.942132999999998</v>
      </c>
      <c r="CH33" s="49" t="s">
        <v>46</v>
      </c>
      <c r="CI33" s="49" t="s">
        <v>46</v>
      </c>
      <c r="CJ33" s="44">
        <f>CJ34+CJ35+CJ36+CJ37</f>
        <v>17.129687999999998</v>
      </c>
      <c r="CK33" s="49" t="s">
        <v>46</v>
      </c>
      <c r="CL33" s="49" t="s">
        <v>46</v>
      </c>
      <c r="CM33" s="44">
        <f>CM34+CM35+CM36+CM37</f>
        <v>17.253602000000001</v>
      </c>
      <c r="CN33" s="50"/>
      <c r="CO33" s="50"/>
      <c r="CP33" s="50">
        <f t="shared" si="21"/>
        <v>157.32032599999999</v>
      </c>
      <c r="CQ33" s="52">
        <f>CQ34+CQ35+CQ36+CQ37</f>
        <v>156.94820199999998</v>
      </c>
      <c r="CR33" s="49" t="s">
        <v>46</v>
      </c>
      <c r="CS33" s="49" t="s">
        <v>46</v>
      </c>
      <c r="CT33" s="44">
        <f>CT34+CT35+CT36+CT37</f>
        <v>10.779883999999999</v>
      </c>
      <c r="CU33" s="49" t="s">
        <v>46</v>
      </c>
      <c r="CV33" s="49" t="s">
        <v>46</v>
      </c>
      <c r="CW33" s="44">
        <v>11.209522</v>
      </c>
      <c r="CX33" s="49" t="s">
        <v>46</v>
      </c>
      <c r="CY33" s="49" t="s">
        <v>46</v>
      </c>
      <c r="CZ33" s="44">
        <v>12.931234</v>
      </c>
      <c r="DA33" s="49" t="s">
        <v>46</v>
      </c>
      <c r="DB33" s="49" t="s">
        <v>46</v>
      </c>
      <c r="DC33" s="44">
        <v>13.424375000000001</v>
      </c>
      <c r="DD33" s="49" t="s">
        <v>46</v>
      </c>
      <c r="DE33" s="49" t="s">
        <v>46</v>
      </c>
      <c r="DF33" s="44">
        <v>12.201044</v>
      </c>
      <c r="DG33" s="49" t="s">
        <v>46</v>
      </c>
      <c r="DH33" s="49" t="s">
        <v>46</v>
      </c>
      <c r="DI33" s="44">
        <v>12.657705</v>
      </c>
      <c r="DJ33" s="49" t="s">
        <v>46</v>
      </c>
      <c r="DK33" s="49" t="s">
        <v>46</v>
      </c>
      <c r="DL33" s="44">
        <v>13.019898999999999</v>
      </c>
      <c r="DM33" s="49" t="s">
        <v>46</v>
      </c>
      <c r="DN33" s="49" t="s">
        <v>46</v>
      </c>
      <c r="DO33" s="44">
        <v>11.030977</v>
      </c>
      <c r="DP33" s="49" t="s">
        <v>46</v>
      </c>
      <c r="DQ33" s="49" t="s">
        <v>46</v>
      </c>
      <c r="DR33" s="44">
        <v>11.534519</v>
      </c>
      <c r="DS33" s="49" t="s">
        <v>46</v>
      </c>
      <c r="DT33" s="49" t="s">
        <v>46</v>
      </c>
      <c r="DU33" s="44">
        <v>12.245089999999999</v>
      </c>
      <c r="DV33" s="49" t="s">
        <v>46</v>
      </c>
      <c r="DW33" s="49" t="s">
        <v>46</v>
      </c>
      <c r="DX33" s="44">
        <v>12.715881000000001</v>
      </c>
      <c r="DY33" s="49" t="s">
        <v>46</v>
      </c>
      <c r="DZ33" s="49" t="s">
        <v>46</v>
      </c>
      <c r="EA33" s="44">
        <v>13.835526999999999</v>
      </c>
      <c r="EB33" s="49" t="s">
        <v>46</v>
      </c>
      <c r="EC33" s="49" t="s">
        <v>46</v>
      </c>
      <c r="ED33" s="44">
        <f t="shared" si="24"/>
        <v>147.58565700000003</v>
      </c>
      <c r="EE33" s="140">
        <f>EE34+EE35+EE36+EE37</f>
        <v>148.31546299999999</v>
      </c>
      <c r="EF33" s="44" t="s">
        <v>46</v>
      </c>
      <c r="EG33" s="44" t="s">
        <v>46</v>
      </c>
      <c r="EH33" s="44">
        <v>12.846869999999999</v>
      </c>
      <c r="EI33" s="44" t="s">
        <v>46</v>
      </c>
      <c r="EJ33" s="44" t="s">
        <v>46</v>
      </c>
      <c r="EK33" s="44">
        <v>12.134826</v>
      </c>
      <c r="EL33" s="44" t="s">
        <v>46</v>
      </c>
      <c r="EM33" s="44" t="s">
        <v>46</v>
      </c>
      <c r="EN33" s="44">
        <v>14.908486</v>
      </c>
      <c r="EO33" s="44" t="s">
        <v>46</v>
      </c>
      <c r="EP33" s="44" t="s">
        <v>46</v>
      </c>
      <c r="EQ33" s="44">
        <v>14.761201999999999</v>
      </c>
      <c r="ER33" s="44" t="s">
        <v>46</v>
      </c>
      <c r="ES33" s="44" t="s">
        <v>46</v>
      </c>
      <c r="ET33" s="44">
        <v>14.300789999999999</v>
      </c>
      <c r="EU33" s="44" t="s">
        <v>46</v>
      </c>
      <c r="EV33" s="44" t="s">
        <v>46</v>
      </c>
      <c r="EW33" s="44">
        <v>12.332750000000001</v>
      </c>
      <c r="EX33" s="44" t="s">
        <v>46</v>
      </c>
      <c r="EY33" s="44" t="s">
        <v>46</v>
      </c>
      <c r="EZ33" s="44">
        <v>21.145700999999999</v>
      </c>
      <c r="FA33" s="44" t="s">
        <v>46</v>
      </c>
      <c r="FB33" s="44" t="s">
        <v>46</v>
      </c>
      <c r="FC33" s="44">
        <v>11.588637</v>
      </c>
      <c r="FD33" s="44" t="s">
        <v>46</v>
      </c>
      <c r="FE33" s="44" t="s">
        <v>46</v>
      </c>
      <c r="FF33" s="44">
        <v>11.049770000000001</v>
      </c>
      <c r="FG33" s="44" t="s">
        <v>46</v>
      </c>
      <c r="FH33" s="44" t="s">
        <v>46</v>
      </c>
      <c r="FI33" s="44">
        <v>13.493100000000002</v>
      </c>
      <c r="FJ33" s="44" t="s">
        <v>46</v>
      </c>
      <c r="FK33" s="44" t="s">
        <v>46</v>
      </c>
      <c r="FL33" s="44">
        <v>5.3170299999999999</v>
      </c>
      <c r="FM33" s="44" t="s">
        <v>46</v>
      </c>
      <c r="FN33" s="44" t="s">
        <v>46</v>
      </c>
      <c r="FO33" s="44">
        <v>13.30397</v>
      </c>
      <c r="FP33" s="44" t="s">
        <v>46</v>
      </c>
      <c r="FQ33" s="44" t="s">
        <v>46</v>
      </c>
      <c r="FR33" s="44">
        <f t="shared" si="27"/>
        <v>157.18313199999997</v>
      </c>
      <c r="FS33" s="95">
        <f>FS34+FS35+FS36+FS37</f>
        <v>157.18713199999999</v>
      </c>
      <c r="FT33" s="44" t="s">
        <v>46</v>
      </c>
      <c r="FU33" s="44" t="s">
        <v>46</v>
      </c>
      <c r="FV33" s="44">
        <v>13.805761</v>
      </c>
      <c r="FW33" s="44" t="s">
        <v>46</v>
      </c>
      <c r="FX33" s="44" t="s">
        <v>46</v>
      </c>
      <c r="FY33" s="44">
        <v>21.625185999999999</v>
      </c>
      <c r="FZ33" s="44" t="s">
        <v>46</v>
      </c>
      <c r="GA33" s="44" t="s">
        <v>46</v>
      </c>
      <c r="GB33" s="44">
        <v>12.61412</v>
      </c>
      <c r="GC33" s="44" t="s">
        <v>46</v>
      </c>
      <c r="GD33" s="44" t="s">
        <v>46</v>
      </c>
      <c r="GE33" s="44">
        <v>17.777408000000001</v>
      </c>
      <c r="GF33" s="44" t="s">
        <v>46</v>
      </c>
      <c r="GG33" s="44" t="s">
        <v>46</v>
      </c>
      <c r="GH33" s="44">
        <v>12.617612000000001</v>
      </c>
      <c r="GI33" s="44" t="s">
        <v>46</v>
      </c>
      <c r="GJ33" s="44" t="s">
        <v>46</v>
      </c>
      <c r="GK33" s="44">
        <v>14.156579999999998</v>
      </c>
      <c r="GL33" s="44" t="s">
        <v>46</v>
      </c>
      <c r="GM33" s="44" t="s">
        <v>46</v>
      </c>
      <c r="GN33" s="44">
        <v>12.819075999999999</v>
      </c>
      <c r="GO33" s="44" t="s">
        <v>46</v>
      </c>
      <c r="GP33" s="44" t="s">
        <v>46</v>
      </c>
      <c r="GQ33" s="44">
        <v>12.659188</v>
      </c>
      <c r="GR33" s="44" t="s">
        <v>46</v>
      </c>
      <c r="GS33" s="44" t="s">
        <v>46</v>
      </c>
      <c r="GT33" s="44">
        <v>12.308612</v>
      </c>
      <c r="GU33" s="44" t="s">
        <v>46</v>
      </c>
      <c r="GV33" s="44" t="s">
        <v>46</v>
      </c>
      <c r="GW33" s="44">
        <v>14.574666000000001</v>
      </c>
      <c r="GX33" s="44" t="s">
        <v>46</v>
      </c>
      <c r="GY33" s="44" t="s">
        <v>46</v>
      </c>
      <c r="GZ33" s="44">
        <v>12.756995999999999</v>
      </c>
      <c r="HA33" s="44" t="s">
        <v>46</v>
      </c>
      <c r="HB33" s="44" t="s">
        <v>46</v>
      </c>
      <c r="HC33" s="44">
        <v>7.6559499999999998</v>
      </c>
      <c r="HD33" s="44" t="s">
        <v>46</v>
      </c>
      <c r="HE33" s="44" t="s">
        <v>46</v>
      </c>
      <c r="HF33" s="44">
        <f t="shared" si="30"/>
        <v>165.37115499999999</v>
      </c>
      <c r="HG33" s="44">
        <f>HG34+HG35+HG36+HG37</f>
        <v>165.25597199999999</v>
      </c>
      <c r="HH33" s="44" t="s">
        <v>46</v>
      </c>
      <c r="HI33" s="44" t="s">
        <v>46</v>
      </c>
      <c r="HJ33" s="44">
        <v>13.957138</v>
      </c>
      <c r="HK33" s="44" t="s">
        <v>46</v>
      </c>
      <c r="HL33" s="44" t="s">
        <v>46</v>
      </c>
      <c r="HM33" s="44">
        <v>16.300744999999999</v>
      </c>
      <c r="HN33" s="44" t="s">
        <v>46</v>
      </c>
      <c r="HO33" s="44" t="s">
        <v>46</v>
      </c>
      <c r="HP33" s="44">
        <v>14.247617</v>
      </c>
      <c r="HQ33" s="44" t="s">
        <v>46</v>
      </c>
      <c r="HR33" s="44" t="s">
        <v>46</v>
      </c>
      <c r="HS33" s="44">
        <v>16.660353000000001</v>
      </c>
      <c r="HT33" s="44" t="s">
        <v>46</v>
      </c>
      <c r="HU33" s="44" t="s">
        <v>46</v>
      </c>
      <c r="HV33" s="44">
        <v>14.980010999999999</v>
      </c>
      <c r="HW33" s="44" t="s">
        <v>46</v>
      </c>
      <c r="HX33" s="44" t="s">
        <v>46</v>
      </c>
      <c r="HY33" s="44">
        <v>15.270626</v>
      </c>
      <c r="HZ33" s="44" t="s">
        <v>46</v>
      </c>
      <c r="IA33" s="44" t="s">
        <v>46</v>
      </c>
      <c r="IB33" s="44">
        <v>23.861837000000001</v>
      </c>
      <c r="IC33" s="44" t="s">
        <v>46</v>
      </c>
      <c r="ID33" s="44" t="s">
        <v>46</v>
      </c>
      <c r="IE33" s="44">
        <v>15.059253999999999</v>
      </c>
      <c r="IF33" s="44" t="s">
        <v>46</v>
      </c>
      <c r="IG33" s="44" t="s">
        <v>46</v>
      </c>
      <c r="IH33" s="44">
        <v>14.539581999999999</v>
      </c>
      <c r="II33" s="44" t="s">
        <v>46</v>
      </c>
      <c r="IJ33" s="44" t="s">
        <v>46</v>
      </c>
      <c r="IK33" s="44">
        <v>15.770994</v>
      </c>
      <c r="IL33" s="44" t="s">
        <v>46</v>
      </c>
      <c r="IM33" s="44" t="s">
        <v>46</v>
      </c>
      <c r="IN33" s="44">
        <v>14.255053999999999</v>
      </c>
      <c r="IO33" s="44" t="s">
        <v>46</v>
      </c>
      <c r="IP33" s="44" t="s">
        <v>46</v>
      </c>
      <c r="IQ33" s="44">
        <v>35.395862999999999</v>
      </c>
      <c r="IR33" s="44" t="s">
        <v>46</v>
      </c>
      <c r="IS33" s="44" t="s">
        <v>46</v>
      </c>
      <c r="IT33" s="50">
        <f t="shared" si="70"/>
        <v>210.29907400000002</v>
      </c>
      <c r="IU33" s="44">
        <f>IU34+IU35+IU36+IU37</f>
        <v>210.34783300000001</v>
      </c>
      <c r="IV33" s="44" t="s">
        <v>46</v>
      </c>
      <c r="IW33" s="44" t="s">
        <v>46</v>
      </c>
      <c r="IX33" s="50">
        <v>13.788759000000001</v>
      </c>
      <c r="IY33" s="44" t="s">
        <v>46</v>
      </c>
      <c r="IZ33" s="44" t="s">
        <v>46</v>
      </c>
      <c r="JA33" s="50">
        <v>14.10458</v>
      </c>
      <c r="JB33" s="44" t="s">
        <v>46</v>
      </c>
      <c r="JC33" s="44" t="s">
        <v>46</v>
      </c>
      <c r="JD33" s="50">
        <v>24.555575000000001</v>
      </c>
      <c r="JE33" s="44" t="s">
        <v>46</v>
      </c>
      <c r="JF33" s="44" t="s">
        <v>46</v>
      </c>
      <c r="JG33" s="50">
        <v>18.766012</v>
      </c>
      <c r="JH33" s="44" t="s">
        <v>46</v>
      </c>
      <c r="JI33" s="44" t="s">
        <v>46</v>
      </c>
      <c r="JJ33" s="50">
        <v>17.105815</v>
      </c>
      <c r="JK33" s="44" t="s">
        <v>46</v>
      </c>
      <c r="JL33" s="44" t="s">
        <v>46</v>
      </c>
      <c r="JM33" s="50">
        <v>18.470672</v>
      </c>
      <c r="JN33" s="44" t="s">
        <v>46</v>
      </c>
      <c r="JO33" s="44" t="s">
        <v>46</v>
      </c>
      <c r="JP33" s="50">
        <v>18.271128000000001</v>
      </c>
      <c r="JQ33" s="44" t="s">
        <v>46</v>
      </c>
      <c r="JR33" s="44" t="s">
        <v>46</v>
      </c>
      <c r="JS33" s="50">
        <v>16.463804</v>
      </c>
      <c r="JT33" s="44" t="s">
        <v>46</v>
      </c>
      <c r="JU33" s="44" t="s">
        <v>46</v>
      </c>
      <c r="JV33" s="50">
        <v>18.087679000000001</v>
      </c>
      <c r="JW33" s="44" t="s">
        <v>46</v>
      </c>
      <c r="JX33" s="44" t="s">
        <v>46</v>
      </c>
      <c r="JY33" s="50">
        <v>18.670732000000001</v>
      </c>
      <c r="JZ33" s="44" t="s">
        <v>46</v>
      </c>
      <c r="KA33" s="44" t="s">
        <v>46</v>
      </c>
      <c r="KB33" s="50">
        <v>17.406523</v>
      </c>
      <c r="KC33" s="44" t="s">
        <v>46</v>
      </c>
      <c r="KD33" s="44" t="s">
        <v>46</v>
      </c>
      <c r="KE33" s="50">
        <v>20.050151</v>
      </c>
      <c r="KF33" s="44" t="s">
        <v>46</v>
      </c>
      <c r="KG33" s="44" t="s">
        <v>46</v>
      </c>
      <c r="KH33" s="50">
        <f t="shared" si="4"/>
        <v>215.74143000000001</v>
      </c>
      <c r="KI33" s="44">
        <f>KI34+KI35+KI36+KI37</f>
        <v>215.85801900000001</v>
      </c>
      <c r="KJ33" s="44" t="s">
        <v>46</v>
      </c>
      <c r="KK33" s="44" t="s">
        <v>46</v>
      </c>
      <c r="KL33" s="50">
        <v>18.549779999999998</v>
      </c>
      <c r="KM33" s="44" t="s">
        <v>46</v>
      </c>
      <c r="KN33" s="44" t="s">
        <v>46</v>
      </c>
      <c r="KO33" s="50">
        <v>19.034538000000001</v>
      </c>
      <c r="KP33" s="44" t="s">
        <v>46</v>
      </c>
      <c r="KQ33" s="44" t="s">
        <v>46</v>
      </c>
      <c r="KR33" s="50">
        <v>19.133106000000002</v>
      </c>
      <c r="KS33" s="44" t="s">
        <v>46</v>
      </c>
      <c r="KT33" s="44" t="s">
        <v>46</v>
      </c>
      <c r="KU33" s="50">
        <v>18.444665000000001</v>
      </c>
      <c r="KV33" s="44" t="s">
        <v>46</v>
      </c>
      <c r="KW33" s="44" t="s">
        <v>46</v>
      </c>
      <c r="KX33" s="50">
        <v>18.111249000000001</v>
      </c>
      <c r="KY33" s="44" t="s">
        <v>46</v>
      </c>
      <c r="KZ33" s="44" t="s">
        <v>46</v>
      </c>
      <c r="LA33" s="50">
        <v>17.588922</v>
      </c>
      <c r="LB33" s="44" t="s">
        <v>46</v>
      </c>
      <c r="LC33" s="44" t="s">
        <v>46</v>
      </c>
      <c r="LD33" s="50">
        <v>21.043455999999999</v>
      </c>
      <c r="LE33" s="44"/>
      <c r="LF33" s="44"/>
      <c r="LG33" s="44">
        <v>25.553702999999999</v>
      </c>
      <c r="LH33" s="44" t="s">
        <v>46</v>
      </c>
      <c r="LI33" s="44" t="s">
        <v>46</v>
      </c>
      <c r="LJ33" s="50">
        <v>18.815047</v>
      </c>
      <c r="LK33" s="44" t="s">
        <v>46</v>
      </c>
      <c r="LL33" s="44" t="s">
        <v>46</v>
      </c>
      <c r="LM33" s="50">
        <v>18.045718999999998</v>
      </c>
      <c r="LN33" s="44" t="s">
        <v>46</v>
      </c>
      <c r="LO33" s="44" t="s">
        <v>46</v>
      </c>
      <c r="LP33" s="50">
        <v>17.372724999999999</v>
      </c>
      <c r="LQ33" s="44" t="s">
        <v>46</v>
      </c>
      <c r="LR33" s="44" t="s">
        <v>46</v>
      </c>
      <c r="LS33" s="50">
        <v>20.274035000000001</v>
      </c>
      <c r="LT33" s="44" t="s">
        <v>46</v>
      </c>
      <c r="LU33" s="50" t="s">
        <v>46</v>
      </c>
      <c r="LV33" s="50">
        <f t="shared" si="58"/>
        <v>231.96694499999995</v>
      </c>
      <c r="LW33" s="44">
        <f>LW34+LW35+LW36+LW37</f>
        <v>231.99099799999999</v>
      </c>
      <c r="LX33" s="44" t="s">
        <v>46</v>
      </c>
      <c r="LY33" s="44" t="s">
        <v>46</v>
      </c>
      <c r="LZ33" s="50">
        <v>15.789288000000001</v>
      </c>
      <c r="MA33" s="44" t="s">
        <v>46</v>
      </c>
      <c r="MB33" s="44" t="s">
        <v>46</v>
      </c>
      <c r="MC33" s="50">
        <v>17.104991999999999</v>
      </c>
      <c r="MD33" s="44" t="s">
        <v>46</v>
      </c>
      <c r="ME33" s="44" t="s">
        <v>46</v>
      </c>
      <c r="MF33" s="50">
        <v>19.880254000000001</v>
      </c>
      <c r="MG33" s="44" t="s">
        <v>46</v>
      </c>
      <c r="MH33" s="44" t="s">
        <v>46</v>
      </c>
      <c r="MI33" s="50">
        <v>19.098513000000001</v>
      </c>
      <c r="MJ33" s="44" t="s">
        <v>46</v>
      </c>
      <c r="MK33" s="44" t="s">
        <v>46</v>
      </c>
      <c r="ML33" s="50">
        <v>16.961874000000002</v>
      </c>
      <c r="MM33" s="44" t="s">
        <v>46</v>
      </c>
      <c r="MN33" s="44" t="s">
        <v>46</v>
      </c>
      <c r="MO33" s="50">
        <v>18.765711</v>
      </c>
      <c r="MP33" s="44" t="s">
        <v>46</v>
      </c>
      <c r="MQ33" s="44" t="s">
        <v>46</v>
      </c>
      <c r="MR33" s="50">
        <v>18.004093999999998</v>
      </c>
      <c r="MS33" s="44" t="s">
        <v>46</v>
      </c>
      <c r="MT33" s="44" t="s">
        <v>46</v>
      </c>
      <c r="MU33" s="50">
        <v>17.303559</v>
      </c>
      <c r="MV33" s="44" t="s">
        <v>46</v>
      </c>
      <c r="MW33" s="44" t="s">
        <v>46</v>
      </c>
      <c r="MX33" s="50">
        <v>19.788577</v>
      </c>
      <c r="MY33" s="44" t="s">
        <v>46</v>
      </c>
      <c r="MZ33" s="44" t="s">
        <v>46</v>
      </c>
      <c r="NA33" s="50">
        <v>18.695996999999998</v>
      </c>
      <c r="NB33" s="44" t="s">
        <v>46</v>
      </c>
      <c r="NC33" s="44" t="s">
        <v>46</v>
      </c>
      <c r="ND33" s="50">
        <v>17.462596999999999</v>
      </c>
      <c r="NE33" s="44" t="s">
        <v>46</v>
      </c>
      <c r="NF33" s="44" t="s">
        <v>46</v>
      </c>
      <c r="NG33" s="50">
        <v>19.382303</v>
      </c>
      <c r="NH33" s="44" t="s">
        <v>46</v>
      </c>
      <c r="NI33" s="50" t="s">
        <v>46</v>
      </c>
      <c r="NJ33" s="50">
        <f t="shared" si="7"/>
        <v>218.23775900000001</v>
      </c>
      <c r="NK33" s="44">
        <f>NK34+NK35+NK36+NK37</f>
        <v>218.04151300000001</v>
      </c>
      <c r="NL33" s="44" t="s">
        <v>46</v>
      </c>
      <c r="NM33" s="50" t="s">
        <v>46</v>
      </c>
      <c r="NN33" s="50">
        <v>17.091225999999999</v>
      </c>
      <c r="NO33" s="44" t="s">
        <v>46</v>
      </c>
      <c r="NP33" s="50" t="s">
        <v>46</v>
      </c>
      <c r="NQ33" s="50">
        <v>17.838650999999999</v>
      </c>
      <c r="NR33" s="44" t="s">
        <v>46</v>
      </c>
      <c r="NS33" s="50" t="s">
        <v>46</v>
      </c>
      <c r="NT33" s="50">
        <v>19.564012999999999</v>
      </c>
      <c r="NU33" s="44" t="s">
        <v>46</v>
      </c>
      <c r="NV33" s="50" t="s">
        <v>46</v>
      </c>
      <c r="NW33" s="50">
        <v>19.259778000000001</v>
      </c>
      <c r="NX33" s="44" t="s">
        <v>46</v>
      </c>
      <c r="NY33" s="50" t="s">
        <v>46</v>
      </c>
      <c r="NZ33" s="50">
        <v>18.131616000000001</v>
      </c>
      <c r="OA33" s="50" t="s">
        <v>46</v>
      </c>
      <c r="OB33" s="50" t="s">
        <v>46</v>
      </c>
      <c r="OC33" s="50">
        <v>20.188143</v>
      </c>
      <c r="OD33" s="50" t="s">
        <v>46</v>
      </c>
      <c r="OE33" s="50" t="s">
        <v>46</v>
      </c>
      <c r="OF33" s="50">
        <v>19.783242000000001</v>
      </c>
      <c r="OG33" s="50" t="s">
        <v>46</v>
      </c>
      <c r="OH33" s="50" t="s">
        <v>46</v>
      </c>
      <c r="OI33" s="94">
        <v>17.784984000000001</v>
      </c>
      <c r="OJ33" s="50" t="s">
        <v>46</v>
      </c>
      <c r="OK33" s="50" t="s">
        <v>46</v>
      </c>
      <c r="OL33" s="50">
        <v>18.563700999999998</v>
      </c>
      <c r="OM33" s="50" t="s">
        <v>46</v>
      </c>
      <c r="ON33" s="50" t="s">
        <v>46</v>
      </c>
      <c r="OO33" s="50">
        <v>19.659479999999999</v>
      </c>
      <c r="OP33" s="50" t="s">
        <v>46</v>
      </c>
      <c r="OQ33" s="50" t="s">
        <v>46</v>
      </c>
      <c r="OR33" s="50">
        <v>22.478335000000001</v>
      </c>
      <c r="OS33" s="50" t="s">
        <v>46</v>
      </c>
      <c r="OT33" s="50" t="s">
        <v>46</v>
      </c>
      <c r="OU33" s="50">
        <v>20.448967</v>
      </c>
      <c r="OV33" s="44" t="s">
        <v>46</v>
      </c>
      <c r="OW33" s="50" t="s">
        <v>46</v>
      </c>
      <c r="OX33" s="50">
        <f t="shared" si="9"/>
        <v>230.792136</v>
      </c>
      <c r="OY33" s="44">
        <f>OY34+OY35+OY36+OY37</f>
        <v>230.86290400000001</v>
      </c>
      <c r="OZ33" s="44" t="s">
        <v>46</v>
      </c>
      <c r="PA33" s="50" t="s">
        <v>46</v>
      </c>
      <c r="PB33" s="50">
        <v>17.395931999999998</v>
      </c>
      <c r="PC33" s="44" t="s">
        <v>46</v>
      </c>
      <c r="PD33" s="50" t="s">
        <v>46</v>
      </c>
      <c r="PE33" s="50">
        <v>18.093456</v>
      </c>
      <c r="PF33" s="44" t="s">
        <v>46</v>
      </c>
      <c r="PG33" s="50" t="s">
        <v>46</v>
      </c>
      <c r="PH33" s="50">
        <v>21.206852999999999</v>
      </c>
      <c r="PI33" s="44" t="s">
        <v>46</v>
      </c>
      <c r="PJ33" s="50" t="s">
        <v>46</v>
      </c>
      <c r="PK33" s="50">
        <v>22.677664</v>
      </c>
      <c r="PL33" s="44" t="s">
        <v>46</v>
      </c>
      <c r="PM33" s="50" t="s">
        <v>46</v>
      </c>
      <c r="PN33" s="50">
        <v>24.937059999999999</v>
      </c>
      <c r="PO33" s="44" t="s">
        <v>46</v>
      </c>
      <c r="PP33" s="50" t="s">
        <v>46</v>
      </c>
      <c r="PQ33" s="50">
        <v>23.279080999999998</v>
      </c>
      <c r="PR33" s="44" t="s">
        <v>46</v>
      </c>
      <c r="PS33" s="50" t="s">
        <v>46</v>
      </c>
      <c r="PT33" s="50">
        <v>23.507012</v>
      </c>
      <c r="PU33" s="44" t="s">
        <v>46</v>
      </c>
      <c r="PV33" s="50" t="s">
        <v>46</v>
      </c>
      <c r="PW33" s="50">
        <v>21.983167000000002</v>
      </c>
      <c r="PX33" s="44" t="s">
        <v>46</v>
      </c>
      <c r="PY33" s="50" t="s">
        <v>46</v>
      </c>
      <c r="PZ33" s="50">
        <v>19.602025000000001</v>
      </c>
      <c r="QA33" s="44" t="s">
        <v>46</v>
      </c>
      <c r="QB33" s="50" t="s">
        <v>46</v>
      </c>
      <c r="QC33" s="50">
        <v>22.852433999999999</v>
      </c>
      <c r="QD33" s="44" t="s">
        <v>46</v>
      </c>
      <c r="QE33" s="50" t="s">
        <v>46</v>
      </c>
      <c r="QF33" s="50">
        <v>21.108262</v>
      </c>
      <c r="QG33" s="44" t="s">
        <v>46</v>
      </c>
      <c r="QH33" s="50" t="s">
        <v>46</v>
      </c>
      <c r="QI33" s="50">
        <v>24.587755999999999</v>
      </c>
      <c r="QJ33" s="44" t="s">
        <v>46</v>
      </c>
      <c r="QK33" s="50" t="s">
        <v>46</v>
      </c>
      <c r="QL33" s="50">
        <f t="shared" si="40"/>
        <v>261.23070200000001</v>
      </c>
      <c r="QM33" s="44">
        <f>QM34+QM35+QM36+QM37</f>
        <v>261.25831800000003</v>
      </c>
      <c r="QN33" s="44" t="s">
        <v>46</v>
      </c>
      <c r="QO33" s="50" t="s">
        <v>46</v>
      </c>
      <c r="QP33" s="50">
        <v>20.976261999999998</v>
      </c>
      <c r="QQ33" s="44" t="s">
        <v>46</v>
      </c>
      <c r="QR33" s="50" t="s">
        <v>46</v>
      </c>
      <c r="QS33" s="50">
        <v>19.991996</v>
      </c>
      <c r="QT33" s="44" t="s">
        <v>46</v>
      </c>
      <c r="QU33" s="50" t="s">
        <v>46</v>
      </c>
      <c r="QV33" s="50">
        <v>24.011469000000002</v>
      </c>
      <c r="QW33" s="44" t="s">
        <v>46</v>
      </c>
      <c r="QX33" s="50" t="s">
        <v>46</v>
      </c>
      <c r="QY33" s="50">
        <v>23.483920999999999</v>
      </c>
      <c r="QZ33" s="44" t="s">
        <v>46</v>
      </c>
      <c r="RA33" s="50" t="s">
        <v>46</v>
      </c>
      <c r="RB33" s="50">
        <v>22.230656</v>
      </c>
      <c r="RC33" s="44" t="s">
        <v>46</v>
      </c>
      <c r="RD33" s="50" t="s">
        <v>46</v>
      </c>
      <c r="RE33" s="50">
        <v>21.626268</v>
      </c>
      <c r="RF33" s="44" t="s">
        <v>46</v>
      </c>
      <c r="RG33" s="50" t="s">
        <v>46</v>
      </c>
      <c r="RH33" s="50">
        <v>23.232219000000001</v>
      </c>
      <c r="RI33" s="44" t="s">
        <v>46</v>
      </c>
      <c r="RJ33" s="50" t="s">
        <v>46</v>
      </c>
      <c r="RK33" s="50">
        <v>21.884893000000002</v>
      </c>
      <c r="RL33" s="44" t="s">
        <v>46</v>
      </c>
      <c r="RM33" s="50" t="s">
        <v>46</v>
      </c>
      <c r="RN33" s="50">
        <v>20.332671999999999</v>
      </c>
      <c r="RO33" s="44" t="s">
        <v>46</v>
      </c>
      <c r="RP33" s="50" t="s">
        <v>46</v>
      </c>
      <c r="RQ33" s="50">
        <v>22.254543000000002</v>
      </c>
      <c r="RR33" s="44" t="s">
        <v>46</v>
      </c>
      <c r="RS33" s="50" t="s">
        <v>46</v>
      </c>
      <c r="RT33" s="50">
        <v>21.032019999999999</v>
      </c>
      <c r="RU33" s="44" t="s">
        <v>46</v>
      </c>
      <c r="RV33" s="50" t="s">
        <v>46</v>
      </c>
      <c r="RW33" s="50">
        <v>30.671056</v>
      </c>
      <c r="RX33" s="44" t="s">
        <v>46</v>
      </c>
      <c r="RY33" s="50" t="s">
        <v>46</v>
      </c>
      <c r="RZ33" s="50">
        <f t="shared" si="43"/>
        <v>271.72797500000001</v>
      </c>
      <c r="SA33" s="44">
        <f>SA34+SA35+SA36+SA37</f>
        <v>271.72047299999997</v>
      </c>
      <c r="SB33" s="44" t="s">
        <v>46</v>
      </c>
      <c r="SC33" s="50" t="s">
        <v>46</v>
      </c>
      <c r="SD33" s="50">
        <v>20.033245999999998</v>
      </c>
      <c r="SE33" s="44" t="s">
        <v>46</v>
      </c>
      <c r="SF33" s="50" t="s">
        <v>46</v>
      </c>
      <c r="SG33" s="50">
        <v>21.614699999999999</v>
      </c>
      <c r="SH33" s="44" t="s">
        <v>46</v>
      </c>
      <c r="SI33" s="50" t="s">
        <v>46</v>
      </c>
      <c r="SJ33" s="50">
        <v>24.985464</v>
      </c>
      <c r="SK33" s="44" t="s">
        <v>46</v>
      </c>
      <c r="SL33" s="50" t="s">
        <v>46</v>
      </c>
      <c r="SM33" s="50">
        <v>23.986556</v>
      </c>
      <c r="SN33" s="44" t="s">
        <v>46</v>
      </c>
      <c r="SO33" s="50" t="s">
        <v>46</v>
      </c>
      <c r="SP33" s="50">
        <v>24.051473999999999</v>
      </c>
      <c r="SQ33" s="50" t="s">
        <v>46</v>
      </c>
      <c r="SR33" s="50" t="s">
        <v>46</v>
      </c>
      <c r="SS33" s="50">
        <v>22.515906000000001</v>
      </c>
      <c r="ST33" s="50" t="s">
        <v>46</v>
      </c>
      <c r="SU33" s="50" t="s">
        <v>46</v>
      </c>
      <c r="SV33" s="50">
        <v>25.099027</v>
      </c>
      <c r="SW33" s="50" t="s">
        <v>46</v>
      </c>
      <c r="SX33" s="50" t="s">
        <v>46</v>
      </c>
      <c r="SY33" s="50">
        <v>22.651979000000001</v>
      </c>
      <c r="SZ33" s="50" t="s">
        <v>46</v>
      </c>
      <c r="TA33" s="50" t="s">
        <v>46</v>
      </c>
      <c r="TB33" s="50">
        <v>23.202878999999999</v>
      </c>
      <c r="TC33" s="50" t="s">
        <v>46</v>
      </c>
      <c r="TD33" s="50" t="s">
        <v>46</v>
      </c>
      <c r="TE33" s="50">
        <v>24.623044</v>
      </c>
      <c r="TF33" s="50" t="s">
        <v>46</v>
      </c>
      <c r="TG33" s="50" t="s">
        <v>46</v>
      </c>
      <c r="TH33" s="50">
        <v>21.680745000000002</v>
      </c>
      <c r="TI33" s="50" t="s">
        <v>46</v>
      </c>
      <c r="TJ33" s="50" t="s">
        <v>46</v>
      </c>
      <c r="TK33" s="50">
        <v>26.197151999999999</v>
      </c>
      <c r="TL33" s="44" t="s">
        <v>46</v>
      </c>
      <c r="TM33" s="50" t="s">
        <v>46</v>
      </c>
      <c r="TN33" s="50">
        <f t="shared" si="47"/>
        <v>280.64217200000002</v>
      </c>
      <c r="TO33" s="44" t="s">
        <v>46</v>
      </c>
      <c r="TP33" s="50" t="s">
        <v>46</v>
      </c>
      <c r="TQ33" s="50">
        <v>20.612179000000001</v>
      </c>
      <c r="TR33" s="44" t="s">
        <v>46</v>
      </c>
      <c r="TS33" s="50" t="s">
        <v>46</v>
      </c>
      <c r="TT33" s="50">
        <v>23.462958</v>
      </c>
      <c r="TU33" s="44" t="s">
        <v>46</v>
      </c>
      <c r="TV33" s="50" t="s">
        <v>46</v>
      </c>
      <c r="TW33" s="50">
        <v>24.823539</v>
      </c>
      <c r="TX33" s="44" t="s">
        <v>46</v>
      </c>
      <c r="TY33" s="50" t="s">
        <v>46</v>
      </c>
      <c r="TZ33" s="50">
        <v>25.189881</v>
      </c>
      <c r="UA33" s="50"/>
      <c r="UB33" s="50"/>
      <c r="UC33" s="50"/>
      <c r="UD33" s="50"/>
      <c r="UE33" s="50"/>
      <c r="UF33" s="50"/>
      <c r="UG33" s="50"/>
      <c r="UH33" s="50"/>
      <c r="UI33" s="50"/>
      <c r="UJ33" s="50"/>
      <c r="UK33" s="50"/>
      <c r="UL33" s="50"/>
      <c r="UM33" s="50"/>
      <c r="UN33" s="50"/>
      <c r="UO33" s="50"/>
      <c r="UP33" s="50"/>
      <c r="UQ33" s="50"/>
      <c r="UR33" s="50"/>
      <c r="US33" s="50"/>
      <c r="UT33" s="50"/>
      <c r="UU33" s="50"/>
      <c r="UV33" s="50"/>
      <c r="UW33" s="50"/>
      <c r="UX33" s="50"/>
      <c r="UY33" s="292" t="s">
        <v>46</v>
      </c>
      <c r="UZ33" s="276" t="s">
        <v>46</v>
      </c>
      <c r="VA33" s="276">
        <f t="shared" si="52"/>
        <v>90.619966000000005</v>
      </c>
      <c r="VB33" s="292" t="s">
        <v>46</v>
      </c>
      <c r="VC33" s="276" t="s">
        <v>46</v>
      </c>
      <c r="VD33" s="276">
        <f t="shared" si="55"/>
        <v>94.088556999999994</v>
      </c>
      <c r="VE33" s="277">
        <f t="shared" si="56"/>
        <v>3.4685909999999893</v>
      </c>
      <c r="VF33" s="277">
        <f t="shared" si="57"/>
        <v>3.827623373860007</v>
      </c>
    </row>
    <row r="34" spans="1:578" s="12" customFormat="1" ht="20.25" hidden="1" customHeight="1">
      <c r="A34" s="56" t="s">
        <v>134</v>
      </c>
      <c r="B34" s="13">
        <v>3100</v>
      </c>
      <c r="C34" s="56" t="s">
        <v>135</v>
      </c>
      <c r="D34" s="42">
        <v>4.6599051798225394E-3</v>
      </c>
      <c r="E34" s="42">
        <v>0</v>
      </c>
      <c r="F34" s="42">
        <v>0</v>
      </c>
      <c r="G34" s="42">
        <v>0</v>
      </c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4" t="s">
        <v>46</v>
      </c>
      <c r="U34" s="44" t="s">
        <v>46</v>
      </c>
      <c r="V34" s="42">
        <v>0</v>
      </c>
      <c r="W34" s="42">
        <v>0</v>
      </c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42">
        <v>0</v>
      </c>
      <c r="AK34" s="42">
        <v>0</v>
      </c>
      <c r="AL34" s="42">
        <v>0</v>
      </c>
      <c r="AM34" s="42">
        <v>0</v>
      </c>
      <c r="AN34" s="100"/>
      <c r="AO34" s="100"/>
      <c r="AP34" s="100"/>
      <c r="AQ34" s="100"/>
      <c r="AR34" s="100"/>
      <c r="AS34" s="100"/>
      <c r="AT34" s="100"/>
      <c r="AU34" s="100"/>
      <c r="AV34" s="100"/>
      <c r="AW34" s="42">
        <v>2.3890017700525326E-3</v>
      </c>
      <c r="AX34" s="42"/>
      <c r="AY34" s="42">
        <v>-2.3890017700525326E-3</v>
      </c>
      <c r="AZ34" s="44" t="s">
        <v>46</v>
      </c>
      <c r="BA34" s="44" t="s">
        <v>46</v>
      </c>
      <c r="BB34" s="42">
        <v>0</v>
      </c>
      <c r="BC34" s="42"/>
      <c r="BD34" s="44" t="s">
        <v>46</v>
      </c>
      <c r="BE34" s="44" t="s">
        <v>46</v>
      </c>
      <c r="BF34" s="49"/>
      <c r="BG34" s="44" t="s">
        <v>46</v>
      </c>
      <c r="BH34" s="44" t="s">
        <v>46</v>
      </c>
      <c r="BI34" s="44"/>
      <c r="BJ34" s="44" t="s">
        <v>46</v>
      </c>
      <c r="BK34" s="44" t="s">
        <v>46</v>
      </c>
      <c r="BL34" s="44"/>
      <c r="BM34" s="44" t="s">
        <v>46</v>
      </c>
      <c r="BN34" s="44" t="s">
        <v>46</v>
      </c>
      <c r="BO34" s="44"/>
      <c r="BP34" s="44" t="s">
        <v>46</v>
      </c>
      <c r="BQ34" s="44" t="s">
        <v>46</v>
      </c>
      <c r="BR34" s="44"/>
      <c r="BS34" s="44" t="s">
        <v>46</v>
      </c>
      <c r="BT34" s="44" t="s">
        <v>46</v>
      </c>
      <c r="BU34" s="44"/>
      <c r="BV34" s="44" t="s">
        <v>46</v>
      </c>
      <c r="BW34" s="44" t="s">
        <v>46</v>
      </c>
      <c r="BX34" s="44"/>
      <c r="BY34" s="44" t="s">
        <v>46</v>
      </c>
      <c r="BZ34" s="44" t="s">
        <v>46</v>
      </c>
      <c r="CA34" s="44"/>
      <c r="CB34" s="44" t="s">
        <v>46</v>
      </c>
      <c r="CC34" s="44" t="s">
        <v>46</v>
      </c>
      <c r="CD34" s="44"/>
      <c r="CE34" s="44" t="s">
        <v>46</v>
      </c>
      <c r="CF34" s="44" t="s">
        <v>46</v>
      </c>
      <c r="CG34" s="44"/>
      <c r="CH34" s="44" t="s">
        <v>46</v>
      </c>
      <c r="CI34" s="44" t="s">
        <v>46</v>
      </c>
      <c r="CJ34" s="44"/>
      <c r="CK34" s="44" t="s">
        <v>46</v>
      </c>
      <c r="CL34" s="44" t="s">
        <v>46</v>
      </c>
      <c r="CM34" s="44"/>
      <c r="CN34" s="50"/>
      <c r="CO34" s="50"/>
      <c r="CP34" s="50">
        <f t="shared" si="21"/>
        <v>0</v>
      </c>
      <c r="CQ34" s="50"/>
      <c r="CR34" s="44" t="s">
        <v>46</v>
      </c>
      <c r="CS34" s="44" t="s">
        <v>46</v>
      </c>
      <c r="CT34" s="44"/>
      <c r="CU34" s="44" t="s">
        <v>46</v>
      </c>
      <c r="CV34" s="44" t="s">
        <v>46</v>
      </c>
      <c r="CW34" s="49">
        <v>0</v>
      </c>
      <c r="CX34" s="44" t="s">
        <v>46</v>
      </c>
      <c r="CY34" s="44" t="s">
        <v>46</v>
      </c>
      <c r="CZ34" s="49">
        <v>0</v>
      </c>
      <c r="DA34" s="44" t="s">
        <v>46</v>
      </c>
      <c r="DB34" s="44" t="s">
        <v>46</v>
      </c>
      <c r="DC34" s="49">
        <v>0</v>
      </c>
      <c r="DD34" s="44" t="s">
        <v>46</v>
      </c>
      <c r="DE34" s="44" t="s">
        <v>46</v>
      </c>
      <c r="DF34" s="49">
        <v>0</v>
      </c>
      <c r="DG34" s="44" t="s">
        <v>46</v>
      </c>
      <c r="DH34" s="44" t="s">
        <v>46</v>
      </c>
      <c r="DI34" s="49">
        <v>0</v>
      </c>
      <c r="DJ34" s="44" t="s">
        <v>46</v>
      </c>
      <c r="DK34" s="44" t="s">
        <v>46</v>
      </c>
      <c r="DL34" s="49">
        <v>0</v>
      </c>
      <c r="DM34" s="44" t="s">
        <v>46</v>
      </c>
      <c r="DN34" s="44" t="s">
        <v>46</v>
      </c>
      <c r="DO34" s="49">
        <v>0</v>
      </c>
      <c r="DP34" s="44" t="s">
        <v>46</v>
      </c>
      <c r="DQ34" s="44" t="s">
        <v>46</v>
      </c>
      <c r="DR34" s="49">
        <v>0</v>
      </c>
      <c r="DS34" s="44" t="s">
        <v>46</v>
      </c>
      <c r="DT34" s="44" t="s">
        <v>46</v>
      </c>
      <c r="DU34" s="49">
        <v>0</v>
      </c>
      <c r="DV34" s="44" t="s">
        <v>46</v>
      </c>
      <c r="DW34" s="44" t="s">
        <v>46</v>
      </c>
      <c r="DX34" s="49">
        <v>0</v>
      </c>
      <c r="DY34" s="44" t="s">
        <v>46</v>
      </c>
      <c r="DZ34" s="44" t="s">
        <v>46</v>
      </c>
      <c r="EA34" s="44">
        <v>0</v>
      </c>
      <c r="EB34" s="44" t="s">
        <v>46</v>
      </c>
      <c r="EC34" s="44" t="s">
        <v>46</v>
      </c>
      <c r="ED34" s="44">
        <f t="shared" si="24"/>
        <v>0</v>
      </c>
      <c r="EE34" s="140"/>
      <c r="EF34" s="44" t="s">
        <v>46</v>
      </c>
      <c r="EG34" s="44" t="s">
        <v>46</v>
      </c>
      <c r="EH34" s="44">
        <v>0</v>
      </c>
      <c r="EI34" s="44" t="s">
        <v>46</v>
      </c>
      <c r="EJ34" s="44" t="s">
        <v>46</v>
      </c>
      <c r="EK34" s="44">
        <v>0</v>
      </c>
      <c r="EL34" s="44" t="s">
        <v>46</v>
      </c>
      <c r="EM34" s="44" t="s">
        <v>46</v>
      </c>
      <c r="EN34" s="44">
        <v>0</v>
      </c>
      <c r="EO34" s="44" t="s">
        <v>46</v>
      </c>
      <c r="EP34" s="44" t="s">
        <v>46</v>
      </c>
      <c r="EQ34" s="44">
        <v>0</v>
      </c>
      <c r="ER34" s="44" t="s">
        <v>46</v>
      </c>
      <c r="ES34" s="44" t="s">
        <v>46</v>
      </c>
      <c r="ET34" s="44">
        <v>0</v>
      </c>
      <c r="EU34" s="44" t="s">
        <v>46</v>
      </c>
      <c r="EV34" s="44" t="s">
        <v>46</v>
      </c>
      <c r="EW34" s="44">
        <v>0</v>
      </c>
      <c r="EX34" s="44" t="s">
        <v>46</v>
      </c>
      <c r="EY34" s="44" t="s">
        <v>46</v>
      </c>
      <c r="EZ34" s="44">
        <v>0</v>
      </c>
      <c r="FA34" s="44" t="s">
        <v>46</v>
      </c>
      <c r="FB34" s="44" t="s">
        <v>46</v>
      </c>
      <c r="FC34" s="44">
        <v>0</v>
      </c>
      <c r="FD34" s="44" t="s">
        <v>46</v>
      </c>
      <c r="FE34" s="44" t="s">
        <v>46</v>
      </c>
      <c r="FF34" s="44">
        <v>0</v>
      </c>
      <c r="FG34" s="44" t="s">
        <v>46</v>
      </c>
      <c r="FH34" s="44" t="s">
        <v>46</v>
      </c>
      <c r="FI34" s="44">
        <v>0</v>
      </c>
      <c r="FJ34" s="44" t="s">
        <v>46</v>
      </c>
      <c r="FK34" s="44" t="s">
        <v>46</v>
      </c>
      <c r="FL34" s="44">
        <v>0</v>
      </c>
      <c r="FM34" s="44" t="s">
        <v>46</v>
      </c>
      <c r="FN34" s="44" t="s">
        <v>46</v>
      </c>
      <c r="FO34" s="44">
        <v>0</v>
      </c>
      <c r="FP34" s="44" t="s">
        <v>46</v>
      </c>
      <c r="FQ34" s="44" t="s">
        <v>46</v>
      </c>
      <c r="FR34" s="44">
        <f t="shared" si="27"/>
        <v>0</v>
      </c>
      <c r="FS34" s="95"/>
      <c r="FT34" s="44" t="s">
        <v>46</v>
      </c>
      <c r="FU34" s="44" t="s">
        <v>46</v>
      </c>
      <c r="FV34" s="44">
        <v>0</v>
      </c>
      <c r="FW34" s="44" t="s">
        <v>46</v>
      </c>
      <c r="FX34" s="44" t="s">
        <v>46</v>
      </c>
      <c r="FY34" s="44">
        <v>0</v>
      </c>
      <c r="FZ34" s="44" t="s">
        <v>46</v>
      </c>
      <c r="GA34" s="44" t="s">
        <v>46</v>
      </c>
      <c r="GB34" s="44">
        <v>0</v>
      </c>
      <c r="GC34" s="44" t="s">
        <v>46</v>
      </c>
      <c r="GD34" s="44" t="s">
        <v>46</v>
      </c>
      <c r="GE34" s="44">
        <v>0</v>
      </c>
      <c r="GF34" s="44" t="s">
        <v>46</v>
      </c>
      <c r="GG34" s="44" t="s">
        <v>46</v>
      </c>
      <c r="GH34" s="44">
        <v>0</v>
      </c>
      <c r="GI34" s="44" t="s">
        <v>46</v>
      </c>
      <c r="GJ34" s="44" t="s">
        <v>46</v>
      </c>
      <c r="GK34" s="44">
        <v>0</v>
      </c>
      <c r="GL34" s="44" t="s">
        <v>46</v>
      </c>
      <c r="GM34" s="44" t="s">
        <v>46</v>
      </c>
      <c r="GN34" s="44">
        <v>0</v>
      </c>
      <c r="GO34" s="44" t="s">
        <v>46</v>
      </c>
      <c r="GP34" s="44" t="s">
        <v>46</v>
      </c>
      <c r="GQ34" s="44">
        <v>0</v>
      </c>
      <c r="GR34" s="44" t="s">
        <v>46</v>
      </c>
      <c r="GS34" s="44" t="s">
        <v>46</v>
      </c>
      <c r="GT34" s="44">
        <v>0</v>
      </c>
      <c r="GU34" s="44" t="s">
        <v>46</v>
      </c>
      <c r="GV34" s="44" t="s">
        <v>46</v>
      </c>
      <c r="GW34" s="44">
        <v>0</v>
      </c>
      <c r="GX34" s="44" t="s">
        <v>46</v>
      </c>
      <c r="GY34" s="44" t="s">
        <v>46</v>
      </c>
      <c r="GZ34" s="44">
        <v>0</v>
      </c>
      <c r="HA34" s="44" t="s">
        <v>46</v>
      </c>
      <c r="HB34" s="44" t="s">
        <v>46</v>
      </c>
      <c r="HC34" s="44">
        <v>0</v>
      </c>
      <c r="HD34" s="44" t="s">
        <v>46</v>
      </c>
      <c r="HE34" s="44" t="s">
        <v>46</v>
      </c>
      <c r="HF34" s="44">
        <f t="shared" si="30"/>
        <v>0</v>
      </c>
      <c r="HG34" s="44"/>
      <c r="HH34" s="44" t="s">
        <v>46</v>
      </c>
      <c r="HI34" s="44" t="s">
        <v>46</v>
      </c>
      <c r="HJ34" s="44">
        <v>0</v>
      </c>
      <c r="HK34" s="44" t="s">
        <v>46</v>
      </c>
      <c r="HL34" s="44" t="s">
        <v>46</v>
      </c>
      <c r="HM34" s="44">
        <v>0</v>
      </c>
      <c r="HN34" s="44" t="s">
        <v>46</v>
      </c>
      <c r="HO34" s="44" t="s">
        <v>46</v>
      </c>
      <c r="HP34" s="44">
        <v>0</v>
      </c>
      <c r="HQ34" s="44" t="s">
        <v>46</v>
      </c>
      <c r="HR34" s="44" t="s">
        <v>46</v>
      </c>
      <c r="HS34" s="44">
        <v>0</v>
      </c>
      <c r="HT34" s="44" t="s">
        <v>46</v>
      </c>
      <c r="HU34" s="44" t="s">
        <v>46</v>
      </c>
      <c r="HV34" s="44">
        <v>0</v>
      </c>
      <c r="HW34" s="44" t="s">
        <v>46</v>
      </c>
      <c r="HX34" s="44" t="s">
        <v>46</v>
      </c>
      <c r="HY34" s="44">
        <v>0</v>
      </c>
      <c r="HZ34" s="44" t="s">
        <v>46</v>
      </c>
      <c r="IA34" s="44" t="s">
        <v>46</v>
      </c>
      <c r="IB34" s="44">
        <v>0</v>
      </c>
      <c r="IC34" s="44" t="s">
        <v>46</v>
      </c>
      <c r="ID34" s="44" t="s">
        <v>46</v>
      </c>
      <c r="IE34" s="44">
        <v>0</v>
      </c>
      <c r="IF34" s="44" t="s">
        <v>46</v>
      </c>
      <c r="IG34" s="44" t="s">
        <v>46</v>
      </c>
      <c r="IH34" s="44">
        <v>0</v>
      </c>
      <c r="II34" s="44" t="s">
        <v>46</v>
      </c>
      <c r="IJ34" s="44" t="s">
        <v>46</v>
      </c>
      <c r="IK34" s="44">
        <v>0</v>
      </c>
      <c r="IL34" s="44" t="s">
        <v>46</v>
      </c>
      <c r="IM34" s="44" t="s">
        <v>46</v>
      </c>
      <c r="IN34" s="44">
        <v>0</v>
      </c>
      <c r="IO34" s="44" t="s">
        <v>46</v>
      </c>
      <c r="IP34" s="44" t="s">
        <v>46</v>
      </c>
      <c r="IQ34" s="44">
        <v>0</v>
      </c>
      <c r="IR34" s="44" t="s">
        <v>46</v>
      </c>
      <c r="IS34" s="44" t="s">
        <v>46</v>
      </c>
      <c r="IT34" s="50">
        <f t="shared" si="70"/>
        <v>0</v>
      </c>
      <c r="IU34" s="44"/>
      <c r="IV34" s="44" t="s">
        <v>46</v>
      </c>
      <c r="IW34" s="44" t="s">
        <v>46</v>
      </c>
      <c r="IX34" s="50">
        <v>0</v>
      </c>
      <c r="IY34" s="44" t="s">
        <v>46</v>
      </c>
      <c r="IZ34" s="44" t="s">
        <v>46</v>
      </c>
      <c r="JA34" s="50">
        <v>0</v>
      </c>
      <c r="JB34" s="44" t="s">
        <v>46</v>
      </c>
      <c r="JC34" s="44" t="s">
        <v>46</v>
      </c>
      <c r="JD34" s="50">
        <v>0</v>
      </c>
      <c r="JE34" s="44" t="s">
        <v>46</v>
      </c>
      <c r="JF34" s="44" t="s">
        <v>46</v>
      </c>
      <c r="JG34" s="50">
        <v>0</v>
      </c>
      <c r="JH34" s="44" t="s">
        <v>46</v>
      </c>
      <c r="JI34" s="44" t="s">
        <v>46</v>
      </c>
      <c r="JJ34" s="50">
        <v>0</v>
      </c>
      <c r="JK34" s="44" t="s">
        <v>46</v>
      </c>
      <c r="JL34" s="44" t="s">
        <v>46</v>
      </c>
      <c r="JM34" s="50">
        <v>0</v>
      </c>
      <c r="JN34" s="44" t="s">
        <v>46</v>
      </c>
      <c r="JO34" s="44" t="s">
        <v>46</v>
      </c>
      <c r="JP34" s="50">
        <v>0</v>
      </c>
      <c r="JQ34" s="44" t="s">
        <v>46</v>
      </c>
      <c r="JR34" s="44" t="s">
        <v>46</v>
      </c>
      <c r="JS34" s="50">
        <v>0</v>
      </c>
      <c r="JT34" s="44" t="s">
        <v>46</v>
      </c>
      <c r="JU34" s="44" t="s">
        <v>46</v>
      </c>
      <c r="JV34" s="50">
        <v>0</v>
      </c>
      <c r="JW34" s="44" t="s">
        <v>46</v>
      </c>
      <c r="JX34" s="44" t="s">
        <v>46</v>
      </c>
      <c r="JY34" s="50">
        <v>0</v>
      </c>
      <c r="JZ34" s="44" t="s">
        <v>46</v>
      </c>
      <c r="KA34" s="44" t="s">
        <v>46</v>
      </c>
      <c r="KB34" s="50">
        <v>0</v>
      </c>
      <c r="KC34" s="44" t="s">
        <v>46</v>
      </c>
      <c r="KD34" s="44" t="s">
        <v>46</v>
      </c>
      <c r="KE34" s="50">
        <v>0</v>
      </c>
      <c r="KF34" s="44" t="s">
        <v>46</v>
      </c>
      <c r="KG34" s="44" t="s">
        <v>46</v>
      </c>
      <c r="KH34" s="50">
        <f t="shared" si="4"/>
        <v>0</v>
      </c>
      <c r="KI34" s="44"/>
      <c r="KJ34" s="44" t="s">
        <v>46</v>
      </c>
      <c r="KK34" s="44" t="s">
        <v>46</v>
      </c>
      <c r="KL34" s="50">
        <v>0</v>
      </c>
      <c r="KM34" s="44" t="s">
        <v>46</v>
      </c>
      <c r="KN34" s="44" t="s">
        <v>46</v>
      </c>
      <c r="KO34" s="50">
        <v>0</v>
      </c>
      <c r="KP34" s="44" t="s">
        <v>46</v>
      </c>
      <c r="KQ34" s="44" t="s">
        <v>46</v>
      </c>
      <c r="KR34" s="50">
        <v>0</v>
      </c>
      <c r="KS34" s="44" t="s">
        <v>46</v>
      </c>
      <c r="KT34" s="44" t="s">
        <v>46</v>
      </c>
      <c r="KU34" s="50">
        <v>0</v>
      </c>
      <c r="KV34" s="44" t="s">
        <v>46</v>
      </c>
      <c r="KW34" s="44" t="s">
        <v>46</v>
      </c>
      <c r="KX34" s="50">
        <v>0</v>
      </c>
      <c r="KY34" s="44" t="s">
        <v>46</v>
      </c>
      <c r="KZ34" s="44" t="s">
        <v>46</v>
      </c>
      <c r="LA34" s="50">
        <v>0</v>
      </c>
      <c r="LB34" s="44" t="s">
        <v>46</v>
      </c>
      <c r="LC34" s="44" t="s">
        <v>46</v>
      </c>
      <c r="LD34" s="50">
        <v>0</v>
      </c>
      <c r="LE34" s="44"/>
      <c r="LF34" s="44"/>
      <c r="LG34" s="44">
        <v>0</v>
      </c>
      <c r="LH34" s="44" t="s">
        <v>46</v>
      </c>
      <c r="LI34" s="44" t="s">
        <v>46</v>
      </c>
      <c r="LJ34" s="50">
        <v>0</v>
      </c>
      <c r="LK34" s="44" t="s">
        <v>46</v>
      </c>
      <c r="LL34" s="44" t="s">
        <v>46</v>
      </c>
      <c r="LM34" s="50">
        <v>0</v>
      </c>
      <c r="LN34" s="44" t="s">
        <v>46</v>
      </c>
      <c r="LO34" s="44" t="s">
        <v>46</v>
      </c>
      <c r="LP34" s="50">
        <v>0</v>
      </c>
      <c r="LQ34" s="44" t="s">
        <v>46</v>
      </c>
      <c r="LR34" s="44" t="s">
        <v>46</v>
      </c>
      <c r="LS34" s="50">
        <v>0</v>
      </c>
      <c r="LT34" s="44" t="s">
        <v>46</v>
      </c>
      <c r="LU34" s="50" t="s">
        <v>46</v>
      </c>
      <c r="LV34" s="50">
        <f t="shared" si="58"/>
        <v>0</v>
      </c>
      <c r="LW34" s="50"/>
      <c r="LX34" s="44" t="s">
        <v>46</v>
      </c>
      <c r="LY34" s="44" t="s">
        <v>46</v>
      </c>
      <c r="LZ34" s="50">
        <v>0</v>
      </c>
      <c r="MA34" s="44" t="s">
        <v>46</v>
      </c>
      <c r="MB34" s="44" t="s">
        <v>46</v>
      </c>
      <c r="MC34" s="50">
        <v>0</v>
      </c>
      <c r="MD34" s="44" t="s">
        <v>46</v>
      </c>
      <c r="ME34" s="44" t="s">
        <v>46</v>
      </c>
      <c r="MF34" s="50">
        <v>0</v>
      </c>
      <c r="MG34" s="44" t="s">
        <v>46</v>
      </c>
      <c r="MH34" s="44" t="s">
        <v>46</v>
      </c>
      <c r="MI34" s="50">
        <v>0</v>
      </c>
      <c r="MJ34" s="44" t="s">
        <v>46</v>
      </c>
      <c r="MK34" s="44" t="s">
        <v>46</v>
      </c>
      <c r="ML34" s="50">
        <v>0</v>
      </c>
      <c r="MM34" s="44" t="s">
        <v>46</v>
      </c>
      <c r="MN34" s="44" t="s">
        <v>46</v>
      </c>
      <c r="MO34" s="50">
        <v>0</v>
      </c>
      <c r="MP34" s="44" t="s">
        <v>46</v>
      </c>
      <c r="MQ34" s="44" t="s">
        <v>46</v>
      </c>
      <c r="MR34" s="50">
        <v>0</v>
      </c>
      <c r="MS34" s="44" t="s">
        <v>46</v>
      </c>
      <c r="MT34" s="44" t="s">
        <v>46</v>
      </c>
      <c r="MU34" s="50">
        <v>0</v>
      </c>
      <c r="MV34" s="44" t="s">
        <v>46</v>
      </c>
      <c r="MW34" s="44" t="s">
        <v>46</v>
      </c>
      <c r="MX34" s="50">
        <v>0</v>
      </c>
      <c r="MY34" s="44" t="s">
        <v>46</v>
      </c>
      <c r="MZ34" s="44" t="s">
        <v>46</v>
      </c>
      <c r="NA34" s="50">
        <v>0</v>
      </c>
      <c r="NB34" s="44" t="s">
        <v>46</v>
      </c>
      <c r="NC34" s="44" t="s">
        <v>46</v>
      </c>
      <c r="ND34" s="50">
        <v>0</v>
      </c>
      <c r="NE34" s="44" t="s">
        <v>46</v>
      </c>
      <c r="NF34" s="44" t="s">
        <v>46</v>
      </c>
      <c r="NG34" s="50">
        <v>0</v>
      </c>
      <c r="NH34" s="44" t="s">
        <v>46</v>
      </c>
      <c r="NI34" s="50" t="s">
        <v>46</v>
      </c>
      <c r="NJ34" s="50">
        <f t="shared" si="7"/>
        <v>0</v>
      </c>
      <c r="NK34" s="50"/>
      <c r="NL34" s="44" t="s">
        <v>46</v>
      </c>
      <c r="NM34" s="50" t="s">
        <v>46</v>
      </c>
      <c r="NN34" s="50"/>
      <c r="NO34" s="44" t="s">
        <v>46</v>
      </c>
      <c r="NP34" s="50" t="s">
        <v>46</v>
      </c>
      <c r="NQ34" s="50"/>
      <c r="NR34" s="44" t="s">
        <v>46</v>
      </c>
      <c r="NS34" s="50" t="s">
        <v>46</v>
      </c>
      <c r="NT34" s="50"/>
      <c r="NU34" s="44" t="s">
        <v>46</v>
      </c>
      <c r="NV34" s="50" t="s">
        <v>46</v>
      </c>
      <c r="NW34" s="50"/>
      <c r="NX34" s="44" t="s">
        <v>46</v>
      </c>
      <c r="NY34" s="50" t="s">
        <v>46</v>
      </c>
      <c r="NZ34" s="50"/>
      <c r="OA34" s="50" t="s">
        <v>46</v>
      </c>
      <c r="OB34" s="50" t="s">
        <v>46</v>
      </c>
      <c r="OC34" s="50"/>
      <c r="OD34" s="50" t="s">
        <v>46</v>
      </c>
      <c r="OE34" s="50" t="s">
        <v>46</v>
      </c>
      <c r="OF34" s="50"/>
      <c r="OG34" s="50" t="s">
        <v>46</v>
      </c>
      <c r="OH34" s="50" t="s">
        <v>46</v>
      </c>
      <c r="OI34" s="50"/>
      <c r="OJ34" s="50" t="s">
        <v>46</v>
      </c>
      <c r="OK34" s="50" t="s">
        <v>46</v>
      </c>
      <c r="OL34" s="50"/>
      <c r="OM34" s="50" t="s">
        <v>46</v>
      </c>
      <c r="ON34" s="50" t="s">
        <v>46</v>
      </c>
      <c r="OO34" s="50"/>
      <c r="OP34" s="50" t="s">
        <v>46</v>
      </c>
      <c r="OQ34" s="50" t="s">
        <v>46</v>
      </c>
      <c r="OR34" s="50"/>
      <c r="OS34" s="50" t="s">
        <v>46</v>
      </c>
      <c r="OT34" s="50" t="s">
        <v>46</v>
      </c>
      <c r="OU34" s="50"/>
      <c r="OV34" s="44" t="s">
        <v>46</v>
      </c>
      <c r="OW34" s="50" t="s">
        <v>46</v>
      </c>
      <c r="OX34" s="50">
        <f t="shared" si="9"/>
        <v>0</v>
      </c>
      <c r="OY34" s="50"/>
      <c r="OZ34" s="44" t="s">
        <v>46</v>
      </c>
      <c r="PA34" s="50" t="s">
        <v>46</v>
      </c>
      <c r="PB34" s="50"/>
      <c r="PC34" s="44" t="s">
        <v>46</v>
      </c>
      <c r="PD34" s="50" t="s">
        <v>46</v>
      </c>
      <c r="PE34" s="50"/>
      <c r="PF34" s="44" t="s">
        <v>46</v>
      </c>
      <c r="PG34" s="50" t="s">
        <v>46</v>
      </c>
      <c r="PH34" s="50"/>
      <c r="PI34" s="44" t="s">
        <v>46</v>
      </c>
      <c r="PJ34" s="50" t="s">
        <v>46</v>
      </c>
      <c r="PK34" s="50"/>
      <c r="PL34" s="44" t="s">
        <v>46</v>
      </c>
      <c r="PM34" s="50" t="s">
        <v>46</v>
      </c>
      <c r="PN34" s="50"/>
      <c r="PO34" s="44" t="s">
        <v>46</v>
      </c>
      <c r="PP34" s="50" t="s">
        <v>46</v>
      </c>
      <c r="PQ34" s="50"/>
      <c r="PR34" s="44" t="s">
        <v>46</v>
      </c>
      <c r="PS34" s="50" t="s">
        <v>46</v>
      </c>
      <c r="PT34" s="50"/>
      <c r="PU34" s="44" t="s">
        <v>46</v>
      </c>
      <c r="PV34" s="50" t="s">
        <v>46</v>
      </c>
      <c r="PW34" s="50"/>
      <c r="PX34" s="44" t="s">
        <v>46</v>
      </c>
      <c r="PY34" s="50" t="s">
        <v>46</v>
      </c>
      <c r="PZ34" s="50"/>
      <c r="QA34" s="44" t="s">
        <v>46</v>
      </c>
      <c r="QB34" s="50" t="s">
        <v>46</v>
      </c>
      <c r="QC34" s="50"/>
      <c r="QD34" s="44" t="s">
        <v>46</v>
      </c>
      <c r="QE34" s="50" t="s">
        <v>46</v>
      </c>
      <c r="QF34" s="50"/>
      <c r="QG34" s="44" t="s">
        <v>46</v>
      </c>
      <c r="QH34" s="50" t="s">
        <v>46</v>
      </c>
      <c r="QI34" s="50"/>
      <c r="QJ34" s="44" t="s">
        <v>46</v>
      </c>
      <c r="QK34" s="50" t="s">
        <v>46</v>
      </c>
      <c r="QL34" s="50">
        <f t="shared" si="40"/>
        <v>0</v>
      </c>
      <c r="QM34" s="50"/>
      <c r="QN34" s="44" t="s">
        <v>46</v>
      </c>
      <c r="QO34" s="50" t="s">
        <v>46</v>
      </c>
      <c r="QP34" s="50"/>
      <c r="QQ34" s="44" t="s">
        <v>46</v>
      </c>
      <c r="QR34" s="50" t="s">
        <v>46</v>
      </c>
      <c r="QS34" s="50"/>
      <c r="QT34" s="44" t="s">
        <v>46</v>
      </c>
      <c r="QU34" s="50" t="s">
        <v>46</v>
      </c>
      <c r="QV34" s="50"/>
      <c r="QW34" s="44" t="s">
        <v>46</v>
      </c>
      <c r="QX34" s="50" t="s">
        <v>46</v>
      </c>
      <c r="QY34" s="50"/>
      <c r="QZ34" s="44" t="s">
        <v>46</v>
      </c>
      <c r="RA34" s="50" t="s">
        <v>46</v>
      </c>
      <c r="RB34" s="50"/>
      <c r="RC34" s="44" t="s">
        <v>46</v>
      </c>
      <c r="RD34" s="50" t="s">
        <v>46</v>
      </c>
      <c r="RE34" s="50"/>
      <c r="RF34" s="44" t="s">
        <v>46</v>
      </c>
      <c r="RG34" s="50" t="s">
        <v>46</v>
      </c>
      <c r="RH34" s="50"/>
      <c r="RI34" s="44" t="s">
        <v>46</v>
      </c>
      <c r="RJ34" s="50" t="s">
        <v>46</v>
      </c>
      <c r="RK34" s="50"/>
      <c r="RL34" s="44" t="s">
        <v>46</v>
      </c>
      <c r="RM34" s="50" t="s">
        <v>46</v>
      </c>
      <c r="RN34" s="50"/>
      <c r="RO34" s="44" t="s">
        <v>46</v>
      </c>
      <c r="RP34" s="50" t="s">
        <v>46</v>
      </c>
      <c r="RQ34" s="50"/>
      <c r="RR34" s="44" t="s">
        <v>46</v>
      </c>
      <c r="RS34" s="50" t="s">
        <v>46</v>
      </c>
      <c r="RT34" s="50"/>
      <c r="RU34" s="44" t="s">
        <v>46</v>
      </c>
      <c r="RV34" s="50" t="s">
        <v>46</v>
      </c>
      <c r="RW34" s="50"/>
      <c r="RX34" s="44" t="s">
        <v>46</v>
      </c>
      <c r="RY34" s="50" t="s">
        <v>46</v>
      </c>
      <c r="RZ34" s="50">
        <f t="shared" si="43"/>
        <v>0</v>
      </c>
      <c r="SA34" s="50"/>
      <c r="SB34" s="44" t="s">
        <v>46</v>
      </c>
      <c r="SC34" s="50" t="s">
        <v>46</v>
      </c>
      <c r="SD34" s="50"/>
      <c r="SE34" s="44" t="s">
        <v>46</v>
      </c>
      <c r="SF34" s="50" t="s">
        <v>46</v>
      </c>
      <c r="SG34" s="50"/>
      <c r="SH34" s="44" t="s">
        <v>46</v>
      </c>
      <c r="SI34" s="50" t="s">
        <v>46</v>
      </c>
      <c r="SJ34" s="50"/>
      <c r="SK34" s="44" t="s">
        <v>46</v>
      </c>
      <c r="SL34" s="50" t="s">
        <v>46</v>
      </c>
      <c r="SM34" s="50"/>
      <c r="SN34" s="44" t="s">
        <v>46</v>
      </c>
      <c r="SO34" s="50" t="s">
        <v>46</v>
      </c>
      <c r="SP34" s="50"/>
      <c r="SQ34" s="50" t="s">
        <v>46</v>
      </c>
      <c r="SR34" s="50" t="s">
        <v>46</v>
      </c>
      <c r="SS34" s="50"/>
      <c r="ST34" s="50" t="s">
        <v>46</v>
      </c>
      <c r="SU34" s="50" t="s">
        <v>46</v>
      </c>
      <c r="SV34" s="50"/>
      <c r="SW34" s="50" t="s">
        <v>46</v>
      </c>
      <c r="SX34" s="50" t="s">
        <v>46</v>
      </c>
      <c r="SY34" s="50"/>
      <c r="SZ34" s="50" t="s">
        <v>46</v>
      </c>
      <c r="TA34" s="50" t="s">
        <v>46</v>
      </c>
      <c r="TB34" s="50"/>
      <c r="TC34" s="50" t="s">
        <v>46</v>
      </c>
      <c r="TD34" s="50" t="s">
        <v>46</v>
      </c>
      <c r="TE34" s="50"/>
      <c r="TF34" s="50" t="s">
        <v>46</v>
      </c>
      <c r="TG34" s="50" t="s">
        <v>46</v>
      </c>
      <c r="TH34" s="50"/>
      <c r="TI34" s="50" t="s">
        <v>46</v>
      </c>
      <c r="TJ34" s="50" t="s">
        <v>46</v>
      </c>
      <c r="TK34" s="50"/>
      <c r="TL34" s="44" t="s">
        <v>46</v>
      </c>
      <c r="TM34" s="50" t="s">
        <v>46</v>
      </c>
      <c r="TN34" s="50">
        <f t="shared" si="47"/>
        <v>0</v>
      </c>
      <c r="TO34" s="44" t="s">
        <v>46</v>
      </c>
      <c r="TP34" s="50" t="s">
        <v>46</v>
      </c>
      <c r="TQ34" s="50"/>
      <c r="TR34" s="44" t="s">
        <v>46</v>
      </c>
      <c r="TS34" s="50" t="s">
        <v>46</v>
      </c>
      <c r="TT34" s="50"/>
      <c r="TU34" s="44" t="s">
        <v>46</v>
      </c>
      <c r="TV34" s="50" t="s">
        <v>46</v>
      </c>
      <c r="TW34" s="50"/>
      <c r="TX34" s="44" t="s">
        <v>46</v>
      </c>
      <c r="TY34" s="50" t="s">
        <v>46</v>
      </c>
      <c r="TZ34" s="50"/>
      <c r="UA34" s="50"/>
      <c r="UB34" s="50"/>
      <c r="UC34" s="50"/>
      <c r="UD34" s="50"/>
      <c r="UE34" s="50"/>
      <c r="UF34" s="50"/>
      <c r="UG34" s="50"/>
      <c r="UH34" s="50"/>
      <c r="UI34" s="50"/>
      <c r="UJ34" s="50"/>
      <c r="UK34" s="50"/>
      <c r="UL34" s="50"/>
      <c r="UM34" s="50"/>
      <c r="UN34" s="50"/>
      <c r="UO34" s="50"/>
      <c r="UP34" s="50"/>
      <c r="UQ34" s="50"/>
      <c r="UR34" s="50"/>
      <c r="US34" s="50"/>
      <c r="UT34" s="50"/>
      <c r="UU34" s="50"/>
      <c r="UV34" s="50"/>
      <c r="UW34" s="50"/>
      <c r="UX34" s="50"/>
      <c r="UY34" s="292" t="s">
        <v>46</v>
      </c>
      <c r="UZ34" s="276" t="s">
        <v>46</v>
      </c>
      <c r="VA34" s="276">
        <f t="shared" si="52"/>
        <v>0</v>
      </c>
      <c r="VB34" s="292" t="s">
        <v>46</v>
      </c>
      <c r="VC34" s="276" t="s">
        <v>46</v>
      </c>
      <c r="VD34" s="276">
        <f t="shared" si="55"/>
        <v>0</v>
      </c>
      <c r="VE34" s="277">
        <f t="shared" si="56"/>
        <v>0</v>
      </c>
      <c r="VF34" s="277" t="e">
        <f t="shared" si="57"/>
        <v>#DIV/0!</v>
      </c>
    </row>
    <row r="35" spans="1:578" s="12" customFormat="1" ht="29.25" customHeight="1">
      <c r="A35" s="314" t="s">
        <v>136</v>
      </c>
      <c r="B35" s="13">
        <v>3200</v>
      </c>
      <c r="C35" s="47" t="s">
        <v>137</v>
      </c>
      <c r="D35" s="42">
        <v>126.72745601903233</v>
      </c>
      <c r="E35" s="42">
        <v>124.91552410060272</v>
      </c>
      <c r="F35" s="42">
        <v>116.74817303259513</v>
      </c>
      <c r="G35" s="42">
        <v>96.11497515665819</v>
      </c>
      <c r="H35" s="42">
        <v>8.0741600787701842</v>
      </c>
      <c r="I35" s="42">
        <v>9.1305897519080723</v>
      </c>
      <c r="J35" s="42">
        <v>7.7543468733814844</v>
      </c>
      <c r="K35" s="42">
        <v>8.2440580873187965</v>
      </c>
      <c r="L35" s="42">
        <v>9.058730456855681</v>
      </c>
      <c r="M35" s="42">
        <v>7.8545270089527097</v>
      </c>
      <c r="N35" s="42">
        <v>10.217611168974566</v>
      </c>
      <c r="O35" s="42">
        <v>9.0059959818100079</v>
      </c>
      <c r="P35" s="42">
        <v>8.4651325262804438</v>
      </c>
      <c r="Q35" s="42">
        <v>8.7839411841708355</v>
      </c>
      <c r="R35" s="42">
        <v>12.477706444471005</v>
      </c>
      <c r="S35" s="42">
        <v>12.805591601641424</v>
      </c>
      <c r="T35" s="44" t="s">
        <v>46</v>
      </c>
      <c r="U35" s="44" t="s">
        <v>46</v>
      </c>
      <c r="V35" s="42">
        <v>111.8723911645352</v>
      </c>
      <c r="W35" s="42">
        <v>111.67286185053015</v>
      </c>
      <c r="X35" s="42">
        <v>6.4613050011098405</v>
      </c>
      <c r="Y35" s="42">
        <v>-2.1368304676695069</v>
      </c>
      <c r="Z35" s="42">
        <v>3.2544792004598722</v>
      </c>
      <c r="AA35" s="42">
        <v>2.6728376617093814</v>
      </c>
      <c r="AB35" s="42">
        <v>3.2132785243111877</v>
      </c>
      <c r="AC35" s="42">
        <v>4.0902427988457664</v>
      </c>
      <c r="AD35" s="42">
        <v>3.815843393037035</v>
      </c>
      <c r="AE35" s="42">
        <v>2.4558625164341694</v>
      </c>
      <c r="AF35" s="42">
        <v>3.4453062304710849</v>
      </c>
      <c r="AG35" s="42">
        <v>2.4603118365860182</v>
      </c>
      <c r="AH35" s="42">
        <v>6.0661834593997757</v>
      </c>
      <c r="AI35" s="42">
        <v>4.0629407345433437</v>
      </c>
      <c r="AJ35" s="42">
        <v>0</v>
      </c>
      <c r="AK35" s="42">
        <v>0</v>
      </c>
      <c r="AL35" s="42">
        <v>39.861760889237964</v>
      </c>
      <c r="AM35" s="42">
        <v>39.386792050130616</v>
      </c>
      <c r="AN35" s="42">
        <v>1.5206600986903887</v>
      </c>
      <c r="AO35" s="42">
        <v>4.6989203248700919</v>
      </c>
      <c r="AP35" s="42">
        <v>2.92018116003893</v>
      </c>
      <c r="AQ35" s="42">
        <v>4.9271944951935387</v>
      </c>
      <c r="AR35" s="42">
        <v>4.7525938953107838</v>
      </c>
      <c r="AS35" s="42">
        <v>3.7334605380732038</v>
      </c>
      <c r="AT35" s="42">
        <v>4.3862613189452535</v>
      </c>
      <c r="AU35" s="42">
        <v>4.0240223447789152</v>
      </c>
      <c r="AV35" s="42">
        <v>1.7780846437982711</v>
      </c>
      <c r="AW35" s="42">
        <v>3.3322306076800938</v>
      </c>
      <c r="AX35" s="42">
        <v>3.9009268586974457</v>
      </c>
      <c r="AY35" s="42">
        <v>4.2802089914115458</v>
      </c>
      <c r="AZ35" s="44" t="s">
        <v>46</v>
      </c>
      <c r="BA35" s="44" t="s">
        <v>46</v>
      </c>
      <c r="BB35" s="42">
        <v>44.25474527748846</v>
      </c>
      <c r="BC35" s="42">
        <v>44.132536240545015</v>
      </c>
      <c r="BD35" s="44" t="s">
        <v>46</v>
      </c>
      <c r="BE35" s="44" t="s">
        <v>46</v>
      </c>
      <c r="BF35" s="49">
        <v>2.6900210000000002</v>
      </c>
      <c r="BG35" s="44" t="s">
        <v>46</v>
      </c>
      <c r="BH35" s="44" t="s">
        <v>46</v>
      </c>
      <c r="BI35" s="44">
        <v>4.917637</v>
      </c>
      <c r="BJ35" s="44" t="s">
        <v>46</v>
      </c>
      <c r="BK35" s="44" t="s">
        <v>46</v>
      </c>
      <c r="BL35" s="44">
        <v>3.3902580000000002</v>
      </c>
      <c r="BM35" s="44" t="s">
        <v>46</v>
      </c>
      <c r="BN35" s="44" t="s">
        <v>46</v>
      </c>
      <c r="BO35" s="44">
        <v>3.6814979999999999</v>
      </c>
      <c r="BP35" s="44" t="s">
        <v>46</v>
      </c>
      <c r="BQ35" s="44" t="s">
        <v>46</v>
      </c>
      <c r="BR35" s="44">
        <v>4.4939280000000004</v>
      </c>
      <c r="BS35" s="44" t="s">
        <v>46</v>
      </c>
      <c r="BT35" s="44" t="s">
        <v>46</v>
      </c>
      <c r="BU35" s="44">
        <v>4.3703260000000004</v>
      </c>
      <c r="BV35" s="44" t="s">
        <v>46</v>
      </c>
      <c r="BW35" s="44" t="s">
        <v>46</v>
      </c>
      <c r="BX35" s="44">
        <v>5.8405560000000003</v>
      </c>
      <c r="BY35" s="44" t="s">
        <v>46</v>
      </c>
      <c r="BZ35" s="44" t="s">
        <v>46</v>
      </c>
      <c r="CA35" s="44">
        <v>3.8594940000000002</v>
      </c>
      <c r="CB35" s="44" t="s">
        <v>46</v>
      </c>
      <c r="CC35" s="44" t="s">
        <v>46</v>
      </c>
      <c r="CD35" s="44">
        <v>3.1654909999999998</v>
      </c>
      <c r="CE35" s="44" t="s">
        <v>46</v>
      </c>
      <c r="CF35" s="44" t="s">
        <v>46</v>
      </c>
      <c r="CG35" s="44">
        <v>3.731179</v>
      </c>
      <c r="CH35" s="44" t="s">
        <v>46</v>
      </c>
      <c r="CI35" s="44" t="s">
        <v>46</v>
      </c>
      <c r="CJ35" s="44">
        <v>4.0369289999999998</v>
      </c>
      <c r="CK35" s="44" t="s">
        <v>46</v>
      </c>
      <c r="CL35" s="44" t="s">
        <v>46</v>
      </c>
      <c r="CM35" s="44">
        <v>3.9358070000000001</v>
      </c>
      <c r="CN35" s="50"/>
      <c r="CO35" s="50"/>
      <c r="CP35" s="50">
        <f t="shared" si="21"/>
        <v>48.113123999999992</v>
      </c>
      <c r="CQ35" s="50">
        <v>47.741000999999997</v>
      </c>
      <c r="CR35" s="44" t="s">
        <v>46</v>
      </c>
      <c r="CS35" s="44" t="s">
        <v>46</v>
      </c>
      <c r="CT35" s="44">
        <v>1.861998</v>
      </c>
      <c r="CU35" s="44" t="s">
        <v>46</v>
      </c>
      <c r="CV35" s="44" t="s">
        <v>46</v>
      </c>
      <c r="CW35" s="49">
        <v>3.2141060000000001</v>
      </c>
      <c r="CX35" s="44" t="s">
        <v>46</v>
      </c>
      <c r="CY35" s="44" t="s">
        <v>46</v>
      </c>
      <c r="CZ35" s="49">
        <v>4.7073020000000003</v>
      </c>
      <c r="DA35" s="44" t="s">
        <v>46</v>
      </c>
      <c r="DB35" s="44" t="s">
        <v>46</v>
      </c>
      <c r="DC35" s="49">
        <v>3.892388</v>
      </c>
      <c r="DD35" s="44" t="s">
        <v>46</v>
      </c>
      <c r="DE35" s="44" t="s">
        <v>46</v>
      </c>
      <c r="DF35" s="49">
        <v>4.2553489999999998</v>
      </c>
      <c r="DG35" s="44" t="s">
        <v>46</v>
      </c>
      <c r="DH35" s="44" t="s">
        <v>46</v>
      </c>
      <c r="DI35" s="49">
        <v>4.6982189999999999</v>
      </c>
      <c r="DJ35" s="44" t="s">
        <v>46</v>
      </c>
      <c r="DK35" s="44" t="s">
        <v>46</v>
      </c>
      <c r="DL35" s="49">
        <v>3.6961550000000001</v>
      </c>
      <c r="DM35" s="44" t="s">
        <v>46</v>
      </c>
      <c r="DN35" s="44" t="s">
        <v>46</v>
      </c>
      <c r="DO35" s="49">
        <v>3.10392</v>
      </c>
      <c r="DP35" s="44" t="s">
        <v>46</v>
      </c>
      <c r="DQ35" s="44" t="s">
        <v>46</v>
      </c>
      <c r="DR35" s="49">
        <v>3.5817640000000002</v>
      </c>
      <c r="DS35" s="44" t="s">
        <v>46</v>
      </c>
      <c r="DT35" s="44" t="s">
        <v>46</v>
      </c>
      <c r="DU35" s="49">
        <v>3.9974729999999998</v>
      </c>
      <c r="DV35" s="44" t="s">
        <v>46</v>
      </c>
      <c r="DW35" s="44" t="s">
        <v>46</v>
      </c>
      <c r="DX35" s="49">
        <v>3.2089180000000002</v>
      </c>
      <c r="DY35" s="44" t="s">
        <v>46</v>
      </c>
      <c r="DZ35" s="44" t="s">
        <v>46</v>
      </c>
      <c r="EA35" s="44">
        <v>4.9478109999999997</v>
      </c>
      <c r="EB35" s="44" t="s">
        <v>46</v>
      </c>
      <c r="EC35" s="44" t="s">
        <v>46</v>
      </c>
      <c r="ED35" s="44">
        <f t="shared" si="24"/>
        <v>45.165402999999998</v>
      </c>
      <c r="EE35" s="140">
        <v>45.895209999999999</v>
      </c>
      <c r="EF35" s="44" t="s">
        <v>46</v>
      </c>
      <c r="EG35" s="44" t="s">
        <v>46</v>
      </c>
      <c r="EH35" s="44">
        <v>2.504086</v>
      </c>
      <c r="EI35" s="44" t="s">
        <v>46</v>
      </c>
      <c r="EJ35" s="44" t="s">
        <v>46</v>
      </c>
      <c r="EK35" s="44">
        <v>3.89913</v>
      </c>
      <c r="EL35" s="44" t="s">
        <v>46</v>
      </c>
      <c r="EM35" s="44" t="s">
        <v>46</v>
      </c>
      <c r="EN35" s="44">
        <v>4.6681010000000001</v>
      </c>
      <c r="EO35" s="44" t="s">
        <v>46</v>
      </c>
      <c r="EP35" s="44" t="s">
        <v>46</v>
      </c>
      <c r="EQ35" s="44">
        <v>4.5629609999999996</v>
      </c>
      <c r="ER35" s="44" t="s">
        <v>46</v>
      </c>
      <c r="ES35" s="44" t="s">
        <v>46</v>
      </c>
      <c r="ET35" s="44">
        <v>6.125553</v>
      </c>
      <c r="EU35" s="44" t="s">
        <v>46</v>
      </c>
      <c r="EV35" s="44" t="s">
        <v>46</v>
      </c>
      <c r="EW35" s="44">
        <v>4.3681650000000003</v>
      </c>
      <c r="EX35" s="44" t="s">
        <v>46</v>
      </c>
      <c r="EY35" s="44" t="s">
        <v>46</v>
      </c>
      <c r="EZ35" s="44">
        <v>3.95072</v>
      </c>
      <c r="FA35" s="44" t="s">
        <v>46</v>
      </c>
      <c r="FB35" s="44" t="s">
        <v>46</v>
      </c>
      <c r="FC35" s="44">
        <v>3.5985550000000002</v>
      </c>
      <c r="FD35" s="44" t="s">
        <v>46</v>
      </c>
      <c r="FE35" s="44" t="s">
        <v>46</v>
      </c>
      <c r="FF35" s="44">
        <v>3.1097540000000001</v>
      </c>
      <c r="FG35" s="44" t="s">
        <v>46</v>
      </c>
      <c r="FH35" s="44" t="s">
        <v>46</v>
      </c>
      <c r="FI35" s="44">
        <v>3.1660940000000002</v>
      </c>
      <c r="FJ35" s="44" t="s">
        <v>46</v>
      </c>
      <c r="FK35" s="44" t="s">
        <v>46</v>
      </c>
      <c r="FL35" s="44">
        <v>4.8017950000000003</v>
      </c>
      <c r="FM35" s="44" t="s">
        <v>46</v>
      </c>
      <c r="FN35" s="44" t="s">
        <v>46</v>
      </c>
      <c r="FO35" s="44">
        <v>4.5923049999999996</v>
      </c>
      <c r="FP35" s="44" t="s">
        <v>46</v>
      </c>
      <c r="FQ35" s="44" t="s">
        <v>46</v>
      </c>
      <c r="FR35" s="44">
        <f t="shared" si="27"/>
        <v>49.347218999999996</v>
      </c>
      <c r="FS35" s="95">
        <f>48.397735+0.668879+0.284605</f>
        <v>49.351218999999993</v>
      </c>
      <c r="FT35" s="44" t="s">
        <v>46</v>
      </c>
      <c r="FU35" s="44" t="s">
        <v>46</v>
      </c>
      <c r="FV35" s="44">
        <v>3.5546549999999999</v>
      </c>
      <c r="FW35" s="44" t="s">
        <v>46</v>
      </c>
      <c r="FX35" s="44" t="s">
        <v>46</v>
      </c>
      <c r="FY35" s="44">
        <v>6.2694859999999997</v>
      </c>
      <c r="FZ35" s="44" t="s">
        <v>46</v>
      </c>
      <c r="GA35" s="44" t="s">
        <v>46</v>
      </c>
      <c r="GB35" s="44">
        <v>4.4048249999999998</v>
      </c>
      <c r="GC35" s="44" t="s">
        <v>46</v>
      </c>
      <c r="GD35" s="44" t="s">
        <v>46</v>
      </c>
      <c r="GE35" s="44">
        <v>7.4977479999999996</v>
      </c>
      <c r="GF35" s="44" t="s">
        <v>46</v>
      </c>
      <c r="GG35" s="44" t="s">
        <v>46</v>
      </c>
      <c r="GH35" s="44">
        <v>4.5079070000000003</v>
      </c>
      <c r="GI35" s="44" t="s">
        <v>46</v>
      </c>
      <c r="GJ35" s="44" t="s">
        <v>46</v>
      </c>
      <c r="GK35" s="44">
        <v>5.9392509999999996</v>
      </c>
      <c r="GL35" s="44" t="s">
        <v>46</v>
      </c>
      <c r="GM35" s="44" t="s">
        <v>46</v>
      </c>
      <c r="GN35" s="44">
        <v>3.8142140000000002</v>
      </c>
      <c r="GO35" s="44" t="s">
        <v>46</v>
      </c>
      <c r="GP35" s="44" t="s">
        <v>46</v>
      </c>
      <c r="GQ35" s="44">
        <v>3.973617</v>
      </c>
      <c r="GR35" s="44" t="s">
        <v>46</v>
      </c>
      <c r="GS35" s="44" t="s">
        <v>46</v>
      </c>
      <c r="GT35" s="44">
        <v>3.5018470000000002</v>
      </c>
      <c r="GU35" s="44" t="s">
        <v>46</v>
      </c>
      <c r="GV35" s="44" t="s">
        <v>46</v>
      </c>
      <c r="GW35" s="44">
        <v>5.4626609999999998</v>
      </c>
      <c r="GX35" s="44" t="s">
        <v>46</v>
      </c>
      <c r="GY35" s="44" t="s">
        <v>46</v>
      </c>
      <c r="GZ35" s="44">
        <v>3.953938</v>
      </c>
      <c r="HA35" s="44" t="s">
        <v>46</v>
      </c>
      <c r="HB35" s="44" t="s">
        <v>46</v>
      </c>
      <c r="HC35" s="44">
        <v>4.986828</v>
      </c>
      <c r="HD35" s="44" t="s">
        <v>46</v>
      </c>
      <c r="HE35" s="44" t="s">
        <v>46</v>
      </c>
      <c r="HF35" s="44">
        <f t="shared" si="30"/>
        <v>57.866976999999999</v>
      </c>
      <c r="HG35" s="44">
        <v>57.751793999999997</v>
      </c>
      <c r="HH35" s="44" t="s">
        <v>46</v>
      </c>
      <c r="HI35" s="44" t="s">
        <v>46</v>
      </c>
      <c r="HJ35" s="44">
        <v>5.0535620000000003</v>
      </c>
      <c r="HK35" s="44" t="s">
        <v>46</v>
      </c>
      <c r="HL35" s="44" t="s">
        <v>46</v>
      </c>
      <c r="HM35" s="44">
        <v>5.1115880000000002</v>
      </c>
      <c r="HN35" s="44" t="s">
        <v>46</v>
      </c>
      <c r="HO35" s="44" t="s">
        <v>46</v>
      </c>
      <c r="HP35" s="44">
        <v>4.1138880000000002</v>
      </c>
      <c r="HQ35" s="44" t="s">
        <v>46</v>
      </c>
      <c r="HR35" s="44" t="s">
        <v>46</v>
      </c>
      <c r="HS35" s="44">
        <v>6.5252090000000003</v>
      </c>
      <c r="HT35" s="44" t="s">
        <v>46</v>
      </c>
      <c r="HU35" s="44" t="s">
        <v>46</v>
      </c>
      <c r="HV35" s="44">
        <v>5.0544609999999999</v>
      </c>
      <c r="HW35" s="44" t="s">
        <v>46</v>
      </c>
      <c r="HX35" s="44" t="s">
        <v>46</v>
      </c>
      <c r="HY35" s="44">
        <v>5.1772770000000001</v>
      </c>
      <c r="HZ35" s="44" t="s">
        <v>46</v>
      </c>
      <c r="IA35" s="44" t="s">
        <v>46</v>
      </c>
      <c r="IB35" s="44">
        <v>5.8787459999999996</v>
      </c>
      <c r="IC35" s="44" t="s">
        <v>46</v>
      </c>
      <c r="ID35" s="44" t="s">
        <v>46</v>
      </c>
      <c r="IE35" s="44">
        <v>4.3708239999999998</v>
      </c>
      <c r="IF35" s="44" t="s">
        <v>46</v>
      </c>
      <c r="IG35" s="44" t="s">
        <v>46</v>
      </c>
      <c r="IH35" s="44">
        <v>4.618004</v>
      </c>
      <c r="II35" s="44" t="s">
        <v>46</v>
      </c>
      <c r="IJ35" s="44" t="s">
        <v>46</v>
      </c>
      <c r="IK35" s="44">
        <v>5.3011410000000003</v>
      </c>
      <c r="IL35" s="44" t="s">
        <v>46</v>
      </c>
      <c r="IM35" s="44" t="s">
        <v>46</v>
      </c>
      <c r="IN35" s="44">
        <v>4.1007199999999999</v>
      </c>
      <c r="IO35" s="44" t="s">
        <v>46</v>
      </c>
      <c r="IP35" s="44" t="s">
        <v>46</v>
      </c>
      <c r="IQ35" s="44">
        <v>9.6303629999999991</v>
      </c>
      <c r="IR35" s="44" t="s">
        <v>46</v>
      </c>
      <c r="IS35" s="44" t="s">
        <v>46</v>
      </c>
      <c r="IT35" s="50">
        <f t="shared" si="70"/>
        <v>64.935783000000001</v>
      </c>
      <c r="IU35" s="44">
        <v>64.984542000000005</v>
      </c>
      <c r="IV35" s="44" t="s">
        <v>46</v>
      </c>
      <c r="IW35" s="44" t="s">
        <v>46</v>
      </c>
      <c r="IX35" s="50">
        <v>3.520499</v>
      </c>
      <c r="IY35" s="44" t="s">
        <v>46</v>
      </c>
      <c r="IZ35" s="44" t="s">
        <v>46</v>
      </c>
      <c r="JA35" s="50">
        <v>3.8542040000000002</v>
      </c>
      <c r="JB35" s="44" t="s">
        <v>46</v>
      </c>
      <c r="JC35" s="44" t="s">
        <v>46</v>
      </c>
      <c r="JD35" s="50">
        <v>5.9271019999999996</v>
      </c>
      <c r="JE35" s="44" t="s">
        <v>46</v>
      </c>
      <c r="JF35" s="44" t="s">
        <v>46</v>
      </c>
      <c r="JG35" s="50">
        <v>6.6698009999999996</v>
      </c>
      <c r="JH35" s="44" t="s">
        <v>46</v>
      </c>
      <c r="JI35" s="44" t="s">
        <v>46</v>
      </c>
      <c r="JJ35" s="50">
        <v>4.4128629999999998</v>
      </c>
      <c r="JK35" s="44" t="s">
        <v>46</v>
      </c>
      <c r="JL35" s="44" t="s">
        <v>46</v>
      </c>
      <c r="JM35" s="50">
        <v>6.3755119999999996</v>
      </c>
      <c r="JN35" s="44" t="s">
        <v>46</v>
      </c>
      <c r="JO35" s="44" t="s">
        <v>46</v>
      </c>
      <c r="JP35" s="50">
        <v>5.3329849999999999</v>
      </c>
      <c r="JQ35" s="44" t="s">
        <v>46</v>
      </c>
      <c r="JR35" s="44" t="s">
        <v>46</v>
      </c>
      <c r="JS35" s="50">
        <v>3.9753829999999999</v>
      </c>
      <c r="JT35" s="44" t="s">
        <v>46</v>
      </c>
      <c r="JU35" s="44" t="s">
        <v>46</v>
      </c>
      <c r="JV35" s="50">
        <v>4.8177099999999999</v>
      </c>
      <c r="JW35" s="44" t="s">
        <v>46</v>
      </c>
      <c r="JX35" s="44" t="s">
        <v>46</v>
      </c>
      <c r="JY35" s="50">
        <v>6.0906409999999997</v>
      </c>
      <c r="JZ35" s="44" t="s">
        <v>46</v>
      </c>
      <c r="KA35" s="44" t="s">
        <v>46</v>
      </c>
      <c r="KB35" s="50">
        <v>4.9571740000000002</v>
      </c>
      <c r="KC35" s="44" t="s">
        <v>46</v>
      </c>
      <c r="KD35" s="44" t="s">
        <v>46</v>
      </c>
      <c r="KE35" s="50">
        <v>7.1123940000000001</v>
      </c>
      <c r="KF35" s="44" t="s">
        <v>46</v>
      </c>
      <c r="KG35" s="44" t="s">
        <v>46</v>
      </c>
      <c r="KH35" s="50">
        <f t="shared" si="4"/>
        <v>63.046268000000005</v>
      </c>
      <c r="KI35" s="44">
        <v>63.162855999999998</v>
      </c>
      <c r="KJ35" s="44" t="s">
        <v>46</v>
      </c>
      <c r="KK35" s="44" t="s">
        <v>46</v>
      </c>
      <c r="KL35" s="50">
        <v>5.4819509999999996</v>
      </c>
      <c r="KM35" s="44" t="s">
        <v>46</v>
      </c>
      <c r="KN35" s="44" t="s">
        <v>46</v>
      </c>
      <c r="KO35" s="50">
        <v>6.149521</v>
      </c>
      <c r="KP35" s="44" t="s">
        <v>46</v>
      </c>
      <c r="KQ35" s="44" t="s">
        <v>46</v>
      </c>
      <c r="KR35" s="50">
        <v>6.2571240000000001</v>
      </c>
      <c r="KS35" s="44" t="s">
        <v>46</v>
      </c>
      <c r="KT35" s="44" t="s">
        <v>46</v>
      </c>
      <c r="KU35" s="50">
        <v>5.76424</v>
      </c>
      <c r="KV35" s="44" t="s">
        <v>46</v>
      </c>
      <c r="KW35" s="44" t="s">
        <v>46</v>
      </c>
      <c r="KX35" s="50">
        <v>4.9526139999999996</v>
      </c>
      <c r="KY35" s="44" t="s">
        <v>46</v>
      </c>
      <c r="KZ35" s="44" t="s">
        <v>46</v>
      </c>
      <c r="LA35" s="50">
        <v>5.2570449999999997</v>
      </c>
      <c r="LB35" s="44" t="s">
        <v>46</v>
      </c>
      <c r="LC35" s="44" t="s">
        <v>46</v>
      </c>
      <c r="LD35" s="50">
        <v>6.1696520000000001</v>
      </c>
      <c r="LE35" s="44"/>
      <c r="LF35" s="44"/>
      <c r="LG35" s="44">
        <v>6.1687989999999999</v>
      </c>
      <c r="LH35" s="44" t="s">
        <v>46</v>
      </c>
      <c r="LI35" s="44" t="s">
        <v>46</v>
      </c>
      <c r="LJ35" s="50">
        <v>6.2155449999999997</v>
      </c>
      <c r="LK35" s="44" t="s">
        <v>46</v>
      </c>
      <c r="LL35" s="44" t="s">
        <v>46</v>
      </c>
      <c r="LM35" s="50">
        <v>6.8124279999999997</v>
      </c>
      <c r="LN35" s="44" t="s">
        <v>46</v>
      </c>
      <c r="LO35" s="44" t="s">
        <v>46</v>
      </c>
      <c r="LP35" s="50">
        <v>5.7851410000000003</v>
      </c>
      <c r="LQ35" s="44" t="s">
        <v>46</v>
      </c>
      <c r="LR35" s="44" t="s">
        <v>46</v>
      </c>
      <c r="LS35" s="50">
        <v>8.9088799999999999</v>
      </c>
      <c r="LT35" s="44" t="s">
        <v>46</v>
      </c>
      <c r="LU35" s="50" t="s">
        <v>46</v>
      </c>
      <c r="LV35" s="50">
        <f t="shared" si="58"/>
        <v>73.922939999999997</v>
      </c>
      <c r="LW35" s="50">
        <v>73.946493000000004</v>
      </c>
      <c r="LX35" s="44" t="s">
        <v>46</v>
      </c>
      <c r="LY35" s="44" t="s">
        <v>46</v>
      </c>
      <c r="LZ35" s="50">
        <v>3.4934409999999998</v>
      </c>
      <c r="MA35" s="44" t="s">
        <v>46</v>
      </c>
      <c r="MB35" s="44" t="s">
        <v>46</v>
      </c>
      <c r="MC35" s="50">
        <v>5.2091659999999997</v>
      </c>
      <c r="MD35" s="44" t="s">
        <v>46</v>
      </c>
      <c r="ME35" s="44" t="s">
        <v>46</v>
      </c>
      <c r="MF35" s="50">
        <v>7.1931459999999996</v>
      </c>
      <c r="MG35" s="44" t="s">
        <v>46</v>
      </c>
      <c r="MH35" s="44" t="s">
        <v>46</v>
      </c>
      <c r="MI35" s="50">
        <v>6.4360249999999999</v>
      </c>
      <c r="MJ35" s="44" t="s">
        <v>46</v>
      </c>
      <c r="MK35" s="44" t="s">
        <v>46</v>
      </c>
      <c r="ML35" s="50">
        <v>4.6612859999999996</v>
      </c>
      <c r="MM35" s="44" t="s">
        <v>46</v>
      </c>
      <c r="MN35" s="44" t="s">
        <v>46</v>
      </c>
      <c r="MO35" s="50">
        <v>6.7707709999999999</v>
      </c>
      <c r="MP35" s="44" t="s">
        <v>46</v>
      </c>
      <c r="MQ35" s="44" t="s">
        <v>46</v>
      </c>
      <c r="MR35" s="50">
        <v>5.5379459999999998</v>
      </c>
      <c r="MS35" s="44" t="s">
        <v>46</v>
      </c>
      <c r="MT35" s="44" t="s">
        <v>46</v>
      </c>
      <c r="MU35" s="50">
        <v>4.9825619999999997</v>
      </c>
      <c r="MV35" s="44" t="s">
        <v>46</v>
      </c>
      <c r="MW35" s="44" t="s">
        <v>46</v>
      </c>
      <c r="MX35" s="50">
        <v>4.6977099999999998</v>
      </c>
      <c r="MY35" s="44" t="s">
        <v>46</v>
      </c>
      <c r="MZ35" s="44" t="s">
        <v>46</v>
      </c>
      <c r="NA35" s="50">
        <v>5.6711770000000001</v>
      </c>
      <c r="NB35" s="44" t="s">
        <v>46</v>
      </c>
      <c r="NC35" s="44" t="s">
        <v>46</v>
      </c>
      <c r="ND35" s="50">
        <v>5.3547099999999999</v>
      </c>
      <c r="NE35" s="44" t="s">
        <v>46</v>
      </c>
      <c r="NF35" s="44" t="s">
        <v>46</v>
      </c>
      <c r="NG35" s="50">
        <v>6.818416</v>
      </c>
      <c r="NH35" s="44" t="s">
        <v>46</v>
      </c>
      <c r="NI35" s="50" t="s">
        <v>46</v>
      </c>
      <c r="NJ35" s="50">
        <f t="shared" si="7"/>
        <v>66.826356000000004</v>
      </c>
      <c r="NK35" s="50">
        <v>66.862513000000007</v>
      </c>
      <c r="NL35" s="44" t="s">
        <v>46</v>
      </c>
      <c r="NM35" s="50" t="s">
        <v>46</v>
      </c>
      <c r="NN35" s="50">
        <v>3.9711479999999999</v>
      </c>
      <c r="NO35" s="44" t="s">
        <v>46</v>
      </c>
      <c r="NP35" s="50" t="s">
        <v>46</v>
      </c>
      <c r="NQ35" s="50">
        <v>6.0990909999999996</v>
      </c>
      <c r="NR35" s="44" t="s">
        <v>46</v>
      </c>
      <c r="NS35" s="50" t="s">
        <v>46</v>
      </c>
      <c r="NT35" s="50">
        <v>6.1081099999999999</v>
      </c>
      <c r="NU35" s="44" t="s">
        <v>46</v>
      </c>
      <c r="NV35" s="50" t="s">
        <v>46</v>
      </c>
      <c r="NW35" s="50">
        <v>6.3862800000000002</v>
      </c>
      <c r="NX35" s="44" t="s">
        <v>46</v>
      </c>
      <c r="NY35" s="50" t="s">
        <v>46</v>
      </c>
      <c r="NZ35" s="50">
        <v>6.0782509999999998</v>
      </c>
      <c r="OA35" s="50" t="s">
        <v>46</v>
      </c>
      <c r="OB35" s="50" t="s">
        <v>46</v>
      </c>
      <c r="OC35" s="50">
        <v>7.6381269999999999</v>
      </c>
      <c r="OD35" s="50" t="s">
        <v>46</v>
      </c>
      <c r="OE35" s="50" t="s">
        <v>46</v>
      </c>
      <c r="OF35" s="50">
        <v>7.0453190000000001</v>
      </c>
      <c r="OG35" s="50" t="s">
        <v>46</v>
      </c>
      <c r="OH35" s="50" t="s">
        <v>46</v>
      </c>
      <c r="OI35" s="50">
        <v>5.694502</v>
      </c>
      <c r="OJ35" s="50" t="s">
        <v>46</v>
      </c>
      <c r="OK35" s="50" t="s">
        <v>46</v>
      </c>
      <c r="OL35" s="50">
        <v>5.8068479999999996</v>
      </c>
      <c r="OM35" s="50" t="s">
        <v>46</v>
      </c>
      <c r="ON35" s="50" t="s">
        <v>46</v>
      </c>
      <c r="OO35" s="50">
        <v>7.0096550000000004</v>
      </c>
      <c r="OP35" s="50" t="s">
        <v>46</v>
      </c>
      <c r="OQ35" s="50" t="s">
        <v>46</v>
      </c>
      <c r="OR35" s="50">
        <v>5.1570369999999999</v>
      </c>
      <c r="OS35" s="50" t="s">
        <v>46</v>
      </c>
      <c r="OT35" s="50" t="s">
        <v>46</v>
      </c>
      <c r="OU35" s="50">
        <v>7.770289</v>
      </c>
      <c r="OV35" s="44" t="s">
        <v>46</v>
      </c>
      <c r="OW35" s="50" t="s">
        <v>46</v>
      </c>
      <c r="OX35" s="50">
        <f t="shared" si="9"/>
        <v>74.764657</v>
      </c>
      <c r="OY35" s="50">
        <v>74.835424000000003</v>
      </c>
      <c r="OZ35" s="44" t="s">
        <v>46</v>
      </c>
      <c r="PA35" s="50" t="s">
        <v>46</v>
      </c>
      <c r="PB35" s="50">
        <v>4.4617950000000004</v>
      </c>
      <c r="PC35" s="44" t="s">
        <v>46</v>
      </c>
      <c r="PD35" s="50" t="s">
        <v>46</v>
      </c>
      <c r="PE35" s="50">
        <v>5.1089140000000004</v>
      </c>
      <c r="PF35" s="44" t="s">
        <v>46</v>
      </c>
      <c r="PG35" s="50" t="s">
        <v>46</v>
      </c>
      <c r="PH35" s="50">
        <v>7.8679519999999998</v>
      </c>
      <c r="PI35" s="44" t="s">
        <v>46</v>
      </c>
      <c r="PJ35" s="50" t="s">
        <v>46</v>
      </c>
      <c r="PK35" s="50">
        <v>7.486408</v>
      </c>
      <c r="PL35" s="44" t="s">
        <v>46</v>
      </c>
      <c r="PM35" s="50" t="s">
        <v>46</v>
      </c>
      <c r="PN35" s="50">
        <v>10.026253000000001</v>
      </c>
      <c r="PO35" s="44" t="s">
        <v>46</v>
      </c>
      <c r="PP35" s="50" t="s">
        <v>46</v>
      </c>
      <c r="PQ35" s="50">
        <v>8.8400769999999991</v>
      </c>
      <c r="PR35" s="44" t="s">
        <v>46</v>
      </c>
      <c r="PS35" s="50" t="s">
        <v>46</v>
      </c>
      <c r="PT35" s="50">
        <v>8.6631970000000003</v>
      </c>
      <c r="PU35" s="44" t="s">
        <v>46</v>
      </c>
      <c r="PV35" s="50" t="s">
        <v>46</v>
      </c>
      <c r="PW35" s="50">
        <v>7.1738299999999997</v>
      </c>
      <c r="PX35" s="44" t="s">
        <v>46</v>
      </c>
      <c r="PY35" s="50" t="s">
        <v>46</v>
      </c>
      <c r="PZ35" s="50">
        <v>5.1377610000000002</v>
      </c>
      <c r="QA35" s="44" t="s">
        <v>46</v>
      </c>
      <c r="QB35" s="50" t="s">
        <v>46</v>
      </c>
      <c r="QC35" s="50">
        <v>7.3257659999999998</v>
      </c>
      <c r="QD35" s="44" t="s">
        <v>46</v>
      </c>
      <c r="QE35" s="50" t="s">
        <v>46</v>
      </c>
      <c r="QF35" s="50">
        <v>6.2382730000000004</v>
      </c>
      <c r="QG35" s="44" t="s">
        <v>46</v>
      </c>
      <c r="QH35" s="50" t="s">
        <v>46</v>
      </c>
      <c r="QI35" s="50">
        <v>9.6428460000000005</v>
      </c>
      <c r="QJ35" s="44" t="s">
        <v>46</v>
      </c>
      <c r="QK35" s="50" t="s">
        <v>46</v>
      </c>
      <c r="QL35" s="50">
        <f t="shared" si="40"/>
        <v>87.97307200000003</v>
      </c>
      <c r="QM35" s="50">
        <v>88.000686999999999</v>
      </c>
      <c r="QN35" s="44" t="s">
        <v>46</v>
      </c>
      <c r="QO35" s="50" t="s">
        <v>46</v>
      </c>
      <c r="QP35" s="50">
        <v>4.8081250000000004</v>
      </c>
      <c r="QQ35" s="44" t="s">
        <v>46</v>
      </c>
      <c r="QR35" s="50" t="s">
        <v>46</v>
      </c>
      <c r="QS35" s="50">
        <v>4.8181000000000003</v>
      </c>
      <c r="QT35" s="44" t="s">
        <v>46</v>
      </c>
      <c r="QU35" s="50" t="s">
        <v>46</v>
      </c>
      <c r="QV35" s="50">
        <v>9.2522409999999997</v>
      </c>
      <c r="QW35" s="44" t="s">
        <v>46</v>
      </c>
      <c r="QX35" s="50" t="s">
        <v>46</v>
      </c>
      <c r="QY35" s="50">
        <v>8.3197419999999997</v>
      </c>
      <c r="QZ35" s="44" t="s">
        <v>46</v>
      </c>
      <c r="RA35" s="50" t="s">
        <v>46</v>
      </c>
      <c r="RB35" s="50">
        <v>7.6818749999999998</v>
      </c>
      <c r="RC35" s="44" t="s">
        <v>46</v>
      </c>
      <c r="RD35" s="50" t="s">
        <v>46</v>
      </c>
      <c r="RE35" s="50">
        <v>7.0820590000000001</v>
      </c>
      <c r="RF35" s="44" t="s">
        <v>46</v>
      </c>
      <c r="RG35" s="50" t="s">
        <v>46</v>
      </c>
      <c r="RH35" s="50">
        <v>8.0677400000000006</v>
      </c>
      <c r="RI35" s="44" t="s">
        <v>46</v>
      </c>
      <c r="RJ35" s="50" t="s">
        <v>46</v>
      </c>
      <c r="RK35" s="50">
        <v>7.1344500000000002</v>
      </c>
      <c r="RL35" s="44" t="s">
        <v>46</v>
      </c>
      <c r="RM35" s="50" t="s">
        <v>46</v>
      </c>
      <c r="RN35" s="50">
        <v>6.1935000000000002</v>
      </c>
      <c r="RO35" s="44" t="s">
        <v>46</v>
      </c>
      <c r="RP35" s="50" t="s">
        <v>46</v>
      </c>
      <c r="RQ35" s="50">
        <v>6.8441669999999997</v>
      </c>
      <c r="RR35" s="44" t="s">
        <v>46</v>
      </c>
      <c r="RS35" s="50" t="s">
        <v>46</v>
      </c>
      <c r="RT35" s="50">
        <v>6.1225560000000003</v>
      </c>
      <c r="RU35" s="44" t="s">
        <v>46</v>
      </c>
      <c r="RV35" s="50" t="s">
        <v>46</v>
      </c>
      <c r="RW35" s="50">
        <v>13.402471</v>
      </c>
      <c r="RX35" s="44" t="s">
        <v>46</v>
      </c>
      <c r="RY35" s="50" t="s">
        <v>46</v>
      </c>
      <c r="RZ35" s="50">
        <f t="shared" si="43"/>
        <v>89.727026000000009</v>
      </c>
      <c r="SA35" s="50">
        <v>89.719524000000007</v>
      </c>
      <c r="SB35" s="44" t="s">
        <v>46</v>
      </c>
      <c r="SC35" s="50" t="s">
        <v>46</v>
      </c>
      <c r="SD35" s="50">
        <v>4.5985149999999999</v>
      </c>
      <c r="SE35" s="44" t="s">
        <v>46</v>
      </c>
      <c r="SF35" s="50" t="s">
        <v>46</v>
      </c>
      <c r="SG35" s="50">
        <v>6.433376</v>
      </c>
      <c r="SH35" s="44" t="s">
        <v>46</v>
      </c>
      <c r="SI35" s="50" t="s">
        <v>46</v>
      </c>
      <c r="SJ35" s="50">
        <v>9.5536309999999993</v>
      </c>
      <c r="SK35" s="44" t="s">
        <v>46</v>
      </c>
      <c r="SL35" s="50" t="s">
        <v>46</v>
      </c>
      <c r="SM35" s="50">
        <v>8.6070930000000008</v>
      </c>
      <c r="SN35" s="44" t="s">
        <v>46</v>
      </c>
      <c r="SO35" s="50" t="s">
        <v>46</v>
      </c>
      <c r="SP35" s="50">
        <v>9.4533360000000002</v>
      </c>
      <c r="SQ35" s="50" t="s">
        <v>46</v>
      </c>
      <c r="SR35" s="50" t="s">
        <v>46</v>
      </c>
      <c r="SS35" s="50">
        <v>8.0503330000000002</v>
      </c>
      <c r="ST35" s="50" t="s">
        <v>46</v>
      </c>
      <c r="SU35" s="50" t="s">
        <v>46</v>
      </c>
      <c r="SV35" s="50">
        <v>9.7749330000000008</v>
      </c>
      <c r="SW35" s="50" t="s">
        <v>46</v>
      </c>
      <c r="SX35" s="50" t="s">
        <v>46</v>
      </c>
      <c r="SY35" s="50">
        <v>7.6768830000000001</v>
      </c>
      <c r="SZ35" s="50" t="s">
        <v>46</v>
      </c>
      <c r="TA35" s="50" t="s">
        <v>46</v>
      </c>
      <c r="TB35" s="50">
        <v>8.2796599999999998</v>
      </c>
      <c r="TC35" s="50" t="s">
        <v>46</v>
      </c>
      <c r="TD35" s="50" t="s">
        <v>46</v>
      </c>
      <c r="TE35" s="50">
        <v>8.99864</v>
      </c>
      <c r="TF35" s="50" t="s">
        <v>46</v>
      </c>
      <c r="TG35" s="50" t="s">
        <v>46</v>
      </c>
      <c r="TH35" s="50">
        <v>6.4656200000000004</v>
      </c>
      <c r="TI35" s="50" t="s">
        <v>46</v>
      </c>
      <c r="TJ35" s="50" t="s">
        <v>46</v>
      </c>
      <c r="TK35" s="50">
        <v>10.424007</v>
      </c>
      <c r="TL35" s="44" t="s">
        <v>46</v>
      </c>
      <c r="TM35" s="50" t="s">
        <v>46</v>
      </c>
      <c r="TN35" s="50">
        <f t="shared" si="47"/>
        <v>98.316027000000005</v>
      </c>
      <c r="TO35" s="44" t="s">
        <v>46</v>
      </c>
      <c r="TP35" s="50" t="s">
        <v>46</v>
      </c>
      <c r="TQ35" s="50">
        <v>5.3838990000000004</v>
      </c>
      <c r="TR35" s="44" t="s">
        <v>46</v>
      </c>
      <c r="TS35" s="50" t="s">
        <v>46</v>
      </c>
      <c r="TT35" s="50">
        <v>7.8190059999999999</v>
      </c>
      <c r="TU35" s="44" t="s">
        <v>46</v>
      </c>
      <c r="TV35" s="50" t="s">
        <v>46</v>
      </c>
      <c r="TW35" s="50">
        <v>9.7067600000000009</v>
      </c>
      <c r="TX35" s="44" t="s">
        <v>46</v>
      </c>
      <c r="TY35" s="50" t="s">
        <v>46</v>
      </c>
      <c r="TZ35" s="50">
        <v>10.73826</v>
      </c>
      <c r="UA35" s="50"/>
      <c r="UB35" s="50"/>
      <c r="UC35" s="50"/>
      <c r="UD35" s="50"/>
      <c r="UE35" s="50"/>
      <c r="UF35" s="50"/>
      <c r="UG35" s="50"/>
      <c r="UH35" s="50"/>
      <c r="UI35" s="50"/>
      <c r="UJ35" s="50"/>
      <c r="UK35" s="50"/>
      <c r="UL35" s="50"/>
      <c r="UM35" s="50"/>
      <c r="UN35" s="50"/>
      <c r="UO35" s="50"/>
      <c r="UP35" s="50"/>
      <c r="UQ35" s="50"/>
      <c r="UR35" s="50"/>
      <c r="US35" s="50"/>
      <c r="UT35" s="50"/>
      <c r="UU35" s="50"/>
      <c r="UV35" s="50"/>
      <c r="UW35" s="50"/>
      <c r="UX35" s="50"/>
      <c r="UY35" s="292" t="s">
        <v>46</v>
      </c>
      <c r="UZ35" s="276" t="s">
        <v>46</v>
      </c>
      <c r="VA35" s="276">
        <f t="shared" si="52"/>
        <v>29.192615</v>
      </c>
      <c r="VB35" s="292" t="s">
        <v>46</v>
      </c>
      <c r="VC35" s="276" t="s">
        <v>46</v>
      </c>
      <c r="VD35" s="276">
        <f t="shared" si="55"/>
        <v>33.647925000000001</v>
      </c>
      <c r="VE35" s="277">
        <f t="shared" si="56"/>
        <v>4.4553100000000008</v>
      </c>
      <c r="VF35" s="277">
        <f t="shared" si="57"/>
        <v>15.261770827998802</v>
      </c>
    </row>
    <row r="36" spans="1:578" s="12" customFormat="1" ht="20.5">
      <c r="A36" s="314" t="s">
        <v>138</v>
      </c>
      <c r="B36" s="13">
        <v>3300</v>
      </c>
      <c r="C36" s="47" t="s">
        <v>139</v>
      </c>
      <c r="D36" s="42">
        <v>7.4943696962453261</v>
      </c>
      <c r="E36" s="42">
        <v>25.560837730007226</v>
      </c>
      <c r="F36" s="42">
        <v>26.410367613160997</v>
      </c>
      <c r="G36" s="42">
        <v>5.9176541397032461</v>
      </c>
      <c r="H36" s="42">
        <v>0.53877894832698736</v>
      </c>
      <c r="I36" s="42">
        <v>0.35184916420509843</v>
      </c>
      <c r="J36" s="42">
        <v>0.32623747161370736</v>
      </c>
      <c r="K36" s="42">
        <v>0.69934576354147104</v>
      </c>
      <c r="L36" s="42">
        <v>0.39229287255052614</v>
      </c>
      <c r="M36" s="42">
        <v>0.35918975987615326</v>
      </c>
      <c r="N36" s="42">
        <v>0.58787656302468405</v>
      </c>
      <c r="O36" s="42">
        <v>0.34771287585158878</v>
      </c>
      <c r="P36" s="42">
        <v>0.39074336514874697</v>
      </c>
      <c r="Q36" s="42">
        <v>0.62358922259975758</v>
      </c>
      <c r="R36" s="42">
        <v>0.44383498101889007</v>
      </c>
      <c r="S36" s="42">
        <v>0.5742141478989875</v>
      </c>
      <c r="T36" s="44" t="s">
        <v>46</v>
      </c>
      <c r="U36" s="44" t="s">
        <v>46</v>
      </c>
      <c r="V36" s="42">
        <v>5.6356651356565983</v>
      </c>
      <c r="W36" s="42">
        <v>5.6284255638840985</v>
      </c>
      <c r="X36" s="42">
        <v>0.53575392285758194</v>
      </c>
      <c r="Y36" s="42">
        <v>12.808862783934073</v>
      </c>
      <c r="Z36" s="42">
        <v>5.9401938520554793</v>
      </c>
      <c r="AA36" s="42">
        <v>7.8850319577008667</v>
      </c>
      <c r="AB36" s="42">
        <v>7.1834152907496271</v>
      </c>
      <c r="AC36" s="42">
        <v>7.29467532911025</v>
      </c>
      <c r="AD36" s="42">
        <v>8.8698527612250366</v>
      </c>
      <c r="AE36" s="42">
        <v>7.1351230214967485</v>
      </c>
      <c r="AF36" s="42">
        <v>7.15722875794674</v>
      </c>
      <c r="AG36" s="42">
        <v>7.4053975219264547</v>
      </c>
      <c r="AH36" s="42">
        <v>10.553147107870757</v>
      </c>
      <c r="AI36" s="42">
        <v>11.582106817832567</v>
      </c>
      <c r="AJ36" s="42">
        <v>0</v>
      </c>
      <c r="AK36" s="42">
        <v>0</v>
      </c>
      <c r="AL36" s="42">
        <v>94.350789124706182</v>
      </c>
      <c r="AM36" s="42">
        <v>94.359202565722441</v>
      </c>
      <c r="AN36" s="42">
        <v>8.2873930711834305</v>
      </c>
      <c r="AO36" s="42">
        <v>6.638849522768794</v>
      </c>
      <c r="AP36" s="42">
        <v>6.7072569308085894</v>
      </c>
      <c r="AQ36" s="42">
        <v>9.586872015526378</v>
      </c>
      <c r="AR36" s="42">
        <v>6.7556103835493255</v>
      </c>
      <c r="AS36" s="42">
        <v>6.6641581436645208</v>
      </c>
      <c r="AT36" s="42">
        <v>8.2328672005281707</v>
      </c>
      <c r="AU36" s="42">
        <v>7.9980378597731372</v>
      </c>
      <c r="AV36" s="42">
        <v>8.1065602927701033</v>
      </c>
      <c r="AW36" s="42">
        <v>9.5862616035196169</v>
      </c>
      <c r="AX36" s="42">
        <v>8.1083673399696075</v>
      </c>
      <c r="AY36" s="42">
        <v>15.588640645186992</v>
      </c>
      <c r="AZ36" s="44" t="s">
        <v>46</v>
      </c>
      <c r="BA36" s="44" t="s">
        <v>46</v>
      </c>
      <c r="BB36" s="42">
        <v>102.26087500924866</v>
      </c>
      <c r="BC36" s="42">
        <v>102.27067859602394</v>
      </c>
      <c r="BD36" s="44" t="s">
        <v>46</v>
      </c>
      <c r="BE36" s="44" t="s">
        <v>46</v>
      </c>
      <c r="BF36" s="49">
        <v>8.8528839999999995</v>
      </c>
      <c r="BG36" s="44" t="s">
        <v>46</v>
      </c>
      <c r="BH36" s="44" t="s">
        <v>46</v>
      </c>
      <c r="BI36" s="44">
        <v>7.5520680000000002</v>
      </c>
      <c r="BJ36" s="44" t="s">
        <v>46</v>
      </c>
      <c r="BK36" s="44" t="s">
        <v>46</v>
      </c>
      <c r="BL36" s="44">
        <v>7.3732569999999997</v>
      </c>
      <c r="BM36" s="44" t="s">
        <v>46</v>
      </c>
      <c r="BN36" s="44" t="s">
        <v>46</v>
      </c>
      <c r="BO36" s="44">
        <v>7.5375949999999996</v>
      </c>
      <c r="BP36" s="44" t="s">
        <v>46</v>
      </c>
      <c r="BQ36" s="44" t="s">
        <v>46</v>
      </c>
      <c r="BR36" s="44">
        <v>8.4364709999999992</v>
      </c>
      <c r="BS36" s="44" t="s">
        <v>46</v>
      </c>
      <c r="BT36" s="44" t="s">
        <v>46</v>
      </c>
      <c r="BU36" s="44">
        <v>8.2879149999999999</v>
      </c>
      <c r="BV36" s="44" t="s">
        <v>46</v>
      </c>
      <c r="BW36" s="44" t="s">
        <v>46</v>
      </c>
      <c r="BX36" s="44">
        <v>9.5247989999999998</v>
      </c>
      <c r="BY36" s="44" t="s">
        <v>46</v>
      </c>
      <c r="BZ36" s="44" t="s">
        <v>46</v>
      </c>
      <c r="CA36" s="44">
        <v>8.0534339999999993</v>
      </c>
      <c r="CB36" s="44" t="s">
        <v>46</v>
      </c>
      <c r="CC36" s="44" t="s">
        <v>46</v>
      </c>
      <c r="CD36" s="44">
        <v>7.9672710000000002</v>
      </c>
      <c r="CE36" s="44" t="s">
        <v>46</v>
      </c>
      <c r="CF36" s="44" t="s">
        <v>46</v>
      </c>
      <c r="CG36" s="44">
        <v>9.2109539999999992</v>
      </c>
      <c r="CH36" s="44" t="s">
        <v>46</v>
      </c>
      <c r="CI36" s="44" t="s">
        <v>46</v>
      </c>
      <c r="CJ36" s="44">
        <v>13.092758999999999</v>
      </c>
      <c r="CK36" s="44" t="s">
        <v>46</v>
      </c>
      <c r="CL36" s="44" t="s">
        <v>46</v>
      </c>
      <c r="CM36" s="44">
        <v>13.317795</v>
      </c>
      <c r="CN36" s="50"/>
      <c r="CO36" s="50"/>
      <c r="CP36" s="50">
        <f t="shared" si="21"/>
        <v>109.207202</v>
      </c>
      <c r="CQ36" s="50">
        <v>109.207201</v>
      </c>
      <c r="CR36" s="44" t="s">
        <v>46</v>
      </c>
      <c r="CS36" s="44" t="s">
        <v>46</v>
      </c>
      <c r="CT36" s="44">
        <v>8.9178859999999993</v>
      </c>
      <c r="CU36" s="44" t="s">
        <v>46</v>
      </c>
      <c r="CV36" s="44" t="s">
        <v>46</v>
      </c>
      <c r="CW36" s="49">
        <v>7.9954159999999996</v>
      </c>
      <c r="CX36" s="44" t="s">
        <v>46</v>
      </c>
      <c r="CY36" s="44" t="s">
        <v>46</v>
      </c>
      <c r="CZ36" s="49">
        <v>8.2239319999999996</v>
      </c>
      <c r="DA36" s="44" t="s">
        <v>46</v>
      </c>
      <c r="DB36" s="44" t="s">
        <v>46</v>
      </c>
      <c r="DC36" s="49">
        <v>9.5319870000000009</v>
      </c>
      <c r="DD36" s="44" t="s">
        <v>46</v>
      </c>
      <c r="DE36" s="44" t="s">
        <v>46</v>
      </c>
      <c r="DF36" s="49">
        <v>7.9456949999999997</v>
      </c>
      <c r="DG36" s="44" t="s">
        <v>46</v>
      </c>
      <c r="DH36" s="44" t="s">
        <v>46</v>
      </c>
      <c r="DI36" s="49">
        <v>7.9594860000000001</v>
      </c>
      <c r="DJ36" s="44" t="s">
        <v>46</v>
      </c>
      <c r="DK36" s="44" t="s">
        <v>46</v>
      </c>
      <c r="DL36" s="49">
        <v>9.3237439999999996</v>
      </c>
      <c r="DM36" s="44" t="s">
        <v>46</v>
      </c>
      <c r="DN36" s="44" t="s">
        <v>46</v>
      </c>
      <c r="DO36" s="49">
        <v>7.9270569999999996</v>
      </c>
      <c r="DP36" s="44" t="s">
        <v>46</v>
      </c>
      <c r="DQ36" s="44" t="s">
        <v>46</v>
      </c>
      <c r="DR36" s="49">
        <v>7.9527549999999998</v>
      </c>
      <c r="DS36" s="44" t="s">
        <v>46</v>
      </c>
      <c r="DT36" s="44" t="s">
        <v>46</v>
      </c>
      <c r="DU36" s="49">
        <v>8.247617</v>
      </c>
      <c r="DV36" s="44" t="s">
        <v>46</v>
      </c>
      <c r="DW36" s="44" t="s">
        <v>46</v>
      </c>
      <c r="DX36" s="49">
        <v>9.5069630000000007</v>
      </c>
      <c r="DY36" s="44" t="s">
        <v>46</v>
      </c>
      <c r="DZ36" s="44" t="s">
        <v>46</v>
      </c>
      <c r="EA36" s="44">
        <v>8.8877159999999993</v>
      </c>
      <c r="EB36" s="44" t="s">
        <v>46</v>
      </c>
      <c r="EC36" s="44" t="s">
        <v>46</v>
      </c>
      <c r="ED36" s="44">
        <f t="shared" si="24"/>
        <v>102.420254</v>
      </c>
      <c r="EE36" s="140">
        <v>102.420253</v>
      </c>
      <c r="EF36" s="44" t="s">
        <v>46</v>
      </c>
      <c r="EG36" s="44" t="s">
        <v>46</v>
      </c>
      <c r="EH36" s="44">
        <v>10.342784</v>
      </c>
      <c r="EI36" s="44" t="s">
        <v>46</v>
      </c>
      <c r="EJ36" s="44" t="s">
        <v>46</v>
      </c>
      <c r="EK36" s="44">
        <v>8.2356960000000008</v>
      </c>
      <c r="EL36" s="44" t="s">
        <v>46</v>
      </c>
      <c r="EM36" s="44" t="s">
        <v>46</v>
      </c>
      <c r="EN36" s="44">
        <v>10.240385</v>
      </c>
      <c r="EO36" s="44" t="s">
        <v>46</v>
      </c>
      <c r="EP36" s="44" t="s">
        <v>46</v>
      </c>
      <c r="EQ36" s="44">
        <v>10.198240999999999</v>
      </c>
      <c r="ER36" s="44" t="s">
        <v>46</v>
      </c>
      <c r="ES36" s="44" t="s">
        <v>46</v>
      </c>
      <c r="ET36" s="44">
        <v>8.1752369999999992</v>
      </c>
      <c r="EU36" s="44" t="s">
        <v>46</v>
      </c>
      <c r="EV36" s="44" t="s">
        <v>46</v>
      </c>
      <c r="EW36" s="44">
        <v>7.9645849999999996</v>
      </c>
      <c r="EX36" s="44" t="s">
        <v>46</v>
      </c>
      <c r="EY36" s="44" t="s">
        <v>46</v>
      </c>
      <c r="EZ36" s="44">
        <v>17.194980999999999</v>
      </c>
      <c r="FA36" s="44" t="s">
        <v>46</v>
      </c>
      <c r="FB36" s="44" t="s">
        <v>46</v>
      </c>
      <c r="FC36" s="44">
        <v>7.9900820000000001</v>
      </c>
      <c r="FD36" s="44" t="s">
        <v>46</v>
      </c>
      <c r="FE36" s="44" t="s">
        <v>46</v>
      </c>
      <c r="FF36" s="44">
        <v>7.940016</v>
      </c>
      <c r="FG36" s="44" t="s">
        <v>46</v>
      </c>
      <c r="FH36" s="44" t="s">
        <v>46</v>
      </c>
      <c r="FI36" s="44">
        <v>10.327006000000001</v>
      </c>
      <c r="FJ36" s="44" t="s">
        <v>46</v>
      </c>
      <c r="FK36" s="44" t="s">
        <v>46</v>
      </c>
      <c r="FL36" s="44">
        <v>0.515235</v>
      </c>
      <c r="FM36" s="44" t="s">
        <v>46</v>
      </c>
      <c r="FN36" s="44" t="s">
        <v>46</v>
      </c>
      <c r="FO36" s="44">
        <v>8.711665</v>
      </c>
      <c r="FP36" s="44" t="s">
        <v>46</v>
      </c>
      <c r="FQ36" s="44" t="s">
        <v>46</v>
      </c>
      <c r="FR36" s="44">
        <f t="shared" si="27"/>
        <v>107.83591299999999</v>
      </c>
      <c r="FS36" s="95">
        <f>106.688491+1.147422</f>
        <v>107.83591300000001</v>
      </c>
      <c r="FT36" s="44" t="s">
        <v>46</v>
      </c>
      <c r="FU36" s="44" t="s">
        <v>46</v>
      </c>
      <c r="FV36" s="44">
        <v>10.251106</v>
      </c>
      <c r="FW36" s="44" t="s">
        <v>46</v>
      </c>
      <c r="FX36" s="44" t="s">
        <v>46</v>
      </c>
      <c r="FY36" s="44">
        <v>15.355700000000001</v>
      </c>
      <c r="FZ36" s="44" t="s">
        <v>46</v>
      </c>
      <c r="GA36" s="44" t="s">
        <v>46</v>
      </c>
      <c r="GB36" s="44">
        <v>8.2092949999999991</v>
      </c>
      <c r="GC36" s="44" t="s">
        <v>46</v>
      </c>
      <c r="GD36" s="44" t="s">
        <v>46</v>
      </c>
      <c r="GE36" s="44">
        <v>10.27966</v>
      </c>
      <c r="GF36" s="44" t="s">
        <v>46</v>
      </c>
      <c r="GG36" s="44" t="s">
        <v>46</v>
      </c>
      <c r="GH36" s="44">
        <v>8.1097049999999999</v>
      </c>
      <c r="GI36" s="44" t="s">
        <v>46</v>
      </c>
      <c r="GJ36" s="44" t="s">
        <v>46</v>
      </c>
      <c r="GK36" s="44">
        <v>8.2173289999999994</v>
      </c>
      <c r="GL36" s="44" t="s">
        <v>46</v>
      </c>
      <c r="GM36" s="44" t="s">
        <v>46</v>
      </c>
      <c r="GN36" s="44">
        <v>9.0048619999999993</v>
      </c>
      <c r="GO36" s="44" t="s">
        <v>46</v>
      </c>
      <c r="GP36" s="44" t="s">
        <v>46</v>
      </c>
      <c r="GQ36" s="44">
        <v>8.6855709999999995</v>
      </c>
      <c r="GR36" s="44" t="s">
        <v>46</v>
      </c>
      <c r="GS36" s="44" t="s">
        <v>46</v>
      </c>
      <c r="GT36" s="44">
        <v>8.8067650000000004</v>
      </c>
      <c r="GU36" s="44" t="s">
        <v>46</v>
      </c>
      <c r="GV36" s="44" t="s">
        <v>46</v>
      </c>
      <c r="GW36" s="44">
        <v>9.1120049999999999</v>
      </c>
      <c r="GX36" s="44" t="s">
        <v>46</v>
      </c>
      <c r="GY36" s="44" t="s">
        <v>46</v>
      </c>
      <c r="GZ36" s="44">
        <v>8.803058</v>
      </c>
      <c r="HA36" s="44" t="s">
        <v>46</v>
      </c>
      <c r="HB36" s="44" t="s">
        <v>46</v>
      </c>
      <c r="HC36" s="44">
        <v>2.6691220000000002</v>
      </c>
      <c r="HD36" s="44" t="s">
        <v>46</v>
      </c>
      <c r="HE36" s="44" t="s">
        <v>46</v>
      </c>
      <c r="HF36" s="44">
        <f t="shared" si="30"/>
        <v>107.50417799999998</v>
      </c>
      <c r="HG36" s="44">
        <v>107.504178</v>
      </c>
      <c r="HH36" s="44" t="s">
        <v>46</v>
      </c>
      <c r="HI36" s="44" t="s">
        <v>46</v>
      </c>
      <c r="HJ36" s="44">
        <v>8.9035759999999993</v>
      </c>
      <c r="HK36" s="44" t="s">
        <v>46</v>
      </c>
      <c r="HL36" s="44" t="s">
        <v>46</v>
      </c>
      <c r="HM36" s="44">
        <v>11.189157</v>
      </c>
      <c r="HN36" s="44" t="s">
        <v>46</v>
      </c>
      <c r="HO36" s="44" t="s">
        <v>46</v>
      </c>
      <c r="HP36" s="44">
        <v>10.133729000000001</v>
      </c>
      <c r="HQ36" s="44" t="s">
        <v>46</v>
      </c>
      <c r="HR36" s="44" t="s">
        <v>46</v>
      </c>
      <c r="HS36" s="44">
        <v>10.135144</v>
      </c>
      <c r="HT36" s="44" t="s">
        <v>46</v>
      </c>
      <c r="HU36" s="44" t="s">
        <v>46</v>
      </c>
      <c r="HV36" s="44">
        <v>9.9255499999999994</v>
      </c>
      <c r="HW36" s="44" t="s">
        <v>46</v>
      </c>
      <c r="HX36" s="44" t="s">
        <v>46</v>
      </c>
      <c r="HY36" s="44">
        <v>10.093349</v>
      </c>
      <c r="HZ36" s="44" t="s">
        <v>46</v>
      </c>
      <c r="IA36" s="44" t="s">
        <v>46</v>
      </c>
      <c r="IB36" s="44">
        <v>17.983091000000002</v>
      </c>
      <c r="IC36" s="44" t="s">
        <v>46</v>
      </c>
      <c r="ID36" s="44" t="s">
        <v>46</v>
      </c>
      <c r="IE36" s="44">
        <v>10.68843</v>
      </c>
      <c r="IF36" s="44" t="s">
        <v>46</v>
      </c>
      <c r="IG36" s="44" t="s">
        <v>46</v>
      </c>
      <c r="IH36" s="44">
        <v>9.9215780000000002</v>
      </c>
      <c r="II36" s="44" t="s">
        <v>46</v>
      </c>
      <c r="IJ36" s="44" t="s">
        <v>46</v>
      </c>
      <c r="IK36" s="44">
        <v>10.469853000000001</v>
      </c>
      <c r="IL36" s="44" t="s">
        <v>46</v>
      </c>
      <c r="IM36" s="44" t="s">
        <v>46</v>
      </c>
      <c r="IN36" s="44">
        <v>10.154334</v>
      </c>
      <c r="IO36" s="44" t="s">
        <v>46</v>
      </c>
      <c r="IP36" s="44" t="s">
        <v>46</v>
      </c>
      <c r="IQ36" s="44">
        <v>25.765499999999999</v>
      </c>
      <c r="IR36" s="44" t="s">
        <v>46</v>
      </c>
      <c r="IS36" s="44" t="s">
        <v>46</v>
      </c>
      <c r="IT36" s="50">
        <f t="shared" si="70"/>
        <v>145.363291</v>
      </c>
      <c r="IU36" s="44">
        <v>145.363291</v>
      </c>
      <c r="IV36" s="44" t="s">
        <v>46</v>
      </c>
      <c r="IW36" s="44" t="s">
        <v>46</v>
      </c>
      <c r="IX36" s="50">
        <v>10.26826</v>
      </c>
      <c r="IY36" s="44" t="s">
        <v>46</v>
      </c>
      <c r="IZ36" s="44" t="s">
        <v>46</v>
      </c>
      <c r="JA36" s="50">
        <v>10.250375999999999</v>
      </c>
      <c r="JB36" s="44" t="s">
        <v>46</v>
      </c>
      <c r="JC36" s="44" t="s">
        <v>46</v>
      </c>
      <c r="JD36" s="50">
        <v>18.628473</v>
      </c>
      <c r="JE36" s="44" t="s">
        <v>46</v>
      </c>
      <c r="JF36" s="44" t="s">
        <v>46</v>
      </c>
      <c r="JG36" s="50">
        <v>12.096211</v>
      </c>
      <c r="JH36" s="44" t="s">
        <v>46</v>
      </c>
      <c r="JI36" s="44" t="s">
        <v>46</v>
      </c>
      <c r="JJ36" s="50">
        <v>12.692952</v>
      </c>
      <c r="JK36" s="44" t="s">
        <v>46</v>
      </c>
      <c r="JL36" s="44" t="s">
        <v>46</v>
      </c>
      <c r="JM36" s="50">
        <v>12.09516</v>
      </c>
      <c r="JN36" s="44" t="s">
        <v>46</v>
      </c>
      <c r="JO36" s="44" t="s">
        <v>46</v>
      </c>
      <c r="JP36" s="50">
        <v>12.938143</v>
      </c>
      <c r="JQ36" s="44" t="s">
        <v>46</v>
      </c>
      <c r="JR36" s="44" t="s">
        <v>46</v>
      </c>
      <c r="JS36" s="50">
        <v>12.488421000000001</v>
      </c>
      <c r="JT36" s="44" t="s">
        <v>46</v>
      </c>
      <c r="JU36" s="44" t="s">
        <v>46</v>
      </c>
      <c r="JV36" s="50">
        <v>13.269969</v>
      </c>
      <c r="JW36" s="44" t="s">
        <v>46</v>
      </c>
      <c r="JX36" s="44" t="s">
        <v>46</v>
      </c>
      <c r="JY36" s="50">
        <v>12.580090999999999</v>
      </c>
      <c r="JZ36" s="44" t="s">
        <v>46</v>
      </c>
      <c r="KA36" s="44" t="s">
        <v>46</v>
      </c>
      <c r="KB36" s="50">
        <v>12.449349</v>
      </c>
      <c r="KC36" s="44" t="s">
        <v>46</v>
      </c>
      <c r="KD36" s="44" t="s">
        <v>46</v>
      </c>
      <c r="KE36" s="50">
        <v>12.937757</v>
      </c>
      <c r="KF36" s="44" t="s">
        <v>46</v>
      </c>
      <c r="KG36" s="44" t="s">
        <v>46</v>
      </c>
      <c r="KH36" s="50">
        <f t="shared" si="4"/>
        <v>152.69516200000001</v>
      </c>
      <c r="KI36" s="44">
        <v>152.69516300000001</v>
      </c>
      <c r="KJ36" s="44" t="s">
        <v>46</v>
      </c>
      <c r="KK36" s="44" t="s">
        <v>46</v>
      </c>
      <c r="KL36" s="50">
        <v>13.067829</v>
      </c>
      <c r="KM36" s="44" t="s">
        <v>46</v>
      </c>
      <c r="KN36" s="44" t="s">
        <v>46</v>
      </c>
      <c r="KO36" s="50">
        <v>12.885016999999999</v>
      </c>
      <c r="KP36" s="44" t="s">
        <v>46</v>
      </c>
      <c r="KQ36" s="44" t="s">
        <v>46</v>
      </c>
      <c r="KR36" s="50">
        <v>12.875982</v>
      </c>
      <c r="KS36" s="44" t="s">
        <v>46</v>
      </c>
      <c r="KT36" s="44" t="s">
        <v>46</v>
      </c>
      <c r="KU36" s="50">
        <v>12.680425</v>
      </c>
      <c r="KV36" s="44" t="s">
        <v>46</v>
      </c>
      <c r="KW36" s="44" t="s">
        <v>46</v>
      </c>
      <c r="KX36" s="50">
        <v>13.158635</v>
      </c>
      <c r="KY36" s="44" t="s">
        <v>46</v>
      </c>
      <c r="KZ36" s="44" t="s">
        <v>46</v>
      </c>
      <c r="LA36" s="50">
        <v>12.331877</v>
      </c>
      <c r="LB36" s="44" t="s">
        <v>46</v>
      </c>
      <c r="LC36" s="44" t="s">
        <v>46</v>
      </c>
      <c r="LD36" s="50">
        <v>14.873804</v>
      </c>
      <c r="LE36" s="44"/>
      <c r="LF36" s="44"/>
      <c r="LG36" s="44">
        <v>19.384903999999999</v>
      </c>
      <c r="LH36" s="44" t="s">
        <v>46</v>
      </c>
      <c r="LI36" s="44" t="s">
        <v>46</v>
      </c>
      <c r="LJ36" s="50">
        <v>12.599501999999999</v>
      </c>
      <c r="LK36" s="44" t="s">
        <v>46</v>
      </c>
      <c r="LL36" s="44" t="s">
        <v>46</v>
      </c>
      <c r="LM36" s="50">
        <v>11.233290999999999</v>
      </c>
      <c r="LN36" s="44" t="s">
        <v>46</v>
      </c>
      <c r="LO36" s="44" t="s">
        <v>46</v>
      </c>
      <c r="LP36" s="50">
        <v>11.588084</v>
      </c>
      <c r="LQ36" s="44" t="s">
        <v>46</v>
      </c>
      <c r="LR36" s="44" t="s">
        <v>46</v>
      </c>
      <c r="LS36" s="50">
        <v>11.365155</v>
      </c>
      <c r="LT36" s="44" t="s">
        <v>46</v>
      </c>
      <c r="LU36" s="50" t="s">
        <v>46</v>
      </c>
      <c r="LV36" s="50">
        <f t="shared" si="58"/>
        <v>158.04450500000002</v>
      </c>
      <c r="LW36" s="50">
        <v>158.04450499999999</v>
      </c>
      <c r="LX36" s="44" t="s">
        <v>46</v>
      </c>
      <c r="LY36" s="44" t="s">
        <v>46</v>
      </c>
      <c r="LZ36" s="50">
        <v>12.295847</v>
      </c>
      <c r="MA36" s="44" t="s">
        <v>46</v>
      </c>
      <c r="MB36" s="44" t="s">
        <v>46</v>
      </c>
      <c r="MC36" s="50">
        <v>11.895826</v>
      </c>
      <c r="MD36" s="44" t="s">
        <v>46</v>
      </c>
      <c r="ME36" s="44" t="s">
        <v>46</v>
      </c>
      <c r="MF36" s="50">
        <v>12.687108</v>
      </c>
      <c r="MG36" s="44" t="s">
        <v>46</v>
      </c>
      <c r="MH36" s="44" t="s">
        <v>46</v>
      </c>
      <c r="MI36" s="50">
        <v>12.662488</v>
      </c>
      <c r="MJ36" s="44" t="s">
        <v>46</v>
      </c>
      <c r="MK36" s="44" t="s">
        <v>46</v>
      </c>
      <c r="ML36" s="50">
        <v>12.300587999999999</v>
      </c>
      <c r="MM36" s="44" t="s">
        <v>46</v>
      </c>
      <c r="MN36" s="44" t="s">
        <v>46</v>
      </c>
      <c r="MO36" s="50">
        <v>11.99494</v>
      </c>
      <c r="MP36" s="44" t="s">
        <v>46</v>
      </c>
      <c r="MQ36" s="44" t="s">
        <v>46</v>
      </c>
      <c r="MR36" s="50">
        <v>12.466148</v>
      </c>
      <c r="MS36" s="44" t="s">
        <v>46</v>
      </c>
      <c r="MT36" s="44" t="s">
        <v>46</v>
      </c>
      <c r="MU36" s="50">
        <v>12.320997</v>
      </c>
      <c r="MV36" s="44" t="s">
        <v>46</v>
      </c>
      <c r="MW36" s="44" t="s">
        <v>46</v>
      </c>
      <c r="MX36" s="50">
        <v>15.090866999999999</v>
      </c>
      <c r="MY36" s="44" t="s">
        <v>46</v>
      </c>
      <c r="MZ36" s="44" t="s">
        <v>46</v>
      </c>
      <c r="NA36" s="50">
        <v>13.02482</v>
      </c>
      <c r="NB36" s="44" t="s">
        <v>46</v>
      </c>
      <c r="NC36" s="44" t="s">
        <v>46</v>
      </c>
      <c r="ND36" s="50">
        <v>12.107887</v>
      </c>
      <c r="NE36" s="44" t="s">
        <v>46</v>
      </c>
      <c r="NF36" s="44" t="s">
        <v>46</v>
      </c>
      <c r="NG36" s="50">
        <v>12.563886999999999</v>
      </c>
      <c r="NH36" s="44" t="s">
        <v>46</v>
      </c>
      <c r="NI36" s="50" t="s">
        <v>46</v>
      </c>
      <c r="NJ36" s="50">
        <f t="shared" si="7"/>
        <v>151.41140300000001</v>
      </c>
      <c r="NK36" s="50">
        <v>151.179</v>
      </c>
      <c r="NL36" s="44" t="s">
        <v>46</v>
      </c>
      <c r="NM36" s="50" t="s">
        <v>46</v>
      </c>
      <c r="NN36" s="50">
        <v>13.120077999999999</v>
      </c>
      <c r="NO36" s="44" t="s">
        <v>46</v>
      </c>
      <c r="NP36" s="50" t="s">
        <v>46</v>
      </c>
      <c r="NQ36" s="50">
        <v>11.739560000000001</v>
      </c>
      <c r="NR36" s="44" t="s">
        <v>46</v>
      </c>
      <c r="NS36" s="50" t="s">
        <v>46</v>
      </c>
      <c r="NT36" s="50">
        <v>13.455902999999999</v>
      </c>
      <c r="NU36" s="44" t="s">
        <v>46</v>
      </c>
      <c r="NV36" s="50" t="s">
        <v>46</v>
      </c>
      <c r="NW36" s="50">
        <v>12.873498</v>
      </c>
      <c r="NX36" s="44" t="s">
        <v>46</v>
      </c>
      <c r="NY36" s="50" t="s">
        <v>46</v>
      </c>
      <c r="NZ36" s="50">
        <v>12.053364999999999</v>
      </c>
      <c r="OA36" s="50" t="s">
        <v>46</v>
      </c>
      <c r="OB36" s="50" t="s">
        <v>46</v>
      </c>
      <c r="OC36" s="50">
        <v>12.550015999999999</v>
      </c>
      <c r="OD36" s="50" t="s">
        <v>46</v>
      </c>
      <c r="OE36" s="50" t="s">
        <v>46</v>
      </c>
      <c r="OF36" s="50">
        <v>12.737923</v>
      </c>
      <c r="OG36" s="50" t="s">
        <v>46</v>
      </c>
      <c r="OH36" s="50" t="s">
        <v>46</v>
      </c>
      <c r="OI36" s="94">
        <v>12.090482</v>
      </c>
      <c r="OJ36" s="50" t="s">
        <v>46</v>
      </c>
      <c r="OK36" s="50" t="s">
        <v>46</v>
      </c>
      <c r="OL36" s="50">
        <v>12.756853</v>
      </c>
      <c r="OM36" s="50" t="s">
        <v>46</v>
      </c>
      <c r="ON36" s="50" t="s">
        <v>46</v>
      </c>
      <c r="OO36" s="50">
        <v>12.649825</v>
      </c>
      <c r="OP36" s="50" t="s">
        <v>46</v>
      </c>
      <c r="OQ36" s="50" t="s">
        <v>46</v>
      </c>
      <c r="OR36" s="50">
        <v>17.321297999999999</v>
      </c>
      <c r="OS36" s="50" t="s">
        <v>46</v>
      </c>
      <c r="OT36" s="50" t="s">
        <v>46</v>
      </c>
      <c r="OU36" s="50">
        <v>12.678678</v>
      </c>
      <c r="OV36" s="44" t="s">
        <v>46</v>
      </c>
      <c r="OW36" s="50" t="s">
        <v>46</v>
      </c>
      <c r="OX36" s="50">
        <f t="shared" si="9"/>
        <v>156.02747899999997</v>
      </c>
      <c r="OY36" s="50">
        <v>156.02748</v>
      </c>
      <c r="OZ36" s="44" t="s">
        <v>46</v>
      </c>
      <c r="PA36" s="50" t="s">
        <v>46</v>
      </c>
      <c r="PB36" s="50">
        <v>12.934137</v>
      </c>
      <c r="PC36" s="44" t="s">
        <v>46</v>
      </c>
      <c r="PD36" s="50" t="s">
        <v>46</v>
      </c>
      <c r="PE36" s="50">
        <v>12.984541999999999</v>
      </c>
      <c r="PF36" s="44" t="s">
        <v>46</v>
      </c>
      <c r="PG36" s="50" t="s">
        <v>46</v>
      </c>
      <c r="PH36" s="50">
        <v>13.338901</v>
      </c>
      <c r="PI36" s="44" t="s">
        <v>46</v>
      </c>
      <c r="PJ36" s="50" t="s">
        <v>46</v>
      </c>
      <c r="PK36" s="50">
        <v>15.191255999999999</v>
      </c>
      <c r="PL36" s="44" t="s">
        <v>46</v>
      </c>
      <c r="PM36" s="50" t="s">
        <v>46</v>
      </c>
      <c r="PN36" s="50">
        <v>14.910807</v>
      </c>
      <c r="PO36" s="44" t="s">
        <v>46</v>
      </c>
      <c r="PP36" s="50" t="s">
        <v>46</v>
      </c>
      <c r="PQ36" s="50">
        <v>14.439004000000001</v>
      </c>
      <c r="PR36" s="44" t="s">
        <v>46</v>
      </c>
      <c r="PS36" s="50" t="s">
        <v>46</v>
      </c>
      <c r="PT36" s="50">
        <v>14.843814999999999</v>
      </c>
      <c r="PU36" s="44" t="s">
        <v>46</v>
      </c>
      <c r="PV36" s="50" t="s">
        <v>46</v>
      </c>
      <c r="PW36" s="50">
        <v>14.809336999999999</v>
      </c>
      <c r="PX36" s="44" t="s">
        <v>46</v>
      </c>
      <c r="PY36" s="50" t="s">
        <v>46</v>
      </c>
      <c r="PZ36" s="50">
        <v>14.464264</v>
      </c>
      <c r="QA36" s="44" t="s">
        <v>46</v>
      </c>
      <c r="QB36" s="50" t="s">
        <v>46</v>
      </c>
      <c r="QC36" s="50">
        <v>15.526668000000001</v>
      </c>
      <c r="QD36" s="44" t="s">
        <v>46</v>
      </c>
      <c r="QE36" s="50" t="s">
        <v>46</v>
      </c>
      <c r="QF36" s="50">
        <v>14.869989</v>
      </c>
      <c r="QG36" s="44" t="s">
        <v>46</v>
      </c>
      <c r="QH36" s="50" t="s">
        <v>46</v>
      </c>
      <c r="QI36" s="50">
        <v>14.94491</v>
      </c>
      <c r="QJ36" s="44" t="s">
        <v>46</v>
      </c>
      <c r="QK36" s="50" t="s">
        <v>46</v>
      </c>
      <c r="QL36" s="50">
        <f t="shared" si="40"/>
        <v>173.25762999999998</v>
      </c>
      <c r="QM36" s="50">
        <v>173.257631</v>
      </c>
      <c r="QN36" s="44" t="s">
        <v>46</v>
      </c>
      <c r="QO36" s="50" t="s">
        <v>46</v>
      </c>
      <c r="QP36" s="50">
        <v>16.168137000000002</v>
      </c>
      <c r="QQ36" s="44" t="s">
        <v>46</v>
      </c>
      <c r="QR36" s="50" t="s">
        <v>46</v>
      </c>
      <c r="QS36" s="50">
        <v>15.173895999999999</v>
      </c>
      <c r="QT36" s="44" t="s">
        <v>46</v>
      </c>
      <c r="QU36" s="50" t="s">
        <v>46</v>
      </c>
      <c r="QV36" s="50">
        <v>14.759228</v>
      </c>
      <c r="QW36" s="44" t="s">
        <v>46</v>
      </c>
      <c r="QX36" s="50" t="s">
        <v>46</v>
      </c>
      <c r="QY36" s="50">
        <v>15.164179000000001</v>
      </c>
      <c r="QZ36" s="44" t="s">
        <v>46</v>
      </c>
      <c r="RA36" s="50" t="s">
        <v>46</v>
      </c>
      <c r="RB36" s="50">
        <v>14.548781</v>
      </c>
      <c r="RC36" s="44" t="s">
        <v>46</v>
      </c>
      <c r="RD36" s="50" t="s">
        <v>46</v>
      </c>
      <c r="RE36" s="50">
        <v>14.544209</v>
      </c>
      <c r="RF36" s="44" t="s">
        <v>46</v>
      </c>
      <c r="RG36" s="50" t="s">
        <v>46</v>
      </c>
      <c r="RH36" s="50">
        <v>15.164479</v>
      </c>
      <c r="RI36" s="44" t="s">
        <v>46</v>
      </c>
      <c r="RJ36" s="50" t="s">
        <v>46</v>
      </c>
      <c r="RK36" s="50">
        <v>14.750443000000001</v>
      </c>
      <c r="RL36" s="44" t="s">
        <v>46</v>
      </c>
      <c r="RM36" s="50" t="s">
        <v>46</v>
      </c>
      <c r="RN36" s="50">
        <v>14.139172</v>
      </c>
      <c r="RO36" s="44" t="s">
        <v>46</v>
      </c>
      <c r="RP36" s="50" t="s">
        <v>46</v>
      </c>
      <c r="RQ36" s="50">
        <v>15.410375999999999</v>
      </c>
      <c r="RR36" s="44" t="s">
        <v>46</v>
      </c>
      <c r="RS36" s="50" t="s">
        <v>46</v>
      </c>
      <c r="RT36" s="50">
        <v>14.909464</v>
      </c>
      <c r="RU36" s="44" t="s">
        <v>46</v>
      </c>
      <c r="RV36" s="50" t="s">
        <v>46</v>
      </c>
      <c r="RW36" s="50">
        <v>17.268585000000002</v>
      </c>
      <c r="RX36" s="44" t="s">
        <v>46</v>
      </c>
      <c r="RY36" s="50" t="s">
        <v>46</v>
      </c>
      <c r="RZ36" s="50">
        <f t="shared" si="43"/>
        <v>182.00094900000002</v>
      </c>
      <c r="SA36" s="50">
        <v>182.00094899999999</v>
      </c>
      <c r="SB36" s="44" t="s">
        <v>46</v>
      </c>
      <c r="SC36" s="50" t="s">
        <v>46</v>
      </c>
      <c r="SD36" s="50">
        <v>15.434730999999999</v>
      </c>
      <c r="SE36" s="44" t="s">
        <v>46</v>
      </c>
      <c r="SF36" s="50" t="s">
        <v>46</v>
      </c>
      <c r="SG36" s="50">
        <v>15.181324</v>
      </c>
      <c r="SH36" s="44" t="s">
        <v>46</v>
      </c>
      <c r="SI36" s="50" t="s">
        <v>46</v>
      </c>
      <c r="SJ36" s="50">
        <v>15.431832999999999</v>
      </c>
      <c r="SK36" s="44" t="s">
        <v>46</v>
      </c>
      <c r="SL36" s="50" t="s">
        <v>46</v>
      </c>
      <c r="SM36" s="50">
        <v>15.379462999999999</v>
      </c>
      <c r="SN36" s="44" t="s">
        <v>46</v>
      </c>
      <c r="SO36" s="50" t="s">
        <v>46</v>
      </c>
      <c r="SP36" s="50">
        <v>14.598138000000001</v>
      </c>
      <c r="SQ36" s="50" t="s">
        <v>46</v>
      </c>
      <c r="SR36" s="50" t="s">
        <v>46</v>
      </c>
      <c r="SS36" s="50">
        <v>14.465572999999999</v>
      </c>
      <c r="ST36" s="50" t="s">
        <v>46</v>
      </c>
      <c r="SU36" s="50" t="s">
        <v>46</v>
      </c>
      <c r="SV36" s="50">
        <v>15.324094000000001</v>
      </c>
      <c r="SW36" s="50" t="s">
        <v>46</v>
      </c>
      <c r="SX36" s="50" t="s">
        <v>46</v>
      </c>
      <c r="SY36" s="50">
        <v>14.975096000000001</v>
      </c>
      <c r="SZ36" s="50" t="s">
        <v>46</v>
      </c>
      <c r="TA36" s="50" t="s">
        <v>46</v>
      </c>
      <c r="TB36" s="50">
        <v>14.923219</v>
      </c>
      <c r="TC36" s="50" t="s">
        <v>46</v>
      </c>
      <c r="TD36" s="50" t="s">
        <v>46</v>
      </c>
      <c r="TE36" s="50">
        <v>15.624404</v>
      </c>
      <c r="TF36" s="50" t="s">
        <v>46</v>
      </c>
      <c r="TG36" s="50" t="s">
        <v>46</v>
      </c>
      <c r="TH36" s="50">
        <v>15.215125</v>
      </c>
      <c r="TI36" s="50" t="s">
        <v>46</v>
      </c>
      <c r="TJ36" s="50" t="s">
        <v>46</v>
      </c>
      <c r="TK36" s="50">
        <v>15.773145000000001</v>
      </c>
      <c r="TL36" s="44" t="s">
        <v>46</v>
      </c>
      <c r="TM36" s="50" t="s">
        <v>46</v>
      </c>
      <c r="TN36" s="50">
        <f t="shared" si="47"/>
        <v>182.326145</v>
      </c>
      <c r="TO36" s="44" t="s">
        <v>46</v>
      </c>
      <c r="TP36" s="50" t="s">
        <v>46</v>
      </c>
      <c r="TQ36" s="50">
        <v>15.228280000000002</v>
      </c>
      <c r="TR36" s="44" t="s">
        <v>46</v>
      </c>
      <c r="TS36" s="50" t="s">
        <v>46</v>
      </c>
      <c r="TT36" s="50">
        <v>15.643951999999999</v>
      </c>
      <c r="TU36" s="44" t="s">
        <v>46</v>
      </c>
      <c r="TV36" s="50" t="s">
        <v>46</v>
      </c>
      <c r="TW36" s="50">
        <v>15.116779000000001</v>
      </c>
      <c r="TX36" s="44" t="s">
        <v>46</v>
      </c>
      <c r="TY36" s="50" t="s">
        <v>46</v>
      </c>
      <c r="TZ36" s="50">
        <v>14.451620999999999</v>
      </c>
      <c r="UA36" s="50"/>
      <c r="UB36" s="50"/>
      <c r="UC36" s="50"/>
      <c r="UD36" s="50"/>
      <c r="UE36" s="50"/>
      <c r="UF36" s="50"/>
      <c r="UG36" s="50"/>
      <c r="UH36" s="50"/>
      <c r="UI36" s="50"/>
      <c r="UJ36" s="50"/>
      <c r="UK36" s="50"/>
      <c r="UL36" s="50"/>
      <c r="UM36" s="50"/>
      <c r="UN36" s="50"/>
      <c r="UO36" s="50"/>
      <c r="UP36" s="50"/>
      <c r="UQ36" s="50"/>
      <c r="UR36" s="50"/>
      <c r="US36" s="50"/>
      <c r="UT36" s="50"/>
      <c r="UU36" s="50"/>
      <c r="UV36" s="50"/>
      <c r="UW36" s="50"/>
      <c r="UX36" s="50"/>
      <c r="UY36" s="292" t="s">
        <v>46</v>
      </c>
      <c r="UZ36" s="276" t="s">
        <v>46</v>
      </c>
      <c r="VA36" s="276">
        <f t="shared" si="52"/>
        <v>61.427351000000002</v>
      </c>
      <c r="VB36" s="292" t="s">
        <v>46</v>
      </c>
      <c r="VC36" s="276" t="s">
        <v>46</v>
      </c>
      <c r="VD36" s="276">
        <f t="shared" si="55"/>
        <v>60.440632000000001</v>
      </c>
      <c r="VE36" s="277">
        <f t="shared" si="56"/>
        <v>-0.98671900000000079</v>
      </c>
      <c r="VF36" s="277">
        <f t="shared" si="57"/>
        <v>-1.6063186576285915</v>
      </c>
    </row>
    <row r="37" spans="1:578" s="12" customFormat="1" ht="29.15" hidden="1" customHeight="1">
      <c r="A37" s="56" t="s">
        <v>140</v>
      </c>
      <c r="B37" s="13">
        <v>3900</v>
      </c>
      <c r="C37" s="56" t="s">
        <v>142</v>
      </c>
      <c r="D37" s="42">
        <v>5.8320669774218709E-2</v>
      </c>
      <c r="E37" s="42">
        <v>9.9601026744298556E-6</v>
      </c>
      <c r="F37" s="42">
        <v>0</v>
      </c>
      <c r="G37" s="42">
        <v>0</v>
      </c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44" t="s">
        <v>46</v>
      </c>
      <c r="U37" s="44" t="s">
        <v>46</v>
      </c>
      <c r="V37" s="42">
        <v>0</v>
      </c>
      <c r="W37" s="42">
        <v>0</v>
      </c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42">
        <v>0</v>
      </c>
      <c r="AK37" s="42">
        <v>0</v>
      </c>
      <c r="AL37" s="42">
        <v>0</v>
      </c>
      <c r="AM37" s="42">
        <v>0</v>
      </c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44" t="s">
        <v>46</v>
      </c>
      <c r="BA37" s="44" t="s">
        <v>46</v>
      </c>
      <c r="BB37" s="42">
        <v>0</v>
      </c>
      <c r="BC37" s="42">
        <v>0</v>
      </c>
      <c r="BD37" s="44" t="s">
        <v>46</v>
      </c>
      <c r="BE37" s="44" t="s">
        <v>46</v>
      </c>
      <c r="BF37" s="49"/>
      <c r="BG37" s="44" t="s">
        <v>46</v>
      </c>
      <c r="BH37" s="44" t="s">
        <v>46</v>
      </c>
      <c r="BI37" s="44"/>
      <c r="BJ37" s="44" t="s">
        <v>46</v>
      </c>
      <c r="BK37" s="44" t="s">
        <v>46</v>
      </c>
      <c r="BL37" s="44"/>
      <c r="BM37" s="44" t="s">
        <v>46</v>
      </c>
      <c r="BN37" s="44" t="s">
        <v>46</v>
      </c>
      <c r="BO37" s="44"/>
      <c r="BP37" s="44" t="s">
        <v>46</v>
      </c>
      <c r="BQ37" s="44" t="s">
        <v>46</v>
      </c>
      <c r="BR37" s="44"/>
      <c r="BS37" s="44" t="s">
        <v>46</v>
      </c>
      <c r="BT37" s="44" t="s">
        <v>46</v>
      </c>
      <c r="BU37" s="44"/>
      <c r="BV37" s="44" t="s">
        <v>46</v>
      </c>
      <c r="BW37" s="44" t="s">
        <v>46</v>
      </c>
      <c r="BX37" s="44"/>
      <c r="BY37" s="44" t="s">
        <v>46</v>
      </c>
      <c r="BZ37" s="44" t="s">
        <v>46</v>
      </c>
      <c r="CA37" s="44"/>
      <c r="CB37" s="44" t="s">
        <v>46</v>
      </c>
      <c r="CC37" s="44" t="s">
        <v>46</v>
      </c>
      <c r="CD37" s="44"/>
      <c r="CE37" s="44" t="s">
        <v>46</v>
      </c>
      <c r="CF37" s="44" t="s">
        <v>46</v>
      </c>
      <c r="CG37" s="44"/>
      <c r="CH37" s="44" t="s">
        <v>46</v>
      </c>
      <c r="CI37" s="44" t="s">
        <v>46</v>
      </c>
      <c r="CJ37" s="44"/>
      <c r="CK37" s="44" t="s">
        <v>46</v>
      </c>
      <c r="CL37" s="44" t="s">
        <v>46</v>
      </c>
      <c r="CM37" s="44"/>
      <c r="CN37" s="50"/>
      <c r="CO37" s="50"/>
      <c r="CP37" s="50">
        <f t="shared" si="21"/>
        <v>0</v>
      </c>
      <c r="CQ37" s="50"/>
      <c r="CR37" s="44" t="s">
        <v>46</v>
      </c>
      <c r="CS37" s="44" t="s">
        <v>46</v>
      </c>
      <c r="CT37" s="44"/>
      <c r="CU37" s="44" t="s">
        <v>46</v>
      </c>
      <c r="CV37" s="44" t="s">
        <v>46</v>
      </c>
      <c r="CW37" s="49">
        <v>0</v>
      </c>
      <c r="CX37" s="44" t="s">
        <v>46</v>
      </c>
      <c r="CY37" s="44" t="s">
        <v>46</v>
      </c>
      <c r="CZ37" s="49">
        <v>0</v>
      </c>
      <c r="DA37" s="44" t="s">
        <v>46</v>
      </c>
      <c r="DB37" s="44" t="s">
        <v>46</v>
      </c>
      <c r="DC37" s="49">
        <v>0</v>
      </c>
      <c r="DD37" s="44" t="s">
        <v>46</v>
      </c>
      <c r="DE37" s="44" t="s">
        <v>46</v>
      </c>
      <c r="DF37" s="49">
        <v>0</v>
      </c>
      <c r="DG37" s="44" t="s">
        <v>46</v>
      </c>
      <c r="DH37" s="44" t="s">
        <v>46</v>
      </c>
      <c r="DI37" s="49">
        <v>0</v>
      </c>
      <c r="DJ37" s="44" t="s">
        <v>46</v>
      </c>
      <c r="DK37" s="44" t="s">
        <v>46</v>
      </c>
      <c r="DL37" s="49">
        <v>0</v>
      </c>
      <c r="DM37" s="44" t="s">
        <v>46</v>
      </c>
      <c r="DN37" s="44" t="s">
        <v>46</v>
      </c>
      <c r="DO37" s="49">
        <v>0</v>
      </c>
      <c r="DP37" s="44" t="s">
        <v>46</v>
      </c>
      <c r="DQ37" s="44" t="s">
        <v>46</v>
      </c>
      <c r="DR37" s="49">
        <v>0</v>
      </c>
      <c r="DS37" s="44" t="s">
        <v>46</v>
      </c>
      <c r="DT37" s="44" t="s">
        <v>46</v>
      </c>
      <c r="DU37" s="49">
        <v>0</v>
      </c>
      <c r="DV37" s="44" t="s">
        <v>46</v>
      </c>
      <c r="DW37" s="44" t="s">
        <v>46</v>
      </c>
      <c r="DX37" s="49">
        <v>0</v>
      </c>
      <c r="DY37" s="44" t="s">
        <v>46</v>
      </c>
      <c r="DZ37" s="44" t="s">
        <v>46</v>
      </c>
      <c r="EA37" s="44">
        <v>0</v>
      </c>
      <c r="EB37" s="44" t="s">
        <v>46</v>
      </c>
      <c r="EC37" s="44" t="s">
        <v>46</v>
      </c>
      <c r="ED37" s="44">
        <f t="shared" si="24"/>
        <v>0</v>
      </c>
      <c r="EE37" s="140"/>
      <c r="EF37" s="44" t="s">
        <v>46</v>
      </c>
      <c r="EG37" s="44" t="s">
        <v>46</v>
      </c>
      <c r="EH37" s="44">
        <v>0</v>
      </c>
      <c r="EI37" s="44" t="s">
        <v>46</v>
      </c>
      <c r="EJ37" s="44" t="s">
        <v>46</v>
      </c>
      <c r="EK37" s="44">
        <v>0</v>
      </c>
      <c r="EL37" s="44" t="s">
        <v>46</v>
      </c>
      <c r="EM37" s="44" t="s">
        <v>46</v>
      </c>
      <c r="EN37" s="44">
        <v>0</v>
      </c>
      <c r="EO37" s="44" t="s">
        <v>46</v>
      </c>
      <c r="EP37" s="44" t="s">
        <v>46</v>
      </c>
      <c r="EQ37" s="44">
        <v>0</v>
      </c>
      <c r="ER37" s="44" t="s">
        <v>46</v>
      </c>
      <c r="ES37" s="44" t="s">
        <v>46</v>
      </c>
      <c r="ET37" s="44">
        <v>0</v>
      </c>
      <c r="EU37" s="44" t="s">
        <v>46</v>
      </c>
      <c r="EV37" s="44" t="s">
        <v>46</v>
      </c>
      <c r="EW37" s="44">
        <v>0</v>
      </c>
      <c r="EX37" s="44" t="s">
        <v>46</v>
      </c>
      <c r="EY37" s="44" t="s">
        <v>46</v>
      </c>
      <c r="EZ37" s="44">
        <v>0</v>
      </c>
      <c r="FA37" s="44" t="s">
        <v>46</v>
      </c>
      <c r="FB37" s="44" t="s">
        <v>46</v>
      </c>
      <c r="FC37" s="44">
        <v>0</v>
      </c>
      <c r="FD37" s="44" t="s">
        <v>46</v>
      </c>
      <c r="FE37" s="44" t="s">
        <v>46</v>
      </c>
      <c r="FF37" s="44">
        <v>0</v>
      </c>
      <c r="FG37" s="44" t="s">
        <v>46</v>
      </c>
      <c r="FH37" s="44" t="s">
        <v>46</v>
      </c>
      <c r="FI37" s="44">
        <v>0</v>
      </c>
      <c r="FJ37" s="44" t="s">
        <v>46</v>
      </c>
      <c r="FK37" s="44" t="s">
        <v>46</v>
      </c>
      <c r="FL37" s="44">
        <v>0</v>
      </c>
      <c r="FM37" s="44" t="s">
        <v>46</v>
      </c>
      <c r="FN37" s="44" t="s">
        <v>46</v>
      </c>
      <c r="FO37" s="44">
        <v>0</v>
      </c>
      <c r="FP37" s="44" t="s">
        <v>46</v>
      </c>
      <c r="FQ37" s="44" t="s">
        <v>46</v>
      </c>
      <c r="FR37" s="44">
        <f t="shared" si="27"/>
        <v>0</v>
      </c>
      <c r="FS37" s="95"/>
      <c r="FT37" s="44" t="s">
        <v>46</v>
      </c>
      <c r="FU37" s="44" t="s">
        <v>46</v>
      </c>
      <c r="FV37" s="44">
        <v>0</v>
      </c>
      <c r="FW37" s="44" t="s">
        <v>46</v>
      </c>
      <c r="FX37" s="44" t="s">
        <v>46</v>
      </c>
      <c r="FY37" s="44">
        <v>0</v>
      </c>
      <c r="FZ37" s="44" t="s">
        <v>46</v>
      </c>
      <c r="GA37" s="44" t="s">
        <v>46</v>
      </c>
      <c r="GB37" s="44">
        <v>0</v>
      </c>
      <c r="GC37" s="44" t="s">
        <v>46</v>
      </c>
      <c r="GD37" s="44" t="s">
        <v>46</v>
      </c>
      <c r="GE37" s="44">
        <v>0</v>
      </c>
      <c r="GF37" s="44" t="s">
        <v>46</v>
      </c>
      <c r="GG37" s="44" t="s">
        <v>46</v>
      </c>
      <c r="GH37" s="44">
        <v>0</v>
      </c>
      <c r="GI37" s="44" t="s">
        <v>46</v>
      </c>
      <c r="GJ37" s="44" t="s">
        <v>46</v>
      </c>
      <c r="GK37" s="44">
        <v>0</v>
      </c>
      <c r="GL37" s="44" t="s">
        <v>46</v>
      </c>
      <c r="GM37" s="44" t="s">
        <v>46</v>
      </c>
      <c r="GN37" s="44">
        <v>0</v>
      </c>
      <c r="GO37" s="44" t="s">
        <v>46</v>
      </c>
      <c r="GP37" s="44" t="s">
        <v>46</v>
      </c>
      <c r="GQ37" s="44">
        <v>0</v>
      </c>
      <c r="GR37" s="44" t="s">
        <v>46</v>
      </c>
      <c r="GS37" s="44" t="s">
        <v>46</v>
      </c>
      <c r="GT37" s="44">
        <v>0</v>
      </c>
      <c r="GU37" s="44" t="s">
        <v>46</v>
      </c>
      <c r="GV37" s="44" t="s">
        <v>46</v>
      </c>
      <c r="GW37" s="44">
        <v>0</v>
      </c>
      <c r="GX37" s="44" t="s">
        <v>46</v>
      </c>
      <c r="GY37" s="44" t="s">
        <v>46</v>
      </c>
      <c r="GZ37" s="44">
        <v>0</v>
      </c>
      <c r="HA37" s="44" t="s">
        <v>46</v>
      </c>
      <c r="HB37" s="44" t="s">
        <v>46</v>
      </c>
      <c r="HC37" s="44">
        <v>0</v>
      </c>
      <c r="HD37" s="44" t="s">
        <v>46</v>
      </c>
      <c r="HE37" s="44" t="s">
        <v>46</v>
      </c>
      <c r="HF37" s="44">
        <f t="shared" si="30"/>
        <v>0</v>
      </c>
      <c r="HG37" s="44"/>
      <c r="HH37" s="44" t="s">
        <v>46</v>
      </c>
      <c r="HI37" s="44" t="s">
        <v>46</v>
      </c>
      <c r="HJ37" s="44">
        <v>0</v>
      </c>
      <c r="HK37" s="44" t="s">
        <v>46</v>
      </c>
      <c r="HL37" s="44" t="s">
        <v>46</v>
      </c>
      <c r="HM37" s="44">
        <v>0</v>
      </c>
      <c r="HN37" s="44" t="s">
        <v>46</v>
      </c>
      <c r="HO37" s="44" t="s">
        <v>46</v>
      </c>
      <c r="HP37" s="44">
        <v>0</v>
      </c>
      <c r="HQ37" s="44" t="s">
        <v>46</v>
      </c>
      <c r="HR37" s="44" t="s">
        <v>46</v>
      </c>
      <c r="HS37" s="44">
        <v>0</v>
      </c>
      <c r="HT37" s="44" t="s">
        <v>46</v>
      </c>
      <c r="HU37" s="44" t="s">
        <v>46</v>
      </c>
      <c r="HV37" s="44">
        <v>0</v>
      </c>
      <c r="HW37" s="44" t="s">
        <v>46</v>
      </c>
      <c r="HX37" s="44" t="s">
        <v>46</v>
      </c>
      <c r="HY37" s="44">
        <v>0</v>
      </c>
      <c r="HZ37" s="44" t="s">
        <v>46</v>
      </c>
      <c r="IA37" s="44" t="s">
        <v>46</v>
      </c>
      <c r="IB37" s="44">
        <v>0</v>
      </c>
      <c r="IC37" s="44" t="s">
        <v>46</v>
      </c>
      <c r="ID37" s="44" t="s">
        <v>46</v>
      </c>
      <c r="IE37" s="44">
        <v>0</v>
      </c>
      <c r="IF37" s="44" t="s">
        <v>46</v>
      </c>
      <c r="IG37" s="44" t="s">
        <v>46</v>
      </c>
      <c r="IH37" s="44">
        <v>0</v>
      </c>
      <c r="II37" s="44" t="s">
        <v>46</v>
      </c>
      <c r="IJ37" s="44" t="s">
        <v>46</v>
      </c>
      <c r="IK37" s="44">
        <v>0</v>
      </c>
      <c r="IL37" s="44" t="s">
        <v>46</v>
      </c>
      <c r="IM37" s="44" t="s">
        <v>46</v>
      </c>
      <c r="IN37" s="44">
        <v>0</v>
      </c>
      <c r="IO37" s="44" t="s">
        <v>46</v>
      </c>
      <c r="IP37" s="44" t="s">
        <v>46</v>
      </c>
      <c r="IQ37" s="44">
        <v>0</v>
      </c>
      <c r="IR37" s="44" t="s">
        <v>46</v>
      </c>
      <c r="IS37" s="44" t="s">
        <v>46</v>
      </c>
      <c r="IT37" s="50">
        <f t="shared" si="70"/>
        <v>0</v>
      </c>
      <c r="IU37" s="44"/>
      <c r="IV37" s="44" t="s">
        <v>46</v>
      </c>
      <c r="IW37" s="44" t="s">
        <v>46</v>
      </c>
      <c r="IX37" s="50">
        <v>0</v>
      </c>
      <c r="IY37" s="44" t="s">
        <v>46</v>
      </c>
      <c r="IZ37" s="44" t="s">
        <v>46</v>
      </c>
      <c r="JA37" s="50">
        <v>0</v>
      </c>
      <c r="JB37" s="44" t="s">
        <v>46</v>
      </c>
      <c r="JC37" s="44" t="s">
        <v>46</v>
      </c>
      <c r="JD37" s="50">
        <v>0</v>
      </c>
      <c r="JE37" s="44" t="s">
        <v>46</v>
      </c>
      <c r="JF37" s="44" t="s">
        <v>46</v>
      </c>
      <c r="JG37" s="50">
        <v>0</v>
      </c>
      <c r="JH37" s="44" t="s">
        <v>46</v>
      </c>
      <c r="JI37" s="44" t="s">
        <v>46</v>
      </c>
      <c r="JJ37" s="50">
        <v>0</v>
      </c>
      <c r="JK37" s="44" t="s">
        <v>46</v>
      </c>
      <c r="JL37" s="44" t="s">
        <v>46</v>
      </c>
      <c r="JM37" s="50">
        <v>0</v>
      </c>
      <c r="JN37" s="44" t="s">
        <v>46</v>
      </c>
      <c r="JO37" s="44" t="s">
        <v>46</v>
      </c>
      <c r="JP37" s="50">
        <v>0</v>
      </c>
      <c r="JQ37" s="44" t="s">
        <v>46</v>
      </c>
      <c r="JR37" s="44" t="s">
        <v>46</v>
      </c>
      <c r="JS37" s="50">
        <v>0</v>
      </c>
      <c r="JT37" s="44" t="s">
        <v>46</v>
      </c>
      <c r="JU37" s="44" t="s">
        <v>46</v>
      </c>
      <c r="JV37" s="50">
        <v>0</v>
      </c>
      <c r="JW37" s="44" t="s">
        <v>46</v>
      </c>
      <c r="JX37" s="44" t="s">
        <v>46</v>
      </c>
      <c r="JY37" s="50">
        <v>0</v>
      </c>
      <c r="JZ37" s="44" t="s">
        <v>46</v>
      </c>
      <c r="KA37" s="44" t="s">
        <v>46</v>
      </c>
      <c r="KB37" s="50">
        <v>0</v>
      </c>
      <c r="KC37" s="44" t="s">
        <v>46</v>
      </c>
      <c r="KD37" s="44" t="s">
        <v>46</v>
      </c>
      <c r="KE37" s="50">
        <v>0</v>
      </c>
      <c r="KF37" s="44" t="s">
        <v>46</v>
      </c>
      <c r="KG37" s="44" t="s">
        <v>46</v>
      </c>
      <c r="KH37" s="50">
        <f t="shared" si="4"/>
        <v>0</v>
      </c>
      <c r="KI37" s="44"/>
      <c r="KJ37" s="44" t="s">
        <v>46</v>
      </c>
      <c r="KK37" s="44" t="s">
        <v>46</v>
      </c>
      <c r="KL37" s="50">
        <v>0</v>
      </c>
      <c r="KM37" s="44" t="s">
        <v>46</v>
      </c>
      <c r="KN37" s="44" t="s">
        <v>46</v>
      </c>
      <c r="KO37" s="50">
        <v>0</v>
      </c>
      <c r="KP37" s="44" t="s">
        <v>46</v>
      </c>
      <c r="KQ37" s="44" t="s">
        <v>46</v>
      </c>
      <c r="KR37" s="50">
        <v>0</v>
      </c>
      <c r="KS37" s="44" t="s">
        <v>46</v>
      </c>
      <c r="KT37" s="44" t="s">
        <v>46</v>
      </c>
      <c r="KU37" s="50">
        <v>0</v>
      </c>
      <c r="KV37" s="44" t="s">
        <v>46</v>
      </c>
      <c r="KW37" s="44" t="s">
        <v>46</v>
      </c>
      <c r="KX37" s="50">
        <v>0</v>
      </c>
      <c r="KY37" s="44" t="s">
        <v>46</v>
      </c>
      <c r="KZ37" s="44" t="s">
        <v>46</v>
      </c>
      <c r="LA37" s="50">
        <v>0</v>
      </c>
      <c r="LB37" s="44" t="s">
        <v>46</v>
      </c>
      <c r="LC37" s="44" t="s">
        <v>46</v>
      </c>
      <c r="LD37" s="50">
        <v>0</v>
      </c>
      <c r="LE37" s="44"/>
      <c r="LF37" s="44"/>
      <c r="LG37" s="44">
        <v>0</v>
      </c>
      <c r="LH37" s="44" t="s">
        <v>46</v>
      </c>
      <c r="LI37" s="44" t="s">
        <v>46</v>
      </c>
      <c r="LJ37" s="50">
        <v>0</v>
      </c>
      <c r="LK37" s="44" t="s">
        <v>46</v>
      </c>
      <c r="LL37" s="44" t="s">
        <v>46</v>
      </c>
      <c r="LM37" s="50">
        <v>0</v>
      </c>
      <c r="LN37" s="44" t="s">
        <v>46</v>
      </c>
      <c r="LO37" s="44" t="s">
        <v>46</v>
      </c>
      <c r="LP37" s="50">
        <v>0</v>
      </c>
      <c r="LQ37" s="44" t="s">
        <v>46</v>
      </c>
      <c r="LR37" s="44" t="s">
        <v>46</v>
      </c>
      <c r="LS37" s="50">
        <v>0</v>
      </c>
      <c r="LT37" s="44" t="s">
        <v>46</v>
      </c>
      <c r="LU37" s="50" t="s">
        <v>46</v>
      </c>
      <c r="LV37" s="50">
        <f t="shared" si="58"/>
        <v>0</v>
      </c>
      <c r="LW37" s="50"/>
      <c r="LX37" s="44" t="s">
        <v>46</v>
      </c>
      <c r="LY37" s="44" t="s">
        <v>46</v>
      </c>
      <c r="LZ37" s="50">
        <v>0</v>
      </c>
      <c r="MA37" s="44" t="s">
        <v>46</v>
      </c>
      <c r="MB37" s="44" t="s">
        <v>46</v>
      </c>
      <c r="MC37" s="50"/>
      <c r="MD37" s="44" t="s">
        <v>46</v>
      </c>
      <c r="ME37" s="44" t="s">
        <v>46</v>
      </c>
      <c r="MF37" s="50"/>
      <c r="MG37" s="44" t="s">
        <v>46</v>
      </c>
      <c r="MH37" s="44" t="s">
        <v>46</v>
      </c>
      <c r="MI37" s="50"/>
      <c r="MJ37" s="44" t="s">
        <v>46</v>
      </c>
      <c r="MK37" s="44" t="s">
        <v>46</v>
      </c>
      <c r="ML37" s="50"/>
      <c r="MM37" s="44" t="s">
        <v>46</v>
      </c>
      <c r="MN37" s="44" t="s">
        <v>46</v>
      </c>
      <c r="MO37" s="50"/>
      <c r="MP37" s="44" t="s">
        <v>46</v>
      </c>
      <c r="MQ37" s="44" t="s">
        <v>46</v>
      </c>
      <c r="MR37" s="50"/>
      <c r="MS37" s="44" t="s">
        <v>46</v>
      </c>
      <c r="MT37" s="44" t="s">
        <v>46</v>
      </c>
      <c r="MU37" s="50"/>
      <c r="MV37" s="44" t="s">
        <v>46</v>
      </c>
      <c r="MW37" s="44" t="s">
        <v>46</v>
      </c>
      <c r="MX37" s="50"/>
      <c r="MY37" s="44" t="s">
        <v>46</v>
      </c>
      <c r="MZ37" s="44" t="s">
        <v>46</v>
      </c>
      <c r="NA37" s="50"/>
      <c r="NB37" s="44" t="s">
        <v>46</v>
      </c>
      <c r="NC37" s="44" t="s">
        <v>46</v>
      </c>
      <c r="ND37" s="50"/>
      <c r="NE37" s="44" t="s">
        <v>46</v>
      </c>
      <c r="NF37" s="44" t="s">
        <v>46</v>
      </c>
      <c r="NG37" s="50">
        <v>0</v>
      </c>
      <c r="NH37" s="44" t="s">
        <v>46</v>
      </c>
      <c r="NI37" s="50" t="s">
        <v>46</v>
      </c>
      <c r="NJ37" s="50">
        <f t="shared" si="7"/>
        <v>0</v>
      </c>
      <c r="NK37" s="50"/>
      <c r="NL37" s="44" t="s">
        <v>46</v>
      </c>
      <c r="NM37" s="50" t="s">
        <v>46</v>
      </c>
      <c r="NN37" s="50"/>
      <c r="NO37" s="44" t="s">
        <v>46</v>
      </c>
      <c r="NP37" s="50" t="s">
        <v>46</v>
      </c>
      <c r="NQ37" s="50"/>
      <c r="NR37" s="44" t="s">
        <v>46</v>
      </c>
      <c r="NS37" s="50" t="s">
        <v>46</v>
      </c>
      <c r="NT37" s="50"/>
      <c r="NU37" s="44" t="s">
        <v>46</v>
      </c>
      <c r="NV37" s="50" t="s">
        <v>46</v>
      </c>
      <c r="NW37" s="50"/>
      <c r="NX37" s="44" t="s">
        <v>46</v>
      </c>
      <c r="NY37" s="50" t="s">
        <v>46</v>
      </c>
      <c r="NZ37" s="50"/>
      <c r="OA37" s="50" t="s">
        <v>46</v>
      </c>
      <c r="OB37" s="50" t="s">
        <v>46</v>
      </c>
      <c r="OC37" s="50"/>
      <c r="OD37" s="50" t="s">
        <v>46</v>
      </c>
      <c r="OE37" s="50" t="s">
        <v>46</v>
      </c>
      <c r="OF37" s="50"/>
      <c r="OG37" s="50" t="s">
        <v>46</v>
      </c>
      <c r="OH37" s="50" t="s">
        <v>46</v>
      </c>
      <c r="OI37" s="50"/>
      <c r="OJ37" s="50" t="s">
        <v>46</v>
      </c>
      <c r="OK37" s="50" t="s">
        <v>46</v>
      </c>
      <c r="OL37" s="50"/>
      <c r="OM37" s="50" t="s">
        <v>46</v>
      </c>
      <c r="ON37" s="50" t="s">
        <v>46</v>
      </c>
      <c r="OO37" s="50"/>
      <c r="OP37" s="50" t="s">
        <v>46</v>
      </c>
      <c r="OQ37" s="50" t="s">
        <v>46</v>
      </c>
      <c r="OR37" s="50"/>
      <c r="OS37" s="50" t="s">
        <v>46</v>
      </c>
      <c r="OT37" s="50" t="s">
        <v>46</v>
      </c>
      <c r="OU37" s="50"/>
      <c r="OV37" s="44" t="s">
        <v>46</v>
      </c>
      <c r="OW37" s="50" t="s">
        <v>46</v>
      </c>
      <c r="OX37" s="50">
        <f t="shared" si="9"/>
        <v>0</v>
      </c>
      <c r="OY37" s="50"/>
      <c r="OZ37" s="44" t="s">
        <v>46</v>
      </c>
      <c r="PA37" s="50" t="s">
        <v>46</v>
      </c>
      <c r="PB37" s="50"/>
      <c r="PC37" s="44" t="s">
        <v>46</v>
      </c>
      <c r="PD37" s="50" t="s">
        <v>46</v>
      </c>
      <c r="PE37" s="50"/>
      <c r="PF37" s="44" t="s">
        <v>46</v>
      </c>
      <c r="PG37" s="50" t="s">
        <v>46</v>
      </c>
      <c r="PH37" s="50"/>
      <c r="PI37" s="44" t="s">
        <v>46</v>
      </c>
      <c r="PJ37" s="50" t="s">
        <v>46</v>
      </c>
      <c r="PK37" s="50"/>
      <c r="PL37" s="44" t="s">
        <v>46</v>
      </c>
      <c r="PM37" s="50" t="s">
        <v>46</v>
      </c>
      <c r="PN37" s="50"/>
      <c r="PO37" s="44" t="s">
        <v>46</v>
      </c>
      <c r="PP37" s="50" t="s">
        <v>46</v>
      </c>
      <c r="PQ37" s="50"/>
      <c r="PR37" s="44" t="s">
        <v>46</v>
      </c>
      <c r="PS37" s="50" t="s">
        <v>46</v>
      </c>
      <c r="PT37" s="50"/>
      <c r="PU37" s="44" t="s">
        <v>46</v>
      </c>
      <c r="PV37" s="50" t="s">
        <v>46</v>
      </c>
      <c r="PW37" s="50"/>
      <c r="PX37" s="44" t="s">
        <v>46</v>
      </c>
      <c r="PY37" s="50" t="s">
        <v>46</v>
      </c>
      <c r="PZ37" s="50"/>
      <c r="QA37" s="44" t="s">
        <v>46</v>
      </c>
      <c r="QB37" s="50" t="s">
        <v>46</v>
      </c>
      <c r="QC37" s="50"/>
      <c r="QD37" s="44" t="s">
        <v>46</v>
      </c>
      <c r="QE37" s="50" t="s">
        <v>46</v>
      </c>
      <c r="QF37" s="50"/>
      <c r="QG37" s="44" t="s">
        <v>46</v>
      </c>
      <c r="QH37" s="50" t="s">
        <v>46</v>
      </c>
      <c r="QI37" s="50"/>
      <c r="QJ37" s="44" t="s">
        <v>46</v>
      </c>
      <c r="QK37" s="50" t="s">
        <v>46</v>
      </c>
      <c r="QL37" s="50">
        <f t="shared" si="40"/>
        <v>0</v>
      </c>
      <c r="QM37" s="50"/>
      <c r="QN37" s="44" t="s">
        <v>46</v>
      </c>
      <c r="QO37" s="50" t="s">
        <v>46</v>
      </c>
      <c r="QP37" s="50"/>
      <c r="QQ37" s="44" t="s">
        <v>46</v>
      </c>
      <c r="QR37" s="50" t="s">
        <v>46</v>
      </c>
      <c r="QS37" s="50"/>
      <c r="QT37" s="44" t="s">
        <v>46</v>
      </c>
      <c r="QU37" s="50" t="s">
        <v>46</v>
      </c>
      <c r="QV37" s="50"/>
      <c r="QW37" s="44" t="s">
        <v>46</v>
      </c>
      <c r="QX37" s="50" t="s">
        <v>46</v>
      </c>
      <c r="QY37" s="50"/>
      <c r="QZ37" s="44" t="s">
        <v>46</v>
      </c>
      <c r="RA37" s="50" t="s">
        <v>46</v>
      </c>
      <c r="RB37" s="50"/>
      <c r="RC37" s="44" t="s">
        <v>46</v>
      </c>
      <c r="RD37" s="50" t="s">
        <v>46</v>
      </c>
      <c r="RE37" s="50"/>
      <c r="RF37" s="44" t="s">
        <v>46</v>
      </c>
      <c r="RG37" s="50" t="s">
        <v>46</v>
      </c>
      <c r="RH37" s="50"/>
      <c r="RI37" s="44" t="s">
        <v>46</v>
      </c>
      <c r="RJ37" s="50" t="s">
        <v>46</v>
      </c>
      <c r="RK37" s="50"/>
      <c r="RL37" s="44" t="s">
        <v>46</v>
      </c>
      <c r="RM37" s="50" t="s">
        <v>46</v>
      </c>
      <c r="RN37" s="50"/>
      <c r="RO37" s="44" t="s">
        <v>46</v>
      </c>
      <c r="RP37" s="50" t="s">
        <v>46</v>
      </c>
      <c r="RQ37" s="50"/>
      <c r="RR37" s="44" t="s">
        <v>46</v>
      </c>
      <c r="RS37" s="50" t="s">
        <v>46</v>
      </c>
      <c r="RT37" s="50"/>
      <c r="RU37" s="44" t="s">
        <v>46</v>
      </c>
      <c r="RV37" s="50" t="s">
        <v>46</v>
      </c>
      <c r="RW37" s="50"/>
      <c r="RX37" s="44" t="s">
        <v>46</v>
      </c>
      <c r="RY37" s="50" t="s">
        <v>46</v>
      </c>
      <c r="RZ37" s="50">
        <f t="shared" si="43"/>
        <v>0</v>
      </c>
      <c r="SA37" s="50"/>
      <c r="SB37" s="44" t="s">
        <v>46</v>
      </c>
      <c r="SC37" s="50" t="s">
        <v>46</v>
      </c>
      <c r="SD37" s="50"/>
      <c r="SE37" s="44" t="s">
        <v>46</v>
      </c>
      <c r="SF37" s="50" t="s">
        <v>46</v>
      </c>
      <c r="SG37" s="50"/>
      <c r="SH37" s="44" t="s">
        <v>46</v>
      </c>
      <c r="SI37" s="50" t="s">
        <v>46</v>
      </c>
      <c r="SJ37" s="50"/>
      <c r="SK37" s="44" t="s">
        <v>46</v>
      </c>
      <c r="SL37" s="50" t="s">
        <v>46</v>
      </c>
      <c r="SM37" s="50"/>
      <c r="SN37" s="44" t="s">
        <v>46</v>
      </c>
      <c r="SO37" s="50" t="s">
        <v>46</v>
      </c>
      <c r="SP37" s="50"/>
      <c r="SQ37" s="50" t="s">
        <v>46</v>
      </c>
      <c r="SR37" s="50" t="s">
        <v>46</v>
      </c>
      <c r="SS37" s="50"/>
      <c r="ST37" s="50" t="s">
        <v>46</v>
      </c>
      <c r="SU37" s="50" t="s">
        <v>46</v>
      </c>
      <c r="SV37" s="50"/>
      <c r="SW37" s="50" t="s">
        <v>46</v>
      </c>
      <c r="SX37" s="50" t="s">
        <v>46</v>
      </c>
      <c r="SY37" s="50"/>
      <c r="SZ37" s="50" t="s">
        <v>46</v>
      </c>
      <c r="TA37" s="50" t="s">
        <v>46</v>
      </c>
      <c r="TB37" s="50"/>
      <c r="TC37" s="50" t="s">
        <v>46</v>
      </c>
      <c r="TD37" s="50" t="s">
        <v>46</v>
      </c>
      <c r="TE37" s="50"/>
      <c r="TF37" s="50" t="s">
        <v>46</v>
      </c>
      <c r="TG37" s="50" t="s">
        <v>46</v>
      </c>
      <c r="TH37" s="50"/>
      <c r="TI37" s="50" t="s">
        <v>46</v>
      </c>
      <c r="TJ37" s="50" t="s">
        <v>46</v>
      </c>
      <c r="TK37" s="50"/>
      <c r="TL37" s="44" t="s">
        <v>46</v>
      </c>
      <c r="TM37" s="50" t="s">
        <v>46</v>
      </c>
      <c r="TN37" s="50">
        <f t="shared" si="47"/>
        <v>0</v>
      </c>
      <c r="TO37" s="44" t="s">
        <v>46</v>
      </c>
      <c r="TP37" s="50" t="s">
        <v>46</v>
      </c>
      <c r="TQ37" s="50"/>
      <c r="TR37" s="44" t="s">
        <v>46</v>
      </c>
      <c r="TS37" s="50" t="s">
        <v>46</v>
      </c>
      <c r="TT37" s="50"/>
      <c r="TU37" s="44" t="s">
        <v>46</v>
      </c>
      <c r="TV37" s="50" t="s">
        <v>46</v>
      </c>
      <c r="TW37" s="50"/>
      <c r="TX37" s="44" t="s">
        <v>46</v>
      </c>
      <c r="TY37" s="50" t="s">
        <v>46</v>
      </c>
      <c r="TZ37" s="50"/>
      <c r="UA37" s="50"/>
      <c r="UB37" s="50"/>
      <c r="UC37" s="50"/>
      <c r="UD37" s="50"/>
      <c r="UE37" s="50"/>
      <c r="UF37" s="50"/>
      <c r="UG37" s="50"/>
      <c r="UH37" s="50"/>
      <c r="UI37" s="50"/>
      <c r="UJ37" s="50"/>
      <c r="UK37" s="50"/>
      <c r="UL37" s="50"/>
      <c r="UM37" s="50"/>
      <c r="UN37" s="50"/>
      <c r="UO37" s="50"/>
      <c r="UP37" s="50"/>
      <c r="UQ37" s="50"/>
      <c r="UR37" s="50"/>
      <c r="US37" s="50"/>
      <c r="UT37" s="50"/>
      <c r="UU37" s="50"/>
      <c r="UV37" s="50"/>
      <c r="UW37" s="50"/>
      <c r="UX37" s="50"/>
      <c r="UY37" s="292" t="s">
        <v>46</v>
      </c>
      <c r="UZ37" s="276" t="s">
        <v>46</v>
      </c>
      <c r="VA37" s="276">
        <f t="shared" si="52"/>
        <v>0</v>
      </c>
      <c r="VB37" s="292" t="s">
        <v>46</v>
      </c>
      <c r="VC37" s="276" t="s">
        <v>46</v>
      </c>
      <c r="VD37" s="276">
        <f t="shared" si="55"/>
        <v>0</v>
      </c>
      <c r="VE37" s="277">
        <f t="shared" si="56"/>
        <v>0</v>
      </c>
      <c r="VF37" s="277" t="e">
        <f t="shared" si="57"/>
        <v>#DIV/0!</v>
      </c>
    </row>
    <row r="38" spans="1:578" s="12" customFormat="1" ht="20.5">
      <c r="A38" s="46" t="s">
        <v>143</v>
      </c>
      <c r="B38" s="13" t="s">
        <v>144</v>
      </c>
      <c r="C38" s="46" t="s">
        <v>145</v>
      </c>
      <c r="D38" s="42">
        <v>5.55592028502969</v>
      </c>
      <c r="E38" s="42">
        <v>5.9784662580178409</v>
      </c>
      <c r="F38" s="42">
        <v>8.8053639421517165</v>
      </c>
      <c r="G38" s="42">
        <v>10.381555881867493</v>
      </c>
      <c r="H38" s="42">
        <v>8.0861804998264952E-2</v>
      </c>
      <c r="I38" s="42">
        <v>0.2151140289469036</v>
      </c>
      <c r="J38" s="42">
        <v>0.83032253658203348</v>
      </c>
      <c r="K38" s="42">
        <v>0.87301438238825846</v>
      </c>
      <c r="L38" s="42">
        <v>1.834380566985955</v>
      </c>
      <c r="M38" s="42">
        <v>0.30687218627099883</v>
      </c>
      <c r="N38" s="42">
        <v>0.19846500589069452</v>
      </c>
      <c r="O38" s="42">
        <v>0.58845140323618639</v>
      </c>
      <c r="P38" s="42">
        <v>0.51726512655022239</v>
      </c>
      <c r="Q38" s="42">
        <v>0.42687150329252527</v>
      </c>
      <c r="R38" s="42">
        <v>0.55317414243515406</v>
      </c>
      <c r="S38" s="42">
        <v>0.70028770468010992</v>
      </c>
      <c r="T38" s="44" t="s">
        <v>46</v>
      </c>
      <c r="U38" s="44" t="s">
        <v>46</v>
      </c>
      <c r="V38" s="42">
        <v>7.1250803922573072</v>
      </c>
      <c r="W38" s="42">
        <v>6.9074009254358337</v>
      </c>
      <c r="X38" s="42">
        <v>0.32239571772499798</v>
      </c>
      <c r="Y38" s="42">
        <v>1.5492228274169705E-2</v>
      </c>
      <c r="Z38" s="42">
        <v>1.4764827747138614</v>
      </c>
      <c r="AA38" s="42">
        <v>1.0593522518369236</v>
      </c>
      <c r="AB38" s="42">
        <v>1.1483457692329613</v>
      </c>
      <c r="AC38" s="42">
        <v>1.3328125622506455</v>
      </c>
      <c r="AD38" s="42">
        <v>0.21575289838986214</v>
      </c>
      <c r="AE38" s="42">
        <v>-5.5538955384430065E-2</v>
      </c>
      <c r="AF38" s="42">
        <v>0.65865732124462262</v>
      </c>
      <c r="AG38" s="42">
        <v>0.61949135178514825</v>
      </c>
      <c r="AH38" s="42">
        <v>0.7338703251546641</v>
      </c>
      <c r="AI38" s="42">
        <v>0.27726080101991235</v>
      </c>
      <c r="AJ38" s="42">
        <v>0</v>
      </c>
      <c r="AK38" s="42">
        <v>0</v>
      </c>
      <c r="AL38" s="42">
        <v>7.8043750462433046</v>
      </c>
      <c r="AM38" s="42">
        <v>7.5659244967302408</v>
      </c>
      <c r="AN38" s="42">
        <v>6.9155838612187687E-2</v>
      </c>
      <c r="AO38" s="42">
        <v>0.25350737901320841</v>
      </c>
      <c r="AP38" s="42">
        <v>0.42016123983357928</v>
      </c>
      <c r="AQ38" s="42">
        <v>2.8709284523141369E-2</v>
      </c>
      <c r="AR38" s="42">
        <v>0.67562222184279475</v>
      </c>
      <c r="AS38" s="42">
        <v>1.3065719603189523</v>
      </c>
      <c r="AT38" s="42">
        <v>-2.7987888515193069E-3</v>
      </c>
      <c r="AU38" s="42">
        <v>0.21016101217409722</v>
      </c>
      <c r="AV38" s="42">
        <v>-3.8100238473320593E-2</v>
      </c>
      <c r="AW38" s="42">
        <v>0.17163818077301121</v>
      </c>
      <c r="AX38" s="42">
        <v>0.30572819733525314</v>
      </c>
      <c r="AY38" s="42">
        <v>0.51290260157881296</v>
      </c>
      <c r="AZ38" s="44" t="s">
        <v>46</v>
      </c>
      <c r="BA38" s="44" t="s">
        <v>46</v>
      </c>
      <c r="BB38" s="42">
        <v>3.9132588886801987</v>
      </c>
      <c r="BC38" s="42">
        <v>1.7206233885976743</v>
      </c>
      <c r="BD38" s="49" t="s">
        <v>46</v>
      </c>
      <c r="BE38" s="49" t="s">
        <v>46</v>
      </c>
      <c r="BF38" s="44">
        <f>BF39+BF40+BF41</f>
        <v>0.23857400000000001</v>
      </c>
      <c r="BG38" s="49" t="s">
        <v>46</v>
      </c>
      <c r="BH38" s="49" t="s">
        <v>46</v>
      </c>
      <c r="BI38" s="44">
        <f>BI39+BI40+BI41</f>
        <v>0.13324600000000036</v>
      </c>
      <c r="BJ38" s="49" t="s">
        <v>46</v>
      </c>
      <c r="BK38" s="49" t="s">
        <v>46</v>
      </c>
      <c r="BL38" s="44">
        <f>BL39+BL40+BL41</f>
        <v>0.14099399999999945</v>
      </c>
      <c r="BM38" s="49" t="s">
        <v>46</v>
      </c>
      <c r="BN38" s="49" t="s">
        <v>46</v>
      </c>
      <c r="BO38" s="44">
        <f>BO39+BO40+BO41</f>
        <v>0.33170300000000064</v>
      </c>
      <c r="BP38" s="49" t="s">
        <v>46</v>
      </c>
      <c r="BQ38" s="49" t="s">
        <v>46</v>
      </c>
      <c r="BR38" s="44">
        <f>BR39+BR40+BR41</f>
        <v>0.30857299999999999</v>
      </c>
      <c r="BS38" s="49" t="s">
        <v>46</v>
      </c>
      <c r="BT38" s="49" t="s">
        <v>46</v>
      </c>
      <c r="BU38" s="44">
        <f>BU39+BU40+BU41</f>
        <v>6.6498999999999975E-2</v>
      </c>
      <c r="BV38" s="49" t="s">
        <v>46</v>
      </c>
      <c r="BW38" s="49" t="s">
        <v>46</v>
      </c>
      <c r="BX38" s="44">
        <f>BX39+BX40+BX41</f>
        <v>0.50860400000000006</v>
      </c>
      <c r="BY38" s="49" t="s">
        <v>46</v>
      </c>
      <c r="BZ38" s="49" t="s">
        <v>46</v>
      </c>
      <c r="CA38" s="44">
        <f>CA39+CA40+CA41</f>
        <v>0.32084499999999999</v>
      </c>
      <c r="CB38" s="49" t="s">
        <v>46</v>
      </c>
      <c r="CC38" s="49" t="s">
        <v>46</v>
      </c>
      <c r="CD38" s="44">
        <f>CD39+CD40+CD41</f>
        <v>0.13069</v>
      </c>
      <c r="CE38" s="49" t="s">
        <v>46</v>
      </c>
      <c r="CF38" s="49" t="s">
        <v>46</v>
      </c>
      <c r="CG38" s="44">
        <f>CG39+CG40+CG41</f>
        <v>0.11261000000000002</v>
      </c>
      <c r="CH38" s="49" t="s">
        <v>46</v>
      </c>
      <c r="CI38" s="49" t="s">
        <v>46</v>
      </c>
      <c r="CJ38" s="44">
        <f>CJ39+CJ40+CJ41</f>
        <v>0.11706799999999999</v>
      </c>
      <c r="CK38" s="49" t="s">
        <v>46</v>
      </c>
      <c r="CL38" s="49" t="s">
        <v>46</v>
      </c>
      <c r="CM38" s="44">
        <f>CM39+CM40+CM41</f>
        <v>0.34375900000000004</v>
      </c>
      <c r="CN38" s="50"/>
      <c r="CO38" s="50"/>
      <c r="CP38" s="50">
        <f t="shared" si="21"/>
        <v>2.7531650000000005</v>
      </c>
      <c r="CQ38" s="52">
        <f>CQ39+CQ40+CQ41</f>
        <v>2.749174</v>
      </c>
      <c r="CR38" s="49" t="s">
        <v>46</v>
      </c>
      <c r="CS38" s="49" t="s">
        <v>46</v>
      </c>
      <c r="CT38" s="44">
        <f>CT39+CT40+CT41</f>
        <v>6.7621999999999988E-2</v>
      </c>
      <c r="CU38" s="49" t="s">
        <v>46</v>
      </c>
      <c r="CV38" s="49" t="s">
        <v>46</v>
      </c>
      <c r="CW38" s="44">
        <v>0.21199000000000001</v>
      </c>
      <c r="CX38" s="49" t="s">
        <v>46</v>
      </c>
      <c r="CY38" s="49" t="s">
        <v>46</v>
      </c>
      <c r="CZ38" s="44">
        <v>0.23369599999999999</v>
      </c>
      <c r="DA38" s="49" t="s">
        <v>46</v>
      </c>
      <c r="DB38" s="49" t="s">
        <v>46</v>
      </c>
      <c r="DC38" s="44">
        <v>0.24220900000000001</v>
      </c>
      <c r="DD38" s="49" t="s">
        <v>46</v>
      </c>
      <c r="DE38" s="49" t="s">
        <v>46</v>
      </c>
      <c r="DF38" s="44">
        <v>0.16543099999999999</v>
      </c>
      <c r="DG38" s="49" t="s">
        <v>46</v>
      </c>
      <c r="DH38" s="49" t="s">
        <v>46</v>
      </c>
      <c r="DI38" s="44">
        <v>0.13541500000000001</v>
      </c>
      <c r="DJ38" s="49" t="s">
        <v>46</v>
      </c>
      <c r="DK38" s="49" t="s">
        <v>46</v>
      </c>
      <c r="DL38" s="44">
        <v>0.38232600000000005</v>
      </c>
      <c r="DM38" s="49" t="s">
        <v>46</v>
      </c>
      <c r="DN38" s="49" t="s">
        <v>46</v>
      </c>
      <c r="DO38" s="44">
        <v>5.7914E-2</v>
      </c>
      <c r="DP38" s="49" t="s">
        <v>46</v>
      </c>
      <c r="DQ38" s="49" t="s">
        <v>46</v>
      </c>
      <c r="DR38" s="44">
        <v>0.10602799999999998</v>
      </c>
      <c r="DS38" s="49" t="s">
        <v>46</v>
      </c>
      <c r="DT38" s="49" t="s">
        <v>46</v>
      </c>
      <c r="DU38" s="44">
        <v>0.10617499999999999</v>
      </c>
      <c r="DV38" s="49" t="s">
        <v>46</v>
      </c>
      <c r="DW38" s="49" t="s">
        <v>46</v>
      </c>
      <c r="DX38" s="44">
        <v>0.124086</v>
      </c>
      <c r="DY38" s="49" t="s">
        <v>46</v>
      </c>
      <c r="DZ38" s="49" t="s">
        <v>46</v>
      </c>
      <c r="EA38" s="44">
        <v>0.26805400000000001</v>
      </c>
      <c r="EB38" s="49" t="s">
        <v>46</v>
      </c>
      <c r="EC38" s="49" t="s">
        <v>46</v>
      </c>
      <c r="ED38" s="44">
        <f t="shared" si="24"/>
        <v>2.100946</v>
      </c>
      <c r="EE38" s="44">
        <f>EE39+EE40+EE41</f>
        <v>2.1106160000000003</v>
      </c>
      <c r="EF38" s="44" t="s">
        <v>46</v>
      </c>
      <c r="EG38" s="44" t="s">
        <v>46</v>
      </c>
      <c r="EH38" s="44">
        <v>7.5553000000000009E-2</v>
      </c>
      <c r="EI38" s="44" t="s">
        <v>46</v>
      </c>
      <c r="EJ38" s="44" t="s">
        <v>46</v>
      </c>
      <c r="EK38" s="44">
        <v>0.11221100000000001</v>
      </c>
      <c r="EL38" s="44" t="s">
        <v>46</v>
      </c>
      <c r="EM38" s="44" t="s">
        <v>46</v>
      </c>
      <c r="EN38" s="44">
        <v>6.9461999999999996E-2</v>
      </c>
      <c r="EO38" s="44" t="s">
        <v>46</v>
      </c>
      <c r="EP38" s="44" t="s">
        <v>46</v>
      </c>
      <c r="EQ38" s="44">
        <v>0.11429800000000001</v>
      </c>
      <c r="ER38" s="44" t="s">
        <v>46</v>
      </c>
      <c r="ES38" s="44" t="s">
        <v>46</v>
      </c>
      <c r="ET38" s="44">
        <v>0.108214</v>
      </c>
      <c r="EU38" s="44" t="s">
        <v>46</v>
      </c>
      <c r="EV38" s="44" t="s">
        <v>46</v>
      </c>
      <c r="EW38" s="44">
        <v>3.1289999999999998E-2</v>
      </c>
      <c r="EX38" s="44" t="s">
        <v>46</v>
      </c>
      <c r="EY38" s="44" t="s">
        <v>46</v>
      </c>
      <c r="EZ38" s="44">
        <v>0.35370000000000001</v>
      </c>
      <c r="FA38" s="44" t="s">
        <v>46</v>
      </c>
      <c r="FB38" s="44" t="s">
        <v>46</v>
      </c>
      <c r="FC38" s="44">
        <v>2.7421000000000001E-2</v>
      </c>
      <c r="FD38" s="44" t="s">
        <v>46</v>
      </c>
      <c r="FE38" s="44" t="s">
        <v>46</v>
      </c>
      <c r="FF38" s="44">
        <v>5.0770999999999997E-2</v>
      </c>
      <c r="FG38" s="44" t="s">
        <v>46</v>
      </c>
      <c r="FH38" s="44" t="s">
        <v>46</v>
      </c>
      <c r="FI38" s="44">
        <v>4.3208999999999997E-2</v>
      </c>
      <c r="FJ38" s="44" t="s">
        <v>46</v>
      </c>
      <c r="FK38" s="44" t="s">
        <v>46</v>
      </c>
      <c r="FL38" s="44">
        <v>6.4064999999999997E-2</v>
      </c>
      <c r="FM38" s="44" t="s">
        <v>46</v>
      </c>
      <c r="FN38" s="44" t="s">
        <v>46</v>
      </c>
      <c r="FO38" s="44">
        <v>0.60021599999999997</v>
      </c>
      <c r="FP38" s="44" t="s">
        <v>46</v>
      </c>
      <c r="FQ38" s="44" t="s">
        <v>46</v>
      </c>
      <c r="FR38" s="44">
        <f t="shared" si="27"/>
        <v>1.6504099999999999</v>
      </c>
      <c r="FS38" s="95">
        <f>FS39+FS40+FS41</f>
        <v>1.6938529999999998</v>
      </c>
      <c r="FT38" s="44" t="s">
        <v>46</v>
      </c>
      <c r="FU38" s="44" t="s">
        <v>46</v>
      </c>
      <c r="FV38" s="44">
        <v>0.17064299999999999</v>
      </c>
      <c r="FW38" s="44" t="s">
        <v>46</v>
      </c>
      <c r="FX38" s="44" t="s">
        <v>46</v>
      </c>
      <c r="FY38" s="44">
        <v>0.10772999999999999</v>
      </c>
      <c r="FZ38" s="44" t="s">
        <v>46</v>
      </c>
      <c r="GA38" s="44" t="s">
        <v>46</v>
      </c>
      <c r="GB38" s="44">
        <v>7.1605000000000002E-2</v>
      </c>
      <c r="GC38" s="44" t="s">
        <v>46</v>
      </c>
      <c r="GD38" s="44" t="s">
        <v>46</v>
      </c>
      <c r="GE38" s="44">
        <v>0.14843600000000001</v>
      </c>
      <c r="GF38" s="44" t="s">
        <v>46</v>
      </c>
      <c r="GG38" s="44" t="s">
        <v>46</v>
      </c>
      <c r="GH38" s="44">
        <v>9.3925000000000008E-2</v>
      </c>
      <c r="GI38" s="44" t="s">
        <v>46</v>
      </c>
      <c r="GJ38" s="44" t="s">
        <v>46</v>
      </c>
      <c r="GK38" s="44">
        <v>0.19924700000000001</v>
      </c>
      <c r="GL38" s="44" t="s">
        <v>46</v>
      </c>
      <c r="GM38" s="44" t="s">
        <v>46</v>
      </c>
      <c r="GN38" s="44">
        <v>0.20513599999999999</v>
      </c>
      <c r="GO38" s="44" t="s">
        <v>46</v>
      </c>
      <c r="GP38" s="44" t="s">
        <v>46</v>
      </c>
      <c r="GQ38" s="44">
        <v>0.54681900000000006</v>
      </c>
      <c r="GR38" s="44" t="s">
        <v>46</v>
      </c>
      <c r="GS38" s="44" t="s">
        <v>46</v>
      </c>
      <c r="GT38" s="44">
        <v>8.0045000000000005E-2</v>
      </c>
      <c r="GU38" s="44" t="s">
        <v>46</v>
      </c>
      <c r="GV38" s="44" t="s">
        <v>46</v>
      </c>
      <c r="GW38" s="44">
        <v>0.16964000000000001</v>
      </c>
      <c r="GX38" s="44" t="s">
        <v>46</v>
      </c>
      <c r="GY38" s="44" t="s">
        <v>46</v>
      </c>
      <c r="GZ38" s="44">
        <v>0.20385400000000001</v>
      </c>
      <c r="HA38" s="44" t="s">
        <v>46</v>
      </c>
      <c r="HB38" s="44" t="s">
        <v>46</v>
      </c>
      <c r="HC38" s="44">
        <v>1.6563000000000001E-2</v>
      </c>
      <c r="HD38" s="44" t="s">
        <v>46</v>
      </c>
      <c r="HE38" s="44" t="s">
        <v>46</v>
      </c>
      <c r="HF38" s="44">
        <f t="shared" si="30"/>
        <v>2.0136430000000001</v>
      </c>
      <c r="HG38" s="44">
        <f>HG39+HG40+HG41</f>
        <v>2.0345240000000002</v>
      </c>
      <c r="HH38" s="44" t="s">
        <v>46</v>
      </c>
      <c r="HI38" s="44" t="s">
        <v>46</v>
      </c>
      <c r="HJ38" s="44">
        <v>0.103195</v>
      </c>
      <c r="HK38" s="44" t="s">
        <v>46</v>
      </c>
      <c r="HL38" s="44" t="s">
        <v>46</v>
      </c>
      <c r="HM38" s="44">
        <v>0.173323</v>
      </c>
      <c r="HN38" s="44" t="s">
        <v>46</v>
      </c>
      <c r="HO38" s="44" t="s">
        <v>46</v>
      </c>
      <c r="HP38" s="44">
        <v>0.25908399999999998</v>
      </c>
      <c r="HQ38" s="44" t="s">
        <v>46</v>
      </c>
      <c r="HR38" s="44" t="s">
        <v>46</v>
      </c>
      <c r="HS38" s="44">
        <v>0.13960900000000001</v>
      </c>
      <c r="HT38" s="44" t="s">
        <v>46</v>
      </c>
      <c r="HU38" s="44" t="s">
        <v>46</v>
      </c>
      <c r="HV38" s="44">
        <v>0.27236199999999999</v>
      </c>
      <c r="HW38" s="44" t="s">
        <v>46</v>
      </c>
      <c r="HX38" s="44" t="s">
        <v>46</v>
      </c>
      <c r="HY38" s="44">
        <v>0.25540200000000002</v>
      </c>
      <c r="HZ38" s="44" t="s">
        <v>46</v>
      </c>
      <c r="IA38" s="44" t="s">
        <v>46</v>
      </c>
      <c r="IB38" s="44">
        <v>0.216949</v>
      </c>
      <c r="IC38" s="44" t="s">
        <v>46</v>
      </c>
      <c r="ID38" s="44" t="s">
        <v>46</v>
      </c>
      <c r="IE38" s="44">
        <v>0.19679099999999999</v>
      </c>
      <c r="IF38" s="44" t="s">
        <v>46</v>
      </c>
      <c r="IG38" s="44" t="s">
        <v>46</v>
      </c>
      <c r="IH38" s="44">
        <v>0.183867</v>
      </c>
      <c r="II38" s="44" t="s">
        <v>46</v>
      </c>
      <c r="IJ38" s="44" t="s">
        <v>46</v>
      </c>
      <c r="IK38" s="44">
        <v>0.19553400000000001</v>
      </c>
      <c r="IL38" s="44" t="s">
        <v>46</v>
      </c>
      <c r="IM38" s="44" t="s">
        <v>46</v>
      </c>
      <c r="IN38" s="44">
        <v>0.12563299999999999</v>
      </c>
      <c r="IO38" s="44" t="s">
        <v>46</v>
      </c>
      <c r="IP38" s="44" t="s">
        <v>46</v>
      </c>
      <c r="IQ38" s="44">
        <v>0.35504400000000003</v>
      </c>
      <c r="IR38" s="44" t="s">
        <v>46</v>
      </c>
      <c r="IS38" s="44" t="s">
        <v>46</v>
      </c>
      <c r="IT38" s="50">
        <f t="shared" si="70"/>
        <v>2.4767929999999998</v>
      </c>
      <c r="IU38" s="44">
        <f>IU39+IU40+IU41</f>
        <v>2.3888129999999999</v>
      </c>
      <c r="IV38" s="44" t="s">
        <v>46</v>
      </c>
      <c r="IW38" s="44" t="s">
        <v>46</v>
      </c>
      <c r="IX38" s="50">
        <v>0.20795</v>
      </c>
      <c r="IY38" s="44" t="s">
        <v>46</v>
      </c>
      <c r="IZ38" s="44" t="s">
        <v>46</v>
      </c>
      <c r="JA38" s="50">
        <v>0.184278</v>
      </c>
      <c r="JB38" s="44" t="s">
        <v>46</v>
      </c>
      <c r="JC38" s="44" t="s">
        <v>46</v>
      </c>
      <c r="JD38" s="50">
        <v>0.32780300000000001</v>
      </c>
      <c r="JE38" s="44" t="s">
        <v>46</v>
      </c>
      <c r="JF38" s="44" t="s">
        <v>46</v>
      </c>
      <c r="JG38" s="50">
        <v>0.12201099999999999</v>
      </c>
      <c r="JH38" s="44" t="s">
        <v>46</v>
      </c>
      <c r="JI38" s="44" t="s">
        <v>46</v>
      </c>
      <c r="JJ38" s="50">
        <v>0.177512</v>
      </c>
      <c r="JK38" s="44" t="s">
        <v>46</v>
      </c>
      <c r="JL38" s="44" t="s">
        <v>46</v>
      </c>
      <c r="JM38" s="50">
        <v>0.88375599999999999</v>
      </c>
      <c r="JN38" s="44" t="s">
        <v>46</v>
      </c>
      <c r="JO38" s="44" t="s">
        <v>46</v>
      </c>
      <c r="JP38" s="50">
        <v>0.57025300000000001</v>
      </c>
      <c r="JQ38" s="44" t="s">
        <v>46</v>
      </c>
      <c r="JR38" s="44" t="s">
        <v>46</v>
      </c>
      <c r="JS38" s="50">
        <v>0.27108900000000002</v>
      </c>
      <c r="JT38" s="44" t="s">
        <v>46</v>
      </c>
      <c r="JU38" s="44" t="s">
        <v>46</v>
      </c>
      <c r="JV38" s="50">
        <v>0.14583699999999999</v>
      </c>
      <c r="JW38" s="44" t="s">
        <v>46</v>
      </c>
      <c r="JX38" s="44" t="s">
        <v>46</v>
      </c>
      <c r="JY38" s="50">
        <v>0.13744400000000001</v>
      </c>
      <c r="JZ38" s="44" t="s">
        <v>46</v>
      </c>
      <c r="KA38" s="44" t="s">
        <v>46</v>
      </c>
      <c r="KB38" s="50">
        <v>0.30976599999999999</v>
      </c>
      <c r="KC38" s="44" t="s">
        <v>46</v>
      </c>
      <c r="KD38" s="44" t="s">
        <v>46</v>
      </c>
      <c r="KE38" s="50">
        <v>0.173426</v>
      </c>
      <c r="KF38" s="44" t="s">
        <v>46</v>
      </c>
      <c r="KG38" s="44" t="s">
        <v>46</v>
      </c>
      <c r="KH38" s="50">
        <f t="shared" si="4"/>
        <v>3.5111249999999998</v>
      </c>
      <c r="KI38" s="44">
        <f>KI39+KI40+KI41</f>
        <v>3.520343</v>
      </c>
      <c r="KJ38" s="44" t="s">
        <v>46</v>
      </c>
      <c r="KK38" s="44" t="s">
        <v>46</v>
      </c>
      <c r="KL38" s="50">
        <v>3.2782499999999999</v>
      </c>
      <c r="KM38" s="44" t="s">
        <v>46</v>
      </c>
      <c r="KN38" s="44" t="s">
        <v>46</v>
      </c>
      <c r="KO38" s="50">
        <v>3.4760689999999999</v>
      </c>
      <c r="KP38" s="44" t="s">
        <v>46</v>
      </c>
      <c r="KQ38" s="44" t="s">
        <v>46</v>
      </c>
      <c r="KR38" s="50">
        <v>3.4002940000000001</v>
      </c>
      <c r="KS38" s="44" t="s">
        <v>46</v>
      </c>
      <c r="KT38" s="44" t="s">
        <v>46</v>
      </c>
      <c r="KU38" s="50">
        <v>3.7906900000000001</v>
      </c>
      <c r="KV38" s="44" t="s">
        <v>46</v>
      </c>
      <c r="KW38" s="44" t="s">
        <v>46</v>
      </c>
      <c r="KX38" s="50">
        <v>0.11246299999999999</v>
      </c>
      <c r="KY38" s="44" t="s">
        <v>46</v>
      </c>
      <c r="KZ38" s="44" t="s">
        <v>46</v>
      </c>
      <c r="LA38" s="50">
        <v>0.27661799999999998</v>
      </c>
      <c r="LB38" s="44" t="s">
        <v>46</v>
      </c>
      <c r="LC38" s="44" t="s">
        <v>46</v>
      </c>
      <c r="LD38" s="50">
        <v>1.1124E-2</v>
      </c>
      <c r="LE38" s="44"/>
      <c r="LF38" s="44"/>
      <c r="LG38" s="44">
        <v>9.5726000000000006E-2</v>
      </c>
      <c r="LH38" s="44" t="s">
        <v>46</v>
      </c>
      <c r="LI38" s="44" t="s">
        <v>46</v>
      </c>
      <c r="LJ38" s="50">
        <v>0.140014</v>
      </c>
      <c r="LK38" s="44" t="s">
        <v>46</v>
      </c>
      <c r="LL38" s="44" t="s">
        <v>46</v>
      </c>
      <c r="LM38" s="50">
        <v>0.41575400000000001</v>
      </c>
      <c r="LN38" s="44" t="s">
        <v>46</v>
      </c>
      <c r="LO38" s="44" t="s">
        <v>46</v>
      </c>
      <c r="LP38" s="50">
        <v>0.19695299999999999</v>
      </c>
      <c r="LQ38" s="44" t="s">
        <v>46</v>
      </c>
      <c r="LR38" s="44" t="s">
        <v>46</v>
      </c>
      <c r="LS38" s="50">
        <v>0.56683300000000003</v>
      </c>
      <c r="LT38" s="44" t="s">
        <v>46</v>
      </c>
      <c r="LU38" s="50" t="s">
        <v>46</v>
      </c>
      <c r="LV38" s="50">
        <f t="shared" si="58"/>
        <v>15.760788000000002</v>
      </c>
      <c r="LW38" s="44">
        <f>LW39+LW40+LW41</f>
        <v>15.761739</v>
      </c>
      <c r="LX38" s="44" t="s">
        <v>46</v>
      </c>
      <c r="LY38" s="44" t="s">
        <v>46</v>
      </c>
      <c r="LZ38" s="50">
        <v>0.136159</v>
      </c>
      <c r="MA38" s="44" t="s">
        <v>46</v>
      </c>
      <c r="MB38" s="44" t="s">
        <v>46</v>
      </c>
      <c r="MC38" s="50">
        <v>0.22495100000000001</v>
      </c>
      <c r="MD38" s="44" t="s">
        <v>46</v>
      </c>
      <c r="ME38" s="44" t="s">
        <v>46</v>
      </c>
      <c r="MF38" s="50">
        <v>0.84007500000000013</v>
      </c>
      <c r="MG38" s="44" t="s">
        <v>46</v>
      </c>
      <c r="MH38" s="44" t="s">
        <v>46</v>
      </c>
      <c r="MI38" s="50">
        <v>0.116711</v>
      </c>
      <c r="MJ38" s="44" t="s">
        <v>46</v>
      </c>
      <c r="MK38" s="44" t="s">
        <v>46</v>
      </c>
      <c r="ML38" s="50">
        <v>0.144432</v>
      </c>
      <c r="MM38" s="44" t="s">
        <v>46</v>
      </c>
      <c r="MN38" s="44" t="s">
        <v>46</v>
      </c>
      <c r="MO38" s="50">
        <v>0.32284200000000002</v>
      </c>
      <c r="MP38" s="44" t="s">
        <v>46</v>
      </c>
      <c r="MQ38" s="44" t="s">
        <v>46</v>
      </c>
      <c r="MR38" s="50">
        <v>0.15338099999999999</v>
      </c>
      <c r="MS38" s="44" t="s">
        <v>46</v>
      </c>
      <c r="MT38" s="44" t="s">
        <v>46</v>
      </c>
      <c r="MU38" s="50">
        <v>0.120241</v>
      </c>
      <c r="MV38" s="44" t="s">
        <v>46</v>
      </c>
      <c r="MW38" s="44" t="s">
        <v>46</v>
      </c>
      <c r="MX38" s="50">
        <v>9.1886999999999996E-2</v>
      </c>
      <c r="MY38" s="44" t="s">
        <v>46</v>
      </c>
      <c r="MZ38" s="44" t="s">
        <v>46</v>
      </c>
      <c r="NA38" s="50">
        <v>0.29818299999999998</v>
      </c>
      <c r="NB38" s="44" t="s">
        <v>46</v>
      </c>
      <c r="NC38" s="44" t="s">
        <v>46</v>
      </c>
      <c r="ND38" s="50">
        <v>0.84886200000000001</v>
      </c>
      <c r="NE38" s="44" t="s">
        <v>46</v>
      </c>
      <c r="NF38" s="44" t="s">
        <v>46</v>
      </c>
      <c r="NG38" s="50">
        <v>-0.20794799999999999</v>
      </c>
      <c r="NH38" s="44" t="s">
        <v>46</v>
      </c>
      <c r="NI38" s="50" t="s">
        <v>46</v>
      </c>
      <c r="NJ38" s="50">
        <f t="shared" si="7"/>
        <v>3.0897760000000001</v>
      </c>
      <c r="NK38" s="44">
        <f>NK39+NK40+NK41</f>
        <v>2.9983040000000001</v>
      </c>
      <c r="NL38" s="44" t="s">
        <v>46</v>
      </c>
      <c r="NM38" s="50" t="s">
        <v>46</v>
      </c>
      <c r="NN38" s="50">
        <v>0.30775599999999997</v>
      </c>
      <c r="NO38" s="44" t="s">
        <v>46</v>
      </c>
      <c r="NP38" s="50" t="s">
        <v>46</v>
      </c>
      <c r="NQ38" s="50">
        <v>0.177647</v>
      </c>
      <c r="NR38" s="44" t="s">
        <v>46</v>
      </c>
      <c r="NS38" s="50" t="s">
        <v>46</v>
      </c>
      <c r="NT38" s="50">
        <v>0.498587</v>
      </c>
      <c r="NU38" s="44" t="s">
        <v>46</v>
      </c>
      <c r="NV38" s="50" t="s">
        <v>46</v>
      </c>
      <c r="NW38" s="50">
        <v>0.45238099999999998</v>
      </c>
      <c r="NX38" s="44" t="s">
        <v>46</v>
      </c>
      <c r="NY38" s="50" t="s">
        <v>46</v>
      </c>
      <c r="NZ38" s="50">
        <v>0.43666199999999999</v>
      </c>
      <c r="OA38" s="50" t="s">
        <v>46</v>
      </c>
      <c r="OB38" s="50" t="s">
        <v>46</v>
      </c>
      <c r="OC38" s="50">
        <v>0.48260199999999998</v>
      </c>
      <c r="OD38" s="50" t="s">
        <v>46</v>
      </c>
      <c r="OE38" s="50" t="s">
        <v>46</v>
      </c>
      <c r="OF38" s="50">
        <v>0.39094099999999998</v>
      </c>
      <c r="OG38" s="50" t="s">
        <v>46</v>
      </c>
      <c r="OH38" s="50" t="s">
        <v>46</v>
      </c>
      <c r="OI38" s="94">
        <v>0.12975900000000001</v>
      </c>
      <c r="OJ38" s="50" t="s">
        <v>46</v>
      </c>
      <c r="OK38" s="50" t="s">
        <v>46</v>
      </c>
      <c r="OL38" s="50">
        <v>0.379131</v>
      </c>
      <c r="OM38" s="50" t="s">
        <v>46</v>
      </c>
      <c r="ON38" s="50" t="s">
        <v>46</v>
      </c>
      <c r="OO38" s="50">
        <v>0.17005899999999999</v>
      </c>
      <c r="OP38" s="50" t="s">
        <v>46</v>
      </c>
      <c r="OQ38" s="50" t="s">
        <v>46</v>
      </c>
      <c r="OR38" s="50">
        <v>0.22060199999999999</v>
      </c>
      <c r="OS38" s="50" t="s">
        <v>46</v>
      </c>
      <c r="OT38" s="50" t="s">
        <v>46</v>
      </c>
      <c r="OU38" s="50">
        <v>0.35287200000000002</v>
      </c>
      <c r="OV38" s="44" t="s">
        <v>46</v>
      </c>
      <c r="OW38" s="50" t="s">
        <v>46</v>
      </c>
      <c r="OX38" s="50">
        <f t="shared" si="9"/>
        <v>3.9989990000000004</v>
      </c>
      <c r="OY38" s="44">
        <f>OY39+OY40+OY41</f>
        <v>4.0632619999999999</v>
      </c>
      <c r="OZ38" s="44" t="s">
        <v>46</v>
      </c>
      <c r="PA38" s="50" t="s">
        <v>46</v>
      </c>
      <c r="PB38" s="50">
        <v>2.7946060000000004</v>
      </c>
      <c r="PC38" s="44" t="s">
        <v>46</v>
      </c>
      <c r="PD38" s="50" t="s">
        <v>46</v>
      </c>
      <c r="PE38" s="50">
        <v>0.211062</v>
      </c>
      <c r="PF38" s="44" t="s">
        <v>46</v>
      </c>
      <c r="PG38" s="50" t="s">
        <v>46</v>
      </c>
      <c r="PH38" s="50">
        <v>0.70138800000000001</v>
      </c>
      <c r="PI38" s="44" t="s">
        <v>46</v>
      </c>
      <c r="PJ38" s="50" t="s">
        <v>46</v>
      </c>
      <c r="PK38" s="50">
        <v>0.354016</v>
      </c>
      <c r="PL38" s="44" t="s">
        <v>46</v>
      </c>
      <c r="PM38" s="50" t="s">
        <v>46</v>
      </c>
      <c r="PN38" s="50">
        <v>0.283364</v>
      </c>
      <c r="PO38" s="44" t="s">
        <v>46</v>
      </c>
      <c r="PP38" s="50" t="s">
        <v>46</v>
      </c>
      <c r="PQ38" s="50">
        <v>0.282528</v>
      </c>
      <c r="PR38" s="44" t="s">
        <v>46</v>
      </c>
      <c r="PS38" s="50" t="s">
        <v>46</v>
      </c>
      <c r="PT38" s="50">
        <v>0.119196</v>
      </c>
      <c r="PU38" s="44" t="s">
        <v>46</v>
      </c>
      <c r="PV38" s="50" t="s">
        <v>46</v>
      </c>
      <c r="PW38" s="50">
        <v>6.4169000000000004E-2</v>
      </c>
      <c r="PX38" s="44" t="s">
        <v>46</v>
      </c>
      <c r="PY38" s="50" t="s">
        <v>46</v>
      </c>
      <c r="PZ38" s="50">
        <v>0.14110600000000001</v>
      </c>
      <c r="QA38" s="44" t="s">
        <v>46</v>
      </c>
      <c r="QB38" s="50" t="s">
        <v>46</v>
      </c>
      <c r="QC38" s="50">
        <v>0.20966299999999999</v>
      </c>
      <c r="QD38" s="44" t="s">
        <v>46</v>
      </c>
      <c r="QE38" s="50" t="s">
        <v>46</v>
      </c>
      <c r="QF38" s="50">
        <v>0.30013200000000001</v>
      </c>
      <c r="QG38" s="44" t="s">
        <v>46</v>
      </c>
      <c r="QH38" s="50" t="s">
        <v>46</v>
      </c>
      <c r="QI38" s="50">
        <v>0.14721500000000001</v>
      </c>
      <c r="QJ38" s="44" t="s">
        <v>46</v>
      </c>
      <c r="QK38" s="50" t="s">
        <v>46</v>
      </c>
      <c r="QL38" s="50">
        <f t="shared" si="40"/>
        <v>5.6084449999999988</v>
      </c>
      <c r="QM38" s="44">
        <f>QM39+QM40+QM41</f>
        <v>5.6298279999999998</v>
      </c>
      <c r="QN38" s="44" t="s">
        <v>46</v>
      </c>
      <c r="QO38" s="50" t="s">
        <v>46</v>
      </c>
      <c r="QP38" s="50">
        <v>0.34698699999999999</v>
      </c>
      <c r="QQ38" s="44" t="s">
        <v>46</v>
      </c>
      <c r="QR38" s="50" t="s">
        <v>46</v>
      </c>
      <c r="QS38" s="50">
        <v>0.29960300000000001</v>
      </c>
      <c r="QT38" s="44" t="s">
        <v>46</v>
      </c>
      <c r="QU38" s="50" t="s">
        <v>46</v>
      </c>
      <c r="QV38" s="50">
        <v>0.91942699999999999</v>
      </c>
      <c r="QW38" s="44" t="s">
        <v>46</v>
      </c>
      <c r="QX38" s="50" t="s">
        <v>46</v>
      </c>
      <c r="QY38" s="50">
        <v>0.32770500000000002</v>
      </c>
      <c r="QZ38" s="44" t="s">
        <v>46</v>
      </c>
      <c r="RA38" s="50" t="s">
        <v>46</v>
      </c>
      <c r="RB38" s="50">
        <v>0.327158</v>
      </c>
      <c r="RC38" s="44" t="s">
        <v>46</v>
      </c>
      <c r="RD38" s="50" t="s">
        <v>46</v>
      </c>
      <c r="RE38" s="50">
        <v>0.516374</v>
      </c>
      <c r="RF38" s="44" t="s">
        <v>46</v>
      </c>
      <c r="RG38" s="50" t="s">
        <v>46</v>
      </c>
      <c r="RH38" s="50">
        <v>7.7174000000000006E-2</v>
      </c>
      <c r="RI38" s="44" t="s">
        <v>46</v>
      </c>
      <c r="RJ38" s="50" t="s">
        <v>46</v>
      </c>
      <c r="RK38" s="50">
        <v>1.303496</v>
      </c>
      <c r="RL38" s="44" t="s">
        <v>46</v>
      </c>
      <c r="RM38" s="50" t="s">
        <v>46</v>
      </c>
      <c r="RN38" s="50">
        <v>6.6885E-2</v>
      </c>
      <c r="RO38" s="44" t="s">
        <v>46</v>
      </c>
      <c r="RP38" s="50" t="s">
        <v>46</v>
      </c>
      <c r="RQ38" s="50">
        <v>0.27489200000000003</v>
      </c>
      <c r="RR38" s="44" t="s">
        <v>46</v>
      </c>
      <c r="RS38" s="50" t="s">
        <v>46</v>
      </c>
      <c r="RT38" s="50">
        <v>0.17213899999999999</v>
      </c>
      <c r="RU38" s="44" t="s">
        <v>46</v>
      </c>
      <c r="RV38" s="50" t="s">
        <v>46</v>
      </c>
      <c r="RW38" s="50">
        <v>3.1845999999999999E-2</v>
      </c>
      <c r="RX38" s="44" t="s">
        <v>46</v>
      </c>
      <c r="RY38" s="50" t="s">
        <v>46</v>
      </c>
      <c r="RZ38" s="50">
        <f t="shared" si="43"/>
        <v>4.6636859999999993</v>
      </c>
      <c r="SA38" s="44">
        <f>SA39+SA40+SA41</f>
        <v>4.6560059999999996</v>
      </c>
      <c r="SB38" s="44" t="s">
        <v>46</v>
      </c>
      <c r="SC38" s="50" t="s">
        <v>46</v>
      </c>
      <c r="SD38" s="50">
        <v>0.237458</v>
      </c>
      <c r="SE38" s="44" t="s">
        <v>46</v>
      </c>
      <c r="SF38" s="50" t="s">
        <v>46</v>
      </c>
      <c r="SG38" s="50">
        <v>8.8072999999999999E-2</v>
      </c>
      <c r="SH38" s="44" t="s">
        <v>46</v>
      </c>
      <c r="SI38" s="50" t="s">
        <v>46</v>
      </c>
      <c r="SJ38" s="50">
        <v>0.54827899999999996</v>
      </c>
      <c r="SK38" s="44" t="s">
        <v>46</v>
      </c>
      <c r="SL38" s="50" t="s">
        <v>46</v>
      </c>
      <c r="SM38" s="50">
        <v>0.36014499999999999</v>
      </c>
      <c r="SN38" s="44" t="s">
        <v>46</v>
      </c>
      <c r="SO38" s="50" t="s">
        <v>46</v>
      </c>
      <c r="SP38" s="50">
        <v>0.43889</v>
      </c>
      <c r="SQ38" s="50" t="s">
        <v>46</v>
      </c>
      <c r="SR38" s="50" t="s">
        <v>46</v>
      </c>
      <c r="SS38" s="50">
        <v>0.189388</v>
      </c>
      <c r="ST38" s="50" t="s">
        <v>46</v>
      </c>
      <c r="SU38" s="50" t="s">
        <v>46</v>
      </c>
      <c r="SV38" s="50">
        <v>0.148059</v>
      </c>
      <c r="SW38" s="50" t="s">
        <v>46</v>
      </c>
      <c r="SX38" s="50" t="s">
        <v>46</v>
      </c>
      <c r="SY38" s="50">
        <v>0.114235</v>
      </c>
      <c r="SZ38" s="50" t="s">
        <v>46</v>
      </c>
      <c r="TA38" s="50" t="s">
        <v>46</v>
      </c>
      <c r="TB38" s="50">
        <v>0.154281</v>
      </c>
      <c r="TC38" s="50" t="s">
        <v>46</v>
      </c>
      <c r="TD38" s="50" t="s">
        <v>46</v>
      </c>
      <c r="TE38" s="50">
        <v>0.14296400000000001</v>
      </c>
      <c r="TF38" s="50" t="s">
        <v>46</v>
      </c>
      <c r="TG38" s="50" t="s">
        <v>46</v>
      </c>
      <c r="TH38" s="50">
        <v>0.252834</v>
      </c>
      <c r="TI38" s="50" t="s">
        <v>46</v>
      </c>
      <c r="TJ38" s="50" t="s">
        <v>46</v>
      </c>
      <c r="TK38" s="50">
        <v>6.6177E-2</v>
      </c>
      <c r="TL38" s="44" t="s">
        <v>46</v>
      </c>
      <c r="TM38" s="50" t="s">
        <v>46</v>
      </c>
      <c r="TN38" s="50">
        <f t="shared" si="47"/>
        <v>2.740783</v>
      </c>
      <c r="TO38" s="44" t="s">
        <v>46</v>
      </c>
      <c r="TP38" s="50" t="s">
        <v>46</v>
      </c>
      <c r="TQ38" s="50">
        <v>0.10264499999999999</v>
      </c>
      <c r="TR38" s="44" t="s">
        <v>46</v>
      </c>
      <c r="TS38" s="50" t="s">
        <v>46</v>
      </c>
      <c r="TT38" s="50">
        <v>0.19104499999999999</v>
      </c>
      <c r="TU38" s="44" t="s">
        <v>46</v>
      </c>
      <c r="TV38" s="50" t="s">
        <v>46</v>
      </c>
      <c r="TW38" s="50">
        <v>1.108935</v>
      </c>
      <c r="TX38" s="44" t="s">
        <v>46</v>
      </c>
      <c r="TY38" s="50" t="s">
        <v>46</v>
      </c>
      <c r="TZ38" s="50">
        <v>-0.54776800000000003</v>
      </c>
      <c r="UA38" s="50"/>
      <c r="UB38" s="50"/>
      <c r="UC38" s="50"/>
      <c r="UD38" s="50"/>
      <c r="UE38" s="50"/>
      <c r="UF38" s="50"/>
      <c r="UG38" s="50"/>
      <c r="UH38" s="50"/>
      <c r="UI38" s="50"/>
      <c r="UJ38" s="50"/>
      <c r="UK38" s="50"/>
      <c r="UL38" s="50"/>
      <c r="UM38" s="50"/>
      <c r="UN38" s="50"/>
      <c r="UO38" s="50"/>
      <c r="UP38" s="50"/>
      <c r="UQ38" s="50"/>
      <c r="UR38" s="50"/>
      <c r="US38" s="50"/>
      <c r="UT38" s="50"/>
      <c r="UU38" s="50"/>
      <c r="UV38" s="50"/>
      <c r="UW38" s="50"/>
      <c r="UX38" s="50"/>
      <c r="UY38" s="292" t="s">
        <v>46</v>
      </c>
      <c r="UZ38" s="276" t="s">
        <v>46</v>
      </c>
      <c r="VA38" s="276">
        <f t="shared" si="52"/>
        <v>1.2339549999999999</v>
      </c>
      <c r="VB38" s="292" t="s">
        <v>46</v>
      </c>
      <c r="VC38" s="276" t="s">
        <v>46</v>
      </c>
      <c r="VD38" s="276">
        <f t="shared" si="55"/>
        <v>0.85485699999999998</v>
      </c>
      <c r="VE38" s="277">
        <f t="shared" si="56"/>
        <v>-0.37909799999999994</v>
      </c>
      <c r="VF38" s="277">
        <f t="shared" si="57"/>
        <v>-30.722190031240999</v>
      </c>
    </row>
    <row r="39" spans="1:578" s="12" customFormat="1" ht="20.5">
      <c r="A39" s="47" t="s">
        <v>239</v>
      </c>
      <c r="B39" s="13"/>
      <c r="C39" s="47" t="s">
        <v>240</v>
      </c>
      <c r="D39" s="42"/>
      <c r="E39" s="42"/>
      <c r="F39" s="42"/>
      <c r="G39" s="42">
        <v>10.381555881867493</v>
      </c>
      <c r="H39" s="42">
        <v>1.2875567014416259E-2</v>
      </c>
      <c r="I39" s="42">
        <v>0.11180215252047533</v>
      </c>
      <c r="J39" s="42">
        <v>0.46523355017899698</v>
      </c>
      <c r="K39" s="42">
        <v>0.20916500190664805</v>
      </c>
      <c r="L39" s="42">
        <v>0.47427020904832673</v>
      </c>
      <c r="M39" s="42">
        <v>0.33264039476155549</v>
      </c>
      <c r="N39" s="42">
        <v>0.11474465142486352</v>
      </c>
      <c r="O39" s="42">
        <v>0.17951519911668079</v>
      </c>
      <c r="P39" s="42">
        <v>0.2422908805299914</v>
      </c>
      <c r="Q39" s="42">
        <v>0.43853051490885087</v>
      </c>
      <c r="R39" s="42">
        <v>0.34115485967638187</v>
      </c>
      <c r="S39" s="42">
        <v>0.12791190716045975</v>
      </c>
      <c r="T39" s="44"/>
      <c r="U39" s="44"/>
      <c r="V39" s="42"/>
      <c r="W39" s="42">
        <v>3.0827613388654638</v>
      </c>
      <c r="X39" s="42">
        <v>0.12922237209805218</v>
      </c>
      <c r="Y39" s="42">
        <v>4.7805647093641511E-2</v>
      </c>
      <c r="Z39" s="42">
        <v>0.68944542148308852</v>
      </c>
      <c r="AA39" s="42">
        <v>0.59585033665146636</v>
      </c>
      <c r="AB39" s="42">
        <v>1.1601826398256159</v>
      </c>
      <c r="AC39" s="42">
        <v>0.47584532814270086</v>
      </c>
      <c r="AD39" s="42">
        <v>0.10328768760563305</v>
      </c>
      <c r="AE39" s="42">
        <v>0.16813507037524134</v>
      </c>
      <c r="AF39" s="42">
        <v>0.3124142719734172</v>
      </c>
      <c r="AG39" s="42">
        <v>0.17290169094087263</v>
      </c>
      <c r="AH39" s="42">
        <v>0.11901184398494935</v>
      </c>
      <c r="AI39" s="42">
        <v>0.12504197471841069</v>
      </c>
      <c r="AJ39" s="42"/>
      <c r="AK39" s="42"/>
      <c r="AL39" s="42"/>
      <c r="AM39" s="42">
        <v>4.0188615887217534</v>
      </c>
      <c r="AN39" s="42">
        <v>4.9164489672796324E-2</v>
      </c>
      <c r="AO39" s="42">
        <v>7.507356247260813E-2</v>
      </c>
      <c r="AP39" s="42">
        <v>0.19098781452581209</v>
      </c>
      <c r="AQ39" s="42">
        <v>4.316139350373966E-2</v>
      </c>
      <c r="AR39" s="42">
        <v>1.9981388836721063E-2</v>
      </c>
      <c r="AS39" s="42">
        <v>0.36630696467293988</v>
      </c>
      <c r="AT39" s="42">
        <v>6.339178490730836E-2</v>
      </c>
      <c r="AU39" s="42">
        <v>3.4110505916306252E-2</v>
      </c>
      <c r="AV39" s="42">
        <v>1.6933597418337682E-2</v>
      </c>
      <c r="AW39" s="42">
        <v>0.10246669057090622</v>
      </c>
      <c r="AX39" s="42">
        <v>2.4018076163487619E-2</v>
      </c>
      <c r="AY39" s="42">
        <v>3.3646649706027931E-2</v>
      </c>
      <c r="AZ39" s="44"/>
      <c r="BA39" s="44"/>
      <c r="BB39" s="42"/>
      <c r="BC39" s="42">
        <v>1.0015779648379919</v>
      </c>
      <c r="BD39" s="49" t="s">
        <v>46</v>
      </c>
      <c r="BE39" s="49" t="s">
        <v>46</v>
      </c>
      <c r="BF39" s="49">
        <v>0.23832600000000001</v>
      </c>
      <c r="BG39" s="49" t="s">
        <v>46</v>
      </c>
      <c r="BH39" s="49" t="s">
        <v>46</v>
      </c>
      <c r="BI39" s="44">
        <v>4.3747000000000001E-2</v>
      </c>
      <c r="BJ39" s="49" t="s">
        <v>46</v>
      </c>
      <c r="BK39" s="49" t="s">
        <v>46</v>
      </c>
      <c r="BL39" s="44">
        <v>5.1908000000000065E-2</v>
      </c>
      <c r="BM39" s="49" t="s">
        <v>46</v>
      </c>
      <c r="BN39" s="49" t="s">
        <v>46</v>
      </c>
      <c r="BO39" s="44">
        <v>0.21373900000000035</v>
      </c>
      <c r="BP39" s="49" t="s">
        <v>46</v>
      </c>
      <c r="BQ39" s="49" t="s">
        <v>46</v>
      </c>
      <c r="BR39" s="44">
        <v>7.6967999999999995E-2</v>
      </c>
      <c r="BS39" s="49" t="s">
        <v>46</v>
      </c>
      <c r="BT39" s="49" t="s">
        <v>46</v>
      </c>
      <c r="BU39" s="44">
        <v>-0.14682700000000001</v>
      </c>
      <c r="BV39" s="49" t="s">
        <v>46</v>
      </c>
      <c r="BW39" s="49" t="s">
        <v>46</v>
      </c>
      <c r="BX39" s="44">
        <v>0.22933600000000001</v>
      </c>
      <c r="BY39" s="49" t="s">
        <v>46</v>
      </c>
      <c r="BZ39" s="49" t="s">
        <v>46</v>
      </c>
      <c r="CA39" s="44">
        <v>0.183564</v>
      </c>
      <c r="CB39" s="49" t="s">
        <v>46</v>
      </c>
      <c r="CC39" s="49" t="s">
        <v>46</v>
      </c>
      <c r="CD39" s="44">
        <v>6.9490999999999997E-2</v>
      </c>
      <c r="CE39" s="49" t="s">
        <v>46</v>
      </c>
      <c r="CF39" s="49" t="s">
        <v>46</v>
      </c>
      <c r="CG39" s="44">
        <v>4.4809999999999997E-3</v>
      </c>
      <c r="CH39" s="44"/>
      <c r="CI39" s="44"/>
      <c r="CJ39" s="44">
        <v>1.9616999999999999E-2</v>
      </c>
      <c r="CK39" s="44"/>
      <c r="CL39" s="44"/>
      <c r="CM39" s="44">
        <v>9.1214000000000003E-2</v>
      </c>
      <c r="CN39" s="50"/>
      <c r="CO39" s="50"/>
      <c r="CP39" s="113">
        <f t="shared" si="21"/>
        <v>1.0755640000000002</v>
      </c>
      <c r="CQ39" s="50">
        <f>1.06534+0.0145</f>
        <v>1.0798399999999999</v>
      </c>
      <c r="CR39" s="44"/>
      <c r="CS39" s="44"/>
      <c r="CT39" s="44">
        <v>6.7600999999999994E-2</v>
      </c>
      <c r="CU39" s="44"/>
      <c r="CV39" s="44"/>
      <c r="CW39" s="49">
        <v>8.0832000000000001E-2</v>
      </c>
      <c r="CX39" s="44"/>
      <c r="CY39" s="44"/>
      <c r="CZ39" s="49">
        <v>3.0136E-2</v>
      </c>
      <c r="DA39" s="44"/>
      <c r="DB39" s="44"/>
      <c r="DC39" s="49">
        <v>1.8786000000000001E-2</v>
      </c>
      <c r="DD39" s="44"/>
      <c r="DE39" s="44"/>
      <c r="DF39" s="49">
        <v>3.1805E-2</v>
      </c>
      <c r="DG39" s="44"/>
      <c r="DH39" s="44"/>
      <c r="DI39" s="49">
        <v>0.119508</v>
      </c>
      <c r="DJ39" s="44"/>
      <c r="DK39" s="44"/>
      <c r="DL39" s="49">
        <v>0.15487600000000001</v>
      </c>
      <c r="DM39" s="44"/>
      <c r="DN39" s="44"/>
      <c r="DO39" s="49">
        <v>1.4618000000000001E-2</v>
      </c>
      <c r="DP39" s="44"/>
      <c r="DQ39" s="44"/>
      <c r="DR39" s="49">
        <v>4.2715999999999997E-2</v>
      </c>
      <c r="DS39" s="44"/>
      <c r="DT39" s="44"/>
      <c r="DU39" s="49">
        <v>5.5913999999999998E-2</v>
      </c>
      <c r="DV39" s="44"/>
      <c r="DW39" s="44"/>
      <c r="DX39" s="49">
        <v>2.3144000000000001E-2</v>
      </c>
      <c r="DY39" s="44"/>
      <c r="DZ39" s="44"/>
      <c r="EA39" s="44">
        <v>4.2034000000000002E-2</v>
      </c>
      <c r="EB39" s="44"/>
      <c r="EC39" s="44"/>
      <c r="ED39" s="44">
        <f t="shared" si="24"/>
        <v>0.68197000000000008</v>
      </c>
      <c r="EE39" s="44">
        <v>0.68775900000000001</v>
      </c>
      <c r="EF39" s="44"/>
      <c r="EG39" s="44"/>
      <c r="EH39" s="44">
        <v>6.7666000000000004E-2</v>
      </c>
      <c r="EI39" s="44"/>
      <c r="EJ39" s="44"/>
      <c r="EK39" s="44">
        <v>5.978E-2</v>
      </c>
      <c r="EL39" s="44"/>
      <c r="EM39" s="44"/>
      <c r="EN39" s="44">
        <v>5.5003000000000003E-2</v>
      </c>
      <c r="EO39" s="44"/>
      <c r="EP39" s="44"/>
      <c r="EQ39" s="44">
        <v>4.6241999999999998E-2</v>
      </c>
      <c r="ER39" s="44"/>
      <c r="ES39" s="44"/>
      <c r="ET39" s="44">
        <v>4.8268999999999999E-2</v>
      </c>
      <c r="EU39" s="44"/>
      <c r="EV39" s="44"/>
      <c r="EW39" s="44">
        <v>2.6408000000000001E-2</v>
      </c>
      <c r="EX39" s="44"/>
      <c r="EY39" s="44"/>
      <c r="EZ39" s="44">
        <v>0.24940300000000001</v>
      </c>
      <c r="FA39" s="44"/>
      <c r="FB39" s="44"/>
      <c r="FC39" s="44">
        <v>1.9689999999999999E-2</v>
      </c>
      <c r="FD39" s="44"/>
      <c r="FE39" s="44"/>
      <c r="FF39" s="44">
        <v>1.7441999999999999E-2</v>
      </c>
      <c r="FG39" s="44"/>
      <c r="FH39" s="44"/>
      <c r="FI39" s="44">
        <v>2.7474999999999999E-2</v>
      </c>
      <c r="FJ39" s="44"/>
      <c r="FK39" s="44"/>
      <c r="FL39" s="44">
        <v>3.4254E-2</v>
      </c>
      <c r="FM39" s="44"/>
      <c r="FN39" s="44"/>
      <c r="FO39" s="44">
        <v>7.3037000000000005E-2</v>
      </c>
      <c r="FP39" s="44"/>
      <c r="FQ39" s="44"/>
      <c r="FR39" s="44">
        <f t="shared" si="27"/>
        <v>0.72466900000000001</v>
      </c>
      <c r="FS39" s="95">
        <v>0.75272499999999998</v>
      </c>
      <c r="FT39" s="44"/>
      <c r="FU39" s="44"/>
      <c r="FV39" s="44">
        <v>0.14280999999999999</v>
      </c>
      <c r="FW39" s="44"/>
      <c r="FX39" s="44"/>
      <c r="FY39" s="44">
        <v>4.8656999999999999E-2</v>
      </c>
      <c r="FZ39" s="44"/>
      <c r="GA39" s="44"/>
      <c r="GB39" s="44">
        <v>6.5015000000000003E-2</v>
      </c>
      <c r="GC39" s="44"/>
      <c r="GD39" s="44"/>
      <c r="GE39" s="44">
        <v>4.6339999999999999E-2</v>
      </c>
      <c r="GF39" s="44"/>
      <c r="GG39" s="44"/>
      <c r="GH39" s="44">
        <v>5.3187999999999999E-2</v>
      </c>
      <c r="GI39" s="44"/>
      <c r="GJ39" s="44"/>
      <c r="GK39" s="44">
        <v>0.17494000000000001</v>
      </c>
      <c r="GL39" s="44"/>
      <c r="GM39" s="44"/>
      <c r="GN39" s="44">
        <v>0.134631</v>
      </c>
      <c r="GO39" s="44"/>
      <c r="GP39" s="44"/>
      <c r="GQ39" s="44">
        <v>6.5275E-2</v>
      </c>
      <c r="GR39" s="44">
        <v>3.7249999999999998E-2</v>
      </c>
      <c r="GS39" s="44"/>
      <c r="GT39" s="44">
        <v>3.7249999999999998E-2</v>
      </c>
      <c r="GU39" s="44">
        <v>0.11536299999999999</v>
      </c>
      <c r="GV39" s="44"/>
      <c r="GW39" s="44">
        <v>0.11536299999999999</v>
      </c>
      <c r="GX39" s="44">
        <v>4.2582000000000002E-2</v>
      </c>
      <c r="GY39" s="44"/>
      <c r="GZ39" s="44">
        <v>4.2582000000000002E-2</v>
      </c>
      <c r="HA39" s="44">
        <v>-1.9899E-2</v>
      </c>
      <c r="HB39" s="44"/>
      <c r="HC39" s="44">
        <v>-1.9899E-2</v>
      </c>
      <c r="HD39" s="44">
        <f t="shared" si="28"/>
        <v>0.17529600000000001</v>
      </c>
      <c r="HE39" s="44">
        <f t="shared" si="29"/>
        <v>0</v>
      </c>
      <c r="HF39" s="44">
        <f t="shared" si="30"/>
        <v>0.90615199999999996</v>
      </c>
      <c r="HG39" s="44">
        <v>2.0345240000000002</v>
      </c>
      <c r="HH39" s="44">
        <v>7.1415999999999993E-2</v>
      </c>
      <c r="HI39" s="44"/>
      <c r="HJ39" s="44">
        <v>7.1415999999999993E-2</v>
      </c>
      <c r="HK39" s="44">
        <v>5.1069999999999997E-2</v>
      </c>
      <c r="HL39" s="44">
        <v>0</v>
      </c>
      <c r="HM39" s="44">
        <v>5.1069999999999997E-2</v>
      </c>
      <c r="HN39" s="44">
        <v>0.12092</v>
      </c>
      <c r="HO39" s="44">
        <v>0</v>
      </c>
      <c r="HP39" s="44">
        <v>0.12092</v>
      </c>
      <c r="HQ39" s="44">
        <v>4.3506000000000003E-2</v>
      </c>
      <c r="HR39" s="44">
        <v>0</v>
      </c>
      <c r="HS39" s="44">
        <v>4.3506000000000003E-2</v>
      </c>
      <c r="HT39" s="44">
        <v>5.0590000000000003E-2</v>
      </c>
      <c r="HU39" s="44">
        <v>0</v>
      </c>
      <c r="HV39" s="44">
        <v>5.0590000000000003E-2</v>
      </c>
      <c r="HW39" s="44">
        <v>0.128525</v>
      </c>
      <c r="HX39" s="44">
        <v>0</v>
      </c>
      <c r="HY39" s="44">
        <v>0.128525</v>
      </c>
      <c r="HZ39" s="44">
        <v>8.8555999999999996E-2</v>
      </c>
      <c r="IA39" s="44">
        <v>0</v>
      </c>
      <c r="IB39" s="44">
        <v>8.8555999999999996E-2</v>
      </c>
      <c r="IC39" s="44">
        <v>0.101448</v>
      </c>
      <c r="ID39" s="44">
        <v>0</v>
      </c>
      <c r="IE39" s="44">
        <v>0.101448</v>
      </c>
      <c r="IF39" s="44">
        <v>4.1510999999999999E-2</v>
      </c>
      <c r="IG39" s="44">
        <v>0</v>
      </c>
      <c r="IH39" s="44">
        <v>4.1510999999999999E-2</v>
      </c>
      <c r="II39" s="44">
        <v>3.6502E-2</v>
      </c>
      <c r="IJ39" s="44">
        <v>0</v>
      </c>
      <c r="IK39" s="44">
        <v>3.6502E-2</v>
      </c>
      <c r="IL39" s="44">
        <v>8.6620000000000003E-2</v>
      </c>
      <c r="IM39" s="44">
        <v>0</v>
      </c>
      <c r="IN39" s="44">
        <v>8.6620000000000003E-2</v>
      </c>
      <c r="IO39" s="44">
        <v>0.14090800000000001</v>
      </c>
      <c r="IP39" s="44">
        <v>0</v>
      </c>
      <c r="IQ39" s="44">
        <v>0.14090800000000001</v>
      </c>
      <c r="IR39" s="44">
        <f t="shared" ref="IR39:IR57" si="71">HH39+HK39+HN39+HQ39+HT39+HW39+HZ39+IC39+IF39+II39+IL39+IO39</f>
        <v>0.96157200000000009</v>
      </c>
      <c r="IS39" s="50">
        <f t="shared" ref="IS39:IS57" si="72">HI39+HL39+HO39+HR39+HU39+HX39+IA39+ID39+IG39+IJ39+IM39+IP39</f>
        <v>0</v>
      </c>
      <c r="IT39" s="50">
        <f t="shared" si="70"/>
        <v>0.96157200000000009</v>
      </c>
      <c r="IU39" s="44">
        <v>1.009314</v>
      </c>
      <c r="IV39" s="44">
        <v>0.18682399999999999</v>
      </c>
      <c r="IW39" s="50">
        <v>0</v>
      </c>
      <c r="IX39" s="50">
        <v>0.18682399999999999</v>
      </c>
      <c r="IY39" s="44">
        <v>9.6914E-2</v>
      </c>
      <c r="IZ39" s="50">
        <v>0</v>
      </c>
      <c r="JA39" s="50">
        <v>9.6914E-2</v>
      </c>
      <c r="JB39" s="44">
        <v>0.14149300000000001</v>
      </c>
      <c r="JC39" s="50">
        <v>0</v>
      </c>
      <c r="JD39" s="50">
        <v>0.14149300000000001</v>
      </c>
      <c r="JE39" s="44">
        <v>4.0710999999999997E-2</v>
      </c>
      <c r="JF39" s="50">
        <v>0</v>
      </c>
      <c r="JG39" s="50">
        <v>4.0710999999999997E-2</v>
      </c>
      <c r="JH39" s="44">
        <v>6.0992999999999999E-2</v>
      </c>
      <c r="JI39" s="50">
        <v>0</v>
      </c>
      <c r="JJ39" s="50">
        <v>6.0992999999999999E-2</v>
      </c>
      <c r="JK39" s="44">
        <v>0.105016</v>
      </c>
      <c r="JL39" s="50">
        <v>0</v>
      </c>
      <c r="JM39" s="50">
        <v>0.105016</v>
      </c>
      <c r="JN39" s="44">
        <v>0.49513600000000002</v>
      </c>
      <c r="JO39" s="50">
        <v>0</v>
      </c>
      <c r="JP39" s="50">
        <v>0.49513600000000002</v>
      </c>
      <c r="JQ39" s="44">
        <v>0.14543900000000001</v>
      </c>
      <c r="JR39" s="50">
        <v>0</v>
      </c>
      <c r="JS39" s="50">
        <v>0.14543900000000001</v>
      </c>
      <c r="JT39" s="44">
        <v>7.8286999999999995E-2</v>
      </c>
      <c r="JU39" s="50">
        <v>0</v>
      </c>
      <c r="JV39" s="50">
        <v>7.8286999999999995E-2</v>
      </c>
      <c r="JW39" s="44">
        <v>5.2505000000000003E-2</v>
      </c>
      <c r="JX39" s="50">
        <v>0</v>
      </c>
      <c r="JY39" s="50">
        <v>5.2505000000000003E-2</v>
      </c>
      <c r="JZ39" s="44">
        <v>6.8057000000000006E-2</v>
      </c>
      <c r="KA39" s="50">
        <v>0</v>
      </c>
      <c r="KB39" s="50">
        <v>6.8057000000000006E-2</v>
      </c>
      <c r="KC39" s="44">
        <v>0.13811599999999999</v>
      </c>
      <c r="KD39" s="50">
        <v>0</v>
      </c>
      <c r="KE39" s="50">
        <v>0.13811599999999999</v>
      </c>
      <c r="KF39" s="44">
        <f t="shared" ref="KF39:KG41" si="73">IV39+IY39+JB39+JE39+JH39+JK39+JN39+JQ39+JT39+JW39+JZ39+KC39</f>
        <v>1.609491</v>
      </c>
      <c r="KG39" s="50">
        <f t="shared" si="73"/>
        <v>0</v>
      </c>
      <c r="KH39" s="50">
        <f t="shared" si="4"/>
        <v>1.609491</v>
      </c>
      <c r="KI39" s="44">
        <v>3.520343</v>
      </c>
      <c r="KJ39" s="44">
        <v>3.2180219999999999</v>
      </c>
      <c r="KK39" s="50">
        <v>0</v>
      </c>
      <c r="KL39" s="50">
        <v>3.2180219999999999</v>
      </c>
      <c r="KM39" s="44">
        <v>3.2967659999999999</v>
      </c>
      <c r="KN39" s="50">
        <v>0</v>
      </c>
      <c r="KO39" s="50">
        <v>3.2967659999999999</v>
      </c>
      <c r="KP39" s="44">
        <v>3.2349990000000002</v>
      </c>
      <c r="KQ39" s="50">
        <v>0</v>
      </c>
      <c r="KR39" s="50">
        <v>3.2349990000000002</v>
      </c>
      <c r="KS39" s="50">
        <v>3.6497809999999999</v>
      </c>
      <c r="KT39" s="50">
        <v>0</v>
      </c>
      <c r="KU39" s="50">
        <v>3.6497809999999999</v>
      </c>
      <c r="KV39" s="44">
        <v>9.972E-3</v>
      </c>
      <c r="KW39" s="50">
        <v>0</v>
      </c>
      <c r="KX39" s="50">
        <v>9.972E-3</v>
      </c>
      <c r="KY39" s="44">
        <v>7.2126999999999997E-2</v>
      </c>
      <c r="KZ39" s="50">
        <v>0</v>
      </c>
      <c r="LA39" s="50">
        <v>7.2126999999999997E-2</v>
      </c>
      <c r="LB39" s="44">
        <v>-9.5560000000000003E-3</v>
      </c>
      <c r="LC39" s="50"/>
      <c r="LD39" s="50">
        <v>-9.5560000000000003E-3</v>
      </c>
      <c r="LE39" s="44">
        <v>8.1406999999999993E-2</v>
      </c>
      <c r="LF39" s="44">
        <v>0</v>
      </c>
      <c r="LG39" s="44">
        <v>8.1406999999999993E-2</v>
      </c>
      <c r="LH39" s="44">
        <v>6.7960999999999994E-2</v>
      </c>
      <c r="LI39" s="50">
        <v>0</v>
      </c>
      <c r="LJ39" s="50">
        <v>6.7960999999999994E-2</v>
      </c>
      <c r="LK39" s="44">
        <v>0.20225000000000001</v>
      </c>
      <c r="LL39" s="50">
        <v>0</v>
      </c>
      <c r="LM39" s="50">
        <v>0.20225000000000001</v>
      </c>
      <c r="LN39" s="44">
        <v>0.10957699999999999</v>
      </c>
      <c r="LO39" s="50">
        <v>0</v>
      </c>
      <c r="LP39" s="50">
        <v>0.10957699999999999</v>
      </c>
      <c r="LQ39" s="44">
        <v>0.38719599999999998</v>
      </c>
      <c r="LR39" s="50">
        <v>0</v>
      </c>
      <c r="LS39" s="50">
        <v>0.38719599999999998</v>
      </c>
      <c r="LT39" s="44">
        <f t="shared" si="58"/>
        <v>14.320501999999998</v>
      </c>
      <c r="LU39" s="50">
        <f t="shared" si="58"/>
        <v>0</v>
      </c>
      <c r="LV39" s="50">
        <f t="shared" si="58"/>
        <v>14.320501999999998</v>
      </c>
      <c r="LW39" s="50">
        <v>15.761739</v>
      </c>
      <c r="LX39" s="44">
        <v>7.3900999999999994E-2</v>
      </c>
      <c r="LY39" s="50">
        <v>0</v>
      </c>
      <c r="LZ39" s="50">
        <v>7.3900999999999994E-2</v>
      </c>
      <c r="MA39" s="44">
        <v>0.22495100000000001</v>
      </c>
      <c r="MB39" s="50">
        <v>0</v>
      </c>
      <c r="MC39" s="50">
        <v>0.22495100000000001</v>
      </c>
      <c r="MD39" s="44">
        <v>0.31362299999999999</v>
      </c>
      <c r="ME39" s="50">
        <v>0</v>
      </c>
      <c r="MF39" s="50">
        <v>0.31362299999999999</v>
      </c>
      <c r="MG39" s="44">
        <v>4.9834999999999997E-2</v>
      </c>
      <c r="MH39" s="50">
        <v>0</v>
      </c>
      <c r="MI39" s="50">
        <v>4.9834999999999997E-2</v>
      </c>
      <c r="MJ39" s="44">
        <v>0.144432</v>
      </c>
      <c r="MK39" s="50">
        <v>0</v>
      </c>
      <c r="ML39" s="50">
        <v>0.144432</v>
      </c>
      <c r="MM39" s="44">
        <v>0.12330000000000001</v>
      </c>
      <c r="MN39" s="50">
        <v>0</v>
      </c>
      <c r="MO39" s="50">
        <v>0.12330000000000001</v>
      </c>
      <c r="MP39" s="44"/>
      <c r="MQ39" s="50"/>
      <c r="MR39" s="50"/>
      <c r="MS39" s="44">
        <v>0.120127</v>
      </c>
      <c r="MT39" s="50">
        <v>0</v>
      </c>
      <c r="MU39" s="50">
        <v>0.120127</v>
      </c>
      <c r="MV39" s="44">
        <v>3.1517999999999997E-2</v>
      </c>
      <c r="MW39" s="50">
        <v>0</v>
      </c>
      <c r="MX39" s="50">
        <v>3.1517999999999997E-2</v>
      </c>
      <c r="MY39" s="44">
        <v>5.9775000000000002E-2</v>
      </c>
      <c r="MZ39" s="50">
        <v>0</v>
      </c>
      <c r="NA39" s="50">
        <v>5.9775000000000002E-2</v>
      </c>
      <c r="NB39" s="44">
        <v>8.6567000000000005E-2</v>
      </c>
      <c r="NC39" s="50">
        <v>0</v>
      </c>
      <c r="ND39" s="50">
        <v>8.6567000000000005E-2</v>
      </c>
      <c r="NE39" s="44">
        <v>0.35407100000000002</v>
      </c>
      <c r="NF39" s="50">
        <v>0</v>
      </c>
      <c r="NG39" s="50">
        <v>0.35407100000000002</v>
      </c>
      <c r="NH39" s="44">
        <f t="shared" ref="NH39:NI41" si="74">LX39+MA39+MD39+MG39+MJ39+MM39+MP39+MS39+MV39+MY39+NB39+NE39</f>
        <v>1.5820999999999998</v>
      </c>
      <c r="NI39" s="50">
        <f t="shared" si="74"/>
        <v>0</v>
      </c>
      <c r="NJ39" s="50">
        <f t="shared" si="7"/>
        <v>1.5820999999999998</v>
      </c>
      <c r="NK39" s="50">
        <v>2.9983040000000001</v>
      </c>
      <c r="NL39" s="50">
        <v>0.225906</v>
      </c>
      <c r="NM39" s="50">
        <v>0</v>
      </c>
      <c r="NN39" s="50">
        <v>0.225906</v>
      </c>
      <c r="NO39" s="50">
        <v>0.132101</v>
      </c>
      <c r="NP39" s="50"/>
      <c r="NQ39" s="50">
        <v>0.132101</v>
      </c>
      <c r="NR39" s="50">
        <v>0.410383</v>
      </c>
      <c r="NS39" s="50"/>
      <c r="NT39" s="50">
        <v>0.410383</v>
      </c>
      <c r="NU39" s="50">
        <v>0.40900300000000001</v>
      </c>
      <c r="NV39" s="50"/>
      <c r="NW39" s="50">
        <v>0.40900300000000001</v>
      </c>
      <c r="NX39" s="50">
        <v>0.33175399999999999</v>
      </c>
      <c r="NY39" s="50"/>
      <c r="NZ39" s="50">
        <v>0.33175399999999999</v>
      </c>
      <c r="OA39" s="50">
        <v>0.15382799999999999</v>
      </c>
      <c r="OB39" s="50"/>
      <c r="OC39" s="50">
        <v>0.15382799999999999</v>
      </c>
      <c r="OD39" s="50">
        <v>0.357568</v>
      </c>
      <c r="OE39" s="50"/>
      <c r="OF39" s="50">
        <v>0.357568</v>
      </c>
      <c r="OG39" s="94">
        <v>6.1775999999999998E-2</v>
      </c>
      <c r="OH39" s="50"/>
      <c r="OI39" s="94">
        <v>6.1775999999999998E-2</v>
      </c>
      <c r="OJ39" s="50">
        <v>-0.12357</v>
      </c>
      <c r="OK39" s="50"/>
      <c r="OL39" s="50">
        <v>-0.12357</v>
      </c>
      <c r="OM39" s="50">
        <v>0.13464899999999999</v>
      </c>
      <c r="ON39" s="50"/>
      <c r="OO39" s="50">
        <v>0.13464899999999999</v>
      </c>
      <c r="OP39" s="50">
        <v>0.10190100000000001</v>
      </c>
      <c r="OQ39" s="50"/>
      <c r="OR39" s="50">
        <v>0.10190100000000001</v>
      </c>
      <c r="OS39" s="50">
        <v>0.25407600000000002</v>
      </c>
      <c r="OT39" s="50"/>
      <c r="OU39" s="50">
        <v>0.25407600000000002</v>
      </c>
      <c r="OV39" s="44">
        <f t="shared" ref="OV39:OW41" si="75">NL39+NO39+NR39+NU39+NX39+OA39+OD39+OG39+OJ39+OM39+OP39+OS39</f>
        <v>2.4493749999999999</v>
      </c>
      <c r="OW39" s="50">
        <f t="shared" si="75"/>
        <v>0</v>
      </c>
      <c r="OX39" s="50">
        <f t="shared" si="9"/>
        <v>2.4493749999999999</v>
      </c>
      <c r="OY39" s="50">
        <v>4.0632619999999999</v>
      </c>
      <c r="OZ39" s="50">
        <v>2.7423579999999999</v>
      </c>
      <c r="PA39" s="50"/>
      <c r="PB39" s="50">
        <v>2.7423579999999999</v>
      </c>
      <c r="PC39" s="50">
        <v>0.11632199999999999</v>
      </c>
      <c r="PD39" s="50"/>
      <c r="PE39" s="50">
        <v>0.11632199999999999</v>
      </c>
      <c r="PF39" s="85">
        <v>0.59985999999999995</v>
      </c>
      <c r="PG39" s="50"/>
      <c r="PH39" s="50">
        <v>0.59985999999999995</v>
      </c>
      <c r="PI39" s="85">
        <v>0.29802499999999998</v>
      </c>
      <c r="PJ39" s="50"/>
      <c r="PK39" s="50">
        <v>0.29802499999999998</v>
      </c>
      <c r="PL39" s="50">
        <v>3.0956999999999998E-2</v>
      </c>
      <c r="PM39" s="50"/>
      <c r="PN39" s="50">
        <v>3.0956999999999998E-2</v>
      </c>
      <c r="PO39" s="50">
        <v>0.128861</v>
      </c>
      <c r="PP39" s="50"/>
      <c r="PQ39" s="50">
        <v>0.128861</v>
      </c>
      <c r="PR39" s="50">
        <v>7.9237000000000002E-2</v>
      </c>
      <c r="PS39" s="50"/>
      <c r="PT39" s="50">
        <v>7.9237000000000002E-2</v>
      </c>
      <c r="PU39" s="50">
        <v>3.0141000000000001E-2</v>
      </c>
      <c r="PV39" s="50"/>
      <c r="PW39" s="50">
        <v>3.0141000000000001E-2</v>
      </c>
      <c r="PX39" s="50">
        <v>3.1925000000000002E-2</v>
      </c>
      <c r="PY39" s="50"/>
      <c r="PZ39" s="50">
        <v>3.1925000000000002E-2</v>
      </c>
      <c r="QA39" s="50">
        <v>8.838E-2</v>
      </c>
      <c r="QB39" s="50"/>
      <c r="QC39" s="50">
        <v>8.838E-2</v>
      </c>
      <c r="QD39" s="50">
        <v>4.8987999999999997E-2</v>
      </c>
      <c r="QE39" s="50"/>
      <c r="QF39" s="50">
        <v>4.8987999999999997E-2</v>
      </c>
      <c r="QG39" s="50">
        <v>9.9454000000000001E-2</v>
      </c>
      <c r="QH39" s="50"/>
      <c r="QI39" s="50">
        <v>9.9454000000000001E-2</v>
      </c>
      <c r="QJ39" s="44">
        <f t="shared" si="38"/>
        <v>4.2945079999999995</v>
      </c>
      <c r="QK39" s="50">
        <f t="shared" si="39"/>
        <v>0</v>
      </c>
      <c r="QL39" s="50">
        <f t="shared" si="40"/>
        <v>4.2945079999999995</v>
      </c>
      <c r="QM39" s="50">
        <v>5.6298279999999998</v>
      </c>
      <c r="QN39" s="50">
        <v>0.29343599999999997</v>
      </c>
      <c r="QO39" s="50"/>
      <c r="QP39" s="50">
        <v>0.29343599999999997</v>
      </c>
      <c r="QQ39" s="50">
        <v>0.20692099999999999</v>
      </c>
      <c r="QR39" s="50"/>
      <c r="QS39" s="50">
        <v>0.20692099999999999</v>
      </c>
      <c r="QT39" s="50">
        <v>0.84519100000000003</v>
      </c>
      <c r="QU39" s="50"/>
      <c r="QV39" s="50">
        <v>0.84519100000000003</v>
      </c>
      <c r="QW39" s="50">
        <v>0.189806</v>
      </c>
      <c r="QX39" s="50"/>
      <c r="QY39" s="50">
        <v>0.189806</v>
      </c>
      <c r="QZ39" s="50">
        <v>0.23916100000000001</v>
      </c>
      <c r="RA39" s="50"/>
      <c r="RB39" s="50">
        <v>0.23916100000000001</v>
      </c>
      <c r="RC39" s="50">
        <v>0.29580400000000001</v>
      </c>
      <c r="RD39" s="50"/>
      <c r="RE39" s="50">
        <v>0.29580400000000001</v>
      </c>
      <c r="RF39" s="50">
        <v>1.9734000000000002E-2</v>
      </c>
      <c r="RG39" s="50"/>
      <c r="RH39" s="50">
        <v>1.9734000000000002E-2</v>
      </c>
      <c r="RI39" s="50">
        <v>1.25183</v>
      </c>
      <c r="RJ39" s="50"/>
      <c r="RK39" s="50">
        <v>1.25183</v>
      </c>
      <c r="RL39" s="50">
        <v>1.4710000000000001E-2</v>
      </c>
      <c r="RM39" s="50"/>
      <c r="RN39" s="50">
        <v>1.4710000000000001E-2</v>
      </c>
      <c r="RO39" s="50">
        <v>6.5034999999999996E-2</v>
      </c>
      <c r="RP39" s="50"/>
      <c r="RQ39" s="50">
        <v>6.5034999999999996E-2</v>
      </c>
      <c r="RR39" s="50">
        <v>0.114116</v>
      </c>
      <c r="RS39" s="50"/>
      <c r="RT39" s="50">
        <v>0.114116</v>
      </c>
      <c r="RU39" s="50">
        <v>-0.111458</v>
      </c>
      <c r="RV39" s="50"/>
      <c r="RW39" s="50">
        <v>-0.111458</v>
      </c>
      <c r="RX39" s="44">
        <f t="shared" si="41"/>
        <v>3.4242860000000004</v>
      </c>
      <c r="RY39" s="50">
        <f t="shared" si="42"/>
        <v>0</v>
      </c>
      <c r="RZ39" s="50">
        <f t="shared" si="43"/>
        <v>3.4242860000000004</v>
      </c>
      <c r="SA39" s="50">
        <v>4.6560059999999996</v>
      </c>
      <c r="SB39" s="50">
        <v>0.23641300000000001</v>
      </c>
      <c r="SC39" s="50"/>
      <c r="SD39" s="50">
        <v>0.23641300000000001</v>
      </c>
      <c r="SE39" s="50">
        <v>5.9878000000000001E-2</v>
      </c>
      <c r="SF39" s="50"/>
      <c r="SG39" s="50">
        <v>5.9878000000000001E-2</v>
      </c>
      <c r="SH39" s="50">
        <v>0.43476700000000001</v>
      </c>
      <c r="SI39" s="50"/>
      <c r="SJ39" s="50">
        <v>0.43476700000000001</v>
      </c>
      <c r="SK39" s="50">
        <v>0.20333300000000001</v>
      </c>
      <c r="SL39" s="50"/>
      <c r="SM39" s="50">
        <v>0.20333300000000001</v>
      </c>
      <c r="SN39" s="50">
        <v>0.256108</v>
      </c>
      <c r="SO39" s="50"/>
      <c r="SP39" s="50">
        <v>0.256108</v>
      </c>
      <c r="SQ39" s="50">
        <v>3.8137999999999998E-2</v>
      </c>
      <c r="SR39" s="50"/>
      <c r="SS39" s="50">
        <v>3.8137999999999998E-2</v>
      </c>
      <c r="ST39" s="50">
        <v>1.338E-2</v>
      </c>
      <c r="SU39" s="50"/>
      <c r="SV39" s="50">
        <v>1.338E-2</v>
      </c>
      <c r="SW39" s="50">
        <v>7.4935000000000002E-2</v>
      </c>
      <c r="SX39" s="50"/>
      <c r="SY39" s="50">
        <v>7.4935000000000002E-2</v>
      </c>
      <c r="SZ39" s="50">
        <v>0.11280900000000001</v>
      </c>
      <c r="TA39" s="50"/>
      <c r="TB39" s="50">
        <v>0.11280900000000001</v>
      </c>
      <c r="TC39" s="50">
        <v>2.7904999999999999E-2</v>
      </c>
      <c r="TD39" s="50"/>
      <c r="TE39" s="50">
        <v>2.7904999999999999E-2</v>
      </c>
      <c r="TF39" s="50">
        <v>0.145452</v>
      </c>
      <c r="TG39" s="50"/>
      <c r="TH39" s="50">
        <v>0.145452</v>
      </c>
      <c r="TI39" s="50">
        <v>1.6537E-2</v>
      </c>
      <c r="TJ39" s="50"/>
      <c r="TK39" s="50">
        <v>1.6537E-2</v>
      </c>
      <c r="TL39" s="44">
        <f t="shared" si="45"/>
        <v>1.6196549999999998</v>
      </c>
      <c r="TM39" s="50">
        <f t="shared" si="46"/>
        <v>0</v>
      </c>
      <c r="TN39" s="50">
        <f t="shared" si="47"/>
        <v>1.6196549999999998</v>
      </c>
      <c r="TO39" s="50">
        <v>9.4520999999999994E-2</v>
      </c>
      <c r="TP39" s="50"/>
      <c r="TQ39" s="50">
        <v>9.4520999999999994E-2</v>
      </c>
      <c r="TR39" s="50">
        <v>0.174232</v>
      </c>
      <c r="TS39" s="50"/>
      <c r="TT39" s="50">
        <v>0.174232</v>
      </c>
      <c r="TU39" s="50">
        <v>0.11708400000000001</v>
      </c>
      <c r="TV39" s="50"/>
      <c r="TW39" s="50">
        <v>0.11708400000000001</v>
      </c>
      <c r="TX39" s="50">
        <f t="shared" si="49"/>
        <v>0.11272</v>
      </c>
      <c r="TY39" s="50"/>
      <c r="TZ39" s="50">
        <v>0.11272</v>
      </c>
      <c r="UA39" s="50"/>
      <c r="UB39" s="50"/>
      <c r="UC39" s="50"/>
      <c r="UD39" s="50"/>
      <c r="UE39" s="50"/>
      <c r="UF39" s="50"/>
      <c r="UG39" s="50"/>
      <c r="UH39" s="50"/>
      <c r="UI39" s="50"/>
      <c r="UJ39" s="50"/>
      <c r="UK39" s="50"/>
      <c r="UL39" s="50"/>
      <c r="UM39" s="50"/>
      <c r="UN39" s="50"/>
      <c r="UO39" s="50"/>
      <c r="UP39" s="50"/>
      <c r="UQ39" s="50"/>
      <c r="UR39" s="50"/>
      <c r="US39" s="50"/>
      <c r="UT39" s="50"/>
      <c r="UU39" s="50"/>
      <c r="UV39" s="50"/>
      <c r="UW39" s="50"/>
      <c r="UX39" s="50"/>
      <c r="UY39" s="292">
        <f t="shared" si="50"/>
        <v>0.93439099999999997</v>
      </c>
      <c r="UZ39" s="276">
        <f t="shared" si="51"/>
        <v>0</v>
      </c>
      <c r="VA39" s="276">
        <f t="shared" si="52"/>
        <v>0.93439099999999997</v>
      </c>
      <c r="VB39" s="292">
        <f t="shared" si="53"/>
        <v>0.49855699999999997</v>
      </c>
      <c r="VC39" s="276">
        <f t="shared" si="54"/>
        <v>0</v>
      </c>
      <c r="VD39" s="276">
        <f t="shared" si="55"/>
        <v>0.49855699999999997</v>
      </c>
      <c r="VE39" s="277">
        <f t="shared" si="56"/>
        <v>-0.435834</v>
      </c>
      <c r="VF39" s="277">
        <f t="shared" si="57"/>
        <v>-46.643642757689229</v>
      </c>
    </row>
    <row r="40" spans="1:578" s="12" customFormat="1" ht="20.25" customHeight="1">
      <c r="A40" s="47" t="s">
        <v>241</v>
      </c>
      <c r="B40" s="13"/>
      <c r="C40" s="47" t="s">
        <v>212</v>
      </c>
      <c r="D40" s="42"/>
      <c r="E40" s="42"/>
      <c r="F40" s="42"/>
      <c r="G40" s="42"/>
      <c r="H40" s="42">
        <v>6.7986237983848688E-2</v>
      </c>
      <c r="I40" s="42">
        <v>0.10331187642642826</v>
      </c>
      <c r="J40" s="42">
        <v>0.3650889864030365</v>
      </c>
      <c r="K40" s="42">
        <v>0.66384938048161035</v>
      </c>
      <c r="L40" s="42">
        <v>1.3601103579376281</v>
      </c>
      <c r="M40" s="42">
        <v>-2.5768208490556666E-2</v>
      </c>
      <c r="N40" s="42">
        <v>8.3720354465830996E-2</v>
      </c>
      <c r="O40" s="42">
        <v>0.4089362041195056</v>
      </c>
      <c r="P40" s="42">
        <v>0.27497424602023102</v>
      </c>
      <c r="Q40" s="42">
        <v>-1.1659011616325599E-2</v>
      </c>
      <c r="R40" s="42">
        <v>0.21201928275877219</v>
      </c>
      <c r="S40" s="42">
        <v>0.57237579751965018</v>
      </c>
      <c r="T40" s="44"/>
      <c r="U40" s="44"/>
      <c r="V40" s="42"/>
      <c r="W40" s="42">
        <v>3.82463958657037</v>
      </c>
      <c r="X40" s="42">
        <v>0.19175047381631297</v>
      </c>
      <c r="Y40" s="42">
        <v>-3.3024854724788222E-2</v>
      </c>
      <c r="Z40" s="42">
        <v>0.77973232935498382</v>
      </c>
      <c r="AA40" s="42">
        <v>0.35283948298529905</v>
      </c>
      <c r="AB40" s="42">
        <v>-1.3971178308603924E-2</v>
      </c>
      <c r="AC40" s="42">
        <v>0.75459872169196518</v>
      </c>
      <c r="AD40" s="42">
        <v>3.204449604726118E-2</v>
      </c>
      <c r="AE40" s="42">
        <v>-0.22367402575967141</v>
      </c>
      <c r="AF40" s="42">
        <v>0.34598693234529149</v>
      </c>
      <c r="AG40" s="42">
        <v>0.37473605727912801</v>
      </c>
      <c r="AH40" s="42">
        <v>0.43582848134045937</v>
      </c>
      <c r="AI40" s="42">
        <v>2.7644976408786198E-2</v>
      </c>
      <c r="AJ40" s="42"/>
      <c r="AK40" s="42"/>
      <c r="AL40" s="42"/>
      <c r="AM40" s="42">
        <v>2.8663653024174267</v>
      </c>
      <c r="AN40" s="42"/>
      <c r="AO40" s="42"/>
      <c r="AP40" s="42">
        <v>0.28787969334266739</v>
      </c>
      <c r="AQ40" s="42">
        <v>-7.0692540167671791E-2</v>
      </c>
      <c r="AR40" s="42">
        <v>0.62197995458193267</v>
      </c>
      <c r="AS40" s="42">
        <v>0.85138957661026415</v>
      </c>
      <c r="AT40" s="42">
        <v>-0.14774958594430185</v>
      </c>
      <c r="AU40" s="42">
        <v>0.11295325581527783</v>
      </c>
      <c r="AV40" s="42">
        <v>-6.162742386213084E-2</v>
      </c>
      <c r="AW40" s="42">
        <v>-5.2532427248561542E-3</v>
      </c>
      <c r="AX40" s="42">
        <v>0.24236486986414632</v>
      </c>
      <c r="AY40" s="42">
        <v>0.35369320607167976</v>
      </c>
      <c r="AZ40" s="44"/>
      <c r="BA40" s="44"/>
      <c r="BB40" s="42"/>
      <c r="BC40" s="42"/>
      <c r="BD40" s="49" t="s">
        <v>46</v>
      </c>
      <c r="BE40" s="49" t="s">
        <v>46</v>
      </c>
      <c r="BF40" s="49"/>
      <c r="BG40" s="49" t="s">
        <v>46</v>
      </c>
      <c r="BH40" s="49" t="s">
        <v>46</v>
      </c>
      <c r="BI40" s="44">
        <f>7.94125-7.914045</f>
        <v>2.7205000000000368E-2</v>
      </c>
      <c r="BJ40" s="49" t="s">
        <v>46</v>
      </c>
      <c r="BK40" s="49" t="s">
        <v>46</v>
      </c>
      <c r="BL40" s="44">
        <v>3.989999999999938E-2</v>
      </c>
      <c r="BM40" s="49" t="s">
        <v>46</v>
      </c>
      <c r="BN40" s="49" t="s">
        <v>46</v>
      </c>
      <c r="BO40" s="44">
        <v>-6.7104999999999748E-2</v>
      </c>
      <c r="BP40" s="49" t="s">
        <v>46</v>
      </c>
      <c r="BQ40" s="49" t="s">
        <v>46</v>
      </c>
      <c r="BR40" s="44"/>
      <c r="BS40" s="49" t="s">
        <v>46</v>
      </c>
      <c r="BT40" s="49" t="s">
        <v>46</v>
      </c>
      <c r="BU40" s="44"/>
      <c r="BV40" s="49" t="s">
        <v>46</v>
      </c>
      <c r="BW40" s="49" t="s">
        <v>46</v>
      </c>
      <c r="BX40" s="44"/>
      <c r="BY40" s="49" t="s">
        <v>46</v>
      </c>
      <c r="BZ40" s="49" t="s">
        <v>46</v>
      </c>
      <c r="CA40" s="44"/>
      <c r="CB40" s="49" t="s">
        <v>46</v>
      </c>
      <c r="CC40" s="49" t="s">
        <v>46</v>
      </c>
      <c r="CD40" s="44">
        <v>1.83E-2</v>
      </c>
      <c r="CE40" s="49" t="s">
        <v>46</v>
      </c>
      <c r="CF40" s="49" t="s">
        <v>46</v>
      </c>
      <c r="CG40" s="44">
        <v>-1.83E-2</v>
      </c>
      <c r="CH40" s="44"/>
      <c r="CI40" s="44"/>
      <c r="CJ40" s="44"/>
      <c r="CK40" s="44"/>
      <c r="CL40" s="44"/>
      <c r="CM40" s="44"/>
      <c r="CN40" s="50"/>
      <c r="CO40" s="50"/>
      <c r="CP40" s="50">
        <f t="shared" si="21"/>
        <v>0</v>
      </c>
      <c r="CQ40" s="50"/>
      <c r="CR40" s="44"/>
      <c r="CS40" s="44"/>
      <c r="CT40" s="44"/>
      <c r="CU40" s="44"/>
      <c r="CV40" s="44"/>
      <c r="CW40" s="49">
        <v>0</v>
      </c>
      <c r="CX40" s="44"/>
      <c r="CY40" s="44"/>
      <c r="CZ40" s="49">
        <v>0</v>
      </c>
      <c r="DA40" s="44"/>
      <c r="DB40" s="44"/>
      <c r="DC40" s="49">
        <v>0</v>
      </c>
      <c r="DD40" s="44"/>
      <c r="DE40" s="44"/>
      <c r="DF40" s="49">
        <v>0</v>
      </c>
      <c r="DG40" s="44"/>
      <c r="DH40" s="44"/>
      <c r="DI40" s="49">
        <v>0</v>
      </c>
      <c r="DJ40" s="44"/>
      <c r="DK40" s="44"/>
      <c r="DL40" s="49">
        <v>0</v>
      </c>
      <c r="DM40" s="44"/>
      <c r="DN40" s="44"/>
      <c r="DO40" s="49">
        <v>0</v>
      </c>
      <c r="DP40" s="44"/>
      <c r="DQ40" s="44"/>
      <c r="DR40" s="49">
        <v>0</v>
      </c>
      <c r="DS40" s="44"/>
      <c r="DT40" s="44"/>
      <c r="DU40" s="49">
        <v>0</v>
      </c>
      <c r="DV40" s="44"/>
      <c r="DW40" s="44"/>
      <c r="DX40" s="49">
        <v>0</v>
      </c>
      <c r="DY40" s="44"/>
      <c r="DZ40" s="44"/>
      <c r="EA40" s="44">
        <v>0</v>
      </c>
      <c r="EB40" s="44"/>
      <c r="EC40" s="44"/>
      <c r="ED40" s="44">
        <f t="shared" si="24"/>
        <v>0</v>
      </c>
      <c r="EE40" s="44"/>
      <c r="EF40" s="44"/>
      <c r="EG40" s="44"/>
      <c r="EH40" s="44">
        <v>0</v>
      </c>
      <c r="EI40" s="44"/>
      <c r="EJ40" s="44"/>
      <c r="EK40" s="44">
        <v>0</v>
      </c>
      <c r="EL40" s="44"/>
      <c r="EM40" s="44"/>
      <c r="EN40" s="44">
        <v>0</v>
      </c>
      <c r="EO40" s="44"/>
      <c r="EP40" s="44"/>
      <c r="EQ40" s="44">
        <v>0</v>
      </c>
      <c r="ER40" s="44"/>
      <c r="ES40" s="44"/>
      <c r="ET40" s="44">
        <v>0</v>
      </c>
      <c r="EU40" s="44"/>
      <c r="EV40" s="44"/>
      <c r="EW40" s="44">
        <v>0</v>
      </c>
      <c r="EX40" s="44"/>
      <c r="EY40" s="44"/>
      <c r="EZ40" s="44">
        <v>0</v>
      </c>
      <c r="FA40" s="44"/>
      <c r="FB40" s="44"/>
      <c r="FC40" s="44">
        <v>0</v>
      </c>
      <c r="FD40" s="44"/>
      <c r="FE40" s="44"/>
      <c r="FF40" s="44">
        <v>0</v>
      </c>
      <c r="FG40" s="44"/>
      <c r="FH40" s="44"/>
      <c r="FI40" s="44">
        <v>0</v>
      </c>
      <c r="FJ40" s="44"/>
      <c r="FK40" s="44"/>
      <c r="FL40" s="44">
        <v>0</v>
      </c>
      <c r="FM40" s="44"/>
      <c r="FN40" s="44"/>
      <c r="FO40" s="44">
        <v>0</v>
      </c>
      <c r="FP40" s="44"/>
      <c r="FQ40" s="44"/>
      <c r="FR40" s="44">
        <f t="shared" si="27"/>
        <v>0</v>
      </c>
      <c r="FS40" s="95"/>
      <c r="FT40" s="44"/>
      <c r="FU40" s="44"/>
      <c r="FV40" s="44">
        <v>0</v>
      </c>
      <c r="FW40" s="44"/>
      <c r="FX40" s="44"/>
      <c r="FY40" s="44">
        <v>0</v>
      </c>
      <c r="FZ40" s="44"/>
      <c r="GA40" s="44"/>
      <c r="GB40" s="44">
        <v>0</v>
      </c>
      <c r="GC40" s="44"/>
      <c r="GD40" s="44"/>
      <c r="GE40" s="44">
        <v>0</v>
      </c>
      <c r="GF40" s="44"/>
      <c r="GG40" s="44"/>
      <c r="GH40" s="44">
        <v>0</v>
      </c>
      <c r="GI40" s="44"/>
      <c r="GJ40" s="44"/>
      <c r="GK40" s="44">
        <v>0</v>
      </c>
      <c r="GL40" s="44"/>
      <c r="GM40" s="44"/>
      <c r="GN40" s="44">
        <v>0</v>
      </c>
      <c r="GO40" s="44"/>
      <c r="GP40" s="44"/>
      <c r="GQ40" s="44">
        <v>0</v>
      </c>
      <c r="GR40" s="44">
        <v>0</v>
      </c>
      <c r="GS40" s="44"/>
      <c r="GT40" s="44">
        <v>0</v>
      </c>
      <c r="GU40" s="44">
        <v>0</v>
      </c>
      <c r="GV40" s="44"/>
      <c r="GW40" s="44">
        <v>0</v>
      </c>
      <c r="GX40" s="44">
        <v>0</v>
      </c>
      <c r="GY40" s="44"/>
      <c r="GZ40" s="44">
        <v>0</v>
      </c>
      <c r="HA40" s="44">
        <v>0</v>
      </c>
      <c r="HB40" s="44"/>
      <c r="HC40" s="44">
        <v>0</v>
      </c>
      <c r="HD40" s="44">
        <f t="shared" si="28"/>
        <v>0</v>
      </c>
      <c r="HE40" s="44">
        <f t="shared" si="29"/>
        <v>0</v>
      </c>
      <c r="HF40" s="44">
        <f t="shared" si="30"/>
        <v>0</v>
      </c>
      <c r="HG40" s="44"/>
      <c r="HH40" s="44">
        <v>0</v>
      </c>
      <c r="HI40" s="44"/>
      <c r="HJ40" s="44">
        <v>0</v>
      </c>
      <c r="HK40" s="44">
        <v>0</v>
      </c>
      <c r="HL40" s="44">
        <v>0</v>
      </c>
      <c r="HM40" s="44">
        <v>0</v>
      </c>
      <c r="HN40" s="44">
        <v>0</v>
      </c>
      <c r="HO40" s="44">
        <v>0</v>
      </c>
      <c r="HP40" s="44">
        <v>0</v>
      </c>
      <c r="HQ40" s="44">
        <v>0</v>
      </c>
      <c r="HR40" s="44">
        <v>0</v>
      </c>
      <c r="HS40" s="44">
        <v>0</v>
      </c>
      <c r="HT40" s="44">
        <v>0</v>
      </c>
      <c r="HU40" s="44">
        <v>0</v>
      </c>
      <c r="HV40" s="44">
        <v>0</v>
      </c>
      <c r="HW40" s="44">
        <v>0</v>
      </c>
      <c r="HX40" s="44">
        <v>0</v>
      </c>
      <c r="HY40" s="44">
        <v>0</v>
      </c>
      <c r="HZ40" s="44">
        <v>0</v>
      </c>
      <c r="IA40" s="44">
        <v>0</v>
      </c>
      <c r="IB40" s="44">
        <v>0</v>
      </c>
      <c r="IC40" s="44">
        <v>0</v>
      </c>
      <c r="ID40" s="44">
        <v>0</v>
      </c>
      <c r="IE40" s="44">
        <v>0</v>
      </c>
      <c r="IF40" s="44">
        <v>0</v>
      </c>
      <c r="IG40" s="44">
        <v>0</v>
      </c>
      <c r="IH40" s="44">
        <v>0</v>
      </c>
      <c r="II40" s="44">
        <v>0</v>
      </c>
      <c r="IJ40" s="44">
        <v>0</v>
      </c>
      <c r="IK40" s="44">
        <v>0</v>
      </c>
      <c r="IL40" s="44">
        <v>0</v>
      </c>
      <c r="IM40" s="44">
        <v>0</v>
      </c>
      <c r="IN40" s="44">
        <v>0</v>
      </c>
      <c r="IO40" s="44">
        <v>6.0499999999999998E-3</v>
      </c>
      <c r="IP40" s="44">
        <v>0</v>
      </c>
      <c r="IQ40" s="44">
        <v>6.0499999999999998E-3</v>
      </c>
      <c r="IR40" s="44">
        <f t="shared" si="71"/>
        <v>6.0499999999999998E-3</v>
      </c>
      <c r="IS40" s="50">
        <f t="shared" si="72"/>
        <v>0</v>
      </c>
      <c r="IT40" s="50">
        <f t="shared" si="70"/>
        <v>6.0499999999999998E-3</v>
      </c>
      <c r="IU40" s="44"/>
      <c r="IV40" s="44">
        <v>0</v>
      </c>
      <c r="IW40" s="50">
        <v>0</v>
      </c>
      <c r="IX40" s="50">
        <v>0</v>
      </c>
      <c r="IY40" s="44">
        <v>0</v>
      </c>
      <c r="IZ40" s="50">
        <v>0</v>
      </c>
      <c r="JA40" s="50">
        <v>0</v>
      </c>
      <c r="JB40" s="44">
        <v>0</v>
      </c>
      <c r="JC40" s="50">
        <v>0</v>
      </c>
      <c r="JD40" s="50">
        <v>0</v>
      </c>
      <c r="JE40" s="44">
        <v>7.0100000000000002E-4</v>
      </c>
      <c r="JF40" s="50">
        <v>0</v>
      </c>
      <c r="JG40" s="50">
        <v>7.0100000000000002E-4</v>
      </c>
      <c r="JH40" s="44">
        <v>-7.0100000000000002E-4</v>
      </c>
      <c r="JI40" s="50">
        <v>0</v>
      </c>
      <c r="JJ40" s="50">
        <v>-7.0100000000000002E-4</v>
      </c>
      <c r="JK40" s="44">
        <v>0</v>
      </c>
      <c r="JL40" s="50">
        <v>0</v>
      </c>
      <c r="JM40" s="50">
        <v>0</v>
      </c>
      <c r="JN40" s="44">
        <v>0</v>
      </c>
      <c r="JO40" s="50">
        <v>0</v>
      </c>
      <c r="JP40" s="50">
        <v>0</v>
      </c>
      <c r="JQ40" s="44">
        <v>0</v>
      </c>
      <c r="JR40" s="50">
        <v>0</v>
      </c>
      <c r="JS40" s="50">
        <v>0</v>
      </c>
      <c r="JT40" s="44">
        <v>4.4609999999999997E-3</v>
      </c>
      <c r="JU40" s="50">
        <v>0</v>
      </c>
      <c r="JV40" s="50">
        <v>4.4609999999999997E-3</v>
      </c>
      <c r="JW40" s="44">
        <v>-4.4609999999999997E-3</v>
      </c>
      <c r="JX40" s="50">
        <v>0</v>
      </c>
      <c r="JY40" s="50">
        <v>-4.4609999999999997E-3</v>
      </c>
      <c r="JZ40" s="44">
        <v>0</v>
      </c>
      <c r="KA40" s="50">
        <v>0</v>
      </c>
      <c r="KB40" s="50">
        <v>0</v>
      </c>
      <c r="KC40" s="44">
        <v>0</v>
      </c>
      <c r="KD40" s="50">
        <v>0</v>
      </c>
      <c r="KE40" s="50">
        <v>0</v>
      </c>
      <c r="KF40" s="44">
        <f t="shared" si="73"/>
        <v>0</v>
      </c>
      <c r="KG40" s="50">
        <f t="shared" si="73"/>
        <v>0</v>
      </c>
      <c r="KH40" s="50">
        <f t="shared" si="4"/>
        <v>0</v>
      </c>
      <c r="KI40" s="44"/>
      <c r="KJ40" s="44">
        <v>0</v>
      </c>
      <c r="KK40" s="50">
        <v>0</v>
      </c>
      <c r="KL40" s="50">
        <v>0</v>
      </c>
      <c r="KM40" s="44">
        <v>0</v>
      </c>
      <c r="KN40" s="50">
        <v>0</v>
      </c>
      <c r="KO40" s="50">
        <v>0</v>
      </c>
      <c r="KP40" s="44">
        <v>0</v>
      </c>
      <c r="KQ40" s="50">
        <v>0</v>
      </c>
      <c r="KR40" s="50">
        <v>0</v>
      </c>
      <c r="KS40" s="44">
        <v>0</v>
      </c>
      <c r="KT40" s="50">
        <v>0</v>
      </c>
      <c r="KU40" s="50">
        <v>0</v>
      </c>
      <c r="KV40" s="44">
        <v>0</v>
      </c>
      <c r="KW40" s="50">
        <v>0</v>
      </c>
      <c r="KX40" s="50">
        <v>0</v>
      </c>
      <c r="KY40" s="44">
        <v>0</v>
      </c>
      <c r="KZ40" s="50">
        <v>0</v>
      </c>
      <c r="LA40" s="50">
        <v>0</v>
      </c>
      <c r="LB40" s="44">
        <v>0</v>
      </c>
      <c r="LC40" s="50">
        <v>0</v>
      </c>
      <c r="LD40" s="50">
        <v>0</v>
      </c>
      <c r="LE40" s="44"/>
      <c r="LF40" s="44"/>
      <c r="LG40" s="44">
        <v>0</v>
      </c>
      <c r="LH40" s="44">
        <v>0</v>
      </c>
      <c r="LI40" s="50">
        <v>0</v>
      </c>
      <c r="LJ40" s="50">
        <v>0</v>
      </c>
      <c r="LK40" s="44">
        <v>0</v>
      </c>
      <c r="LL40" s="50">
        <v>0</v>
      </c>
      <c r="LM40" s="50">
        <v>0</v>
      </c>
      <c r="LN40" s="44">
        <v>0</v>
      </c>
      <c r="LO40" s="50">
        <v>0</v>
      </c>
      <c r="LP40" s="50">
        <v>0</v>
      </c>
      <c r="LQ40" s="44">
        <v>0</v>
      </c>
      <c r="LR40" s="50">
        <v>0</v>
      </c>
      <c r="LS40" s="50">
        <v>0</v>
      </c>
      <c r="LT40" s="44">
        <f t="shared" si="58"/>
        <v>0</v>
      </c>
      <c r="LU40" s="50">
        <f t="shared" si="58"/>
        <v>0</v>
      </c>
      <c r="LV40" s="50">
        <f t="shared" si="58"/>
        <v>0</v>
      </c>
      <c r="LW40" s="50"/>
      <c r="LX40" s="44">
        <v>0</v>
      </c>
      <c r="LY40" s="50">
        <v>0</v>
      </c>
      <c r="LZ40" s="50">
        <v>0</v>
      </c>
      <c r="MA40" s="44">
        <v>0</v>
      </c>
      <c r="MB40" s="50">
        <v>0</v>
      </c>
      <c r="MC40" s="50">
        <v>0</v>
      </c>
      <c r="MD40" s="44">
        <v>3.2200000000000002E-4</v>
      </c>
      <c r="ME40" s="50">
        <v>0</v>
      </c>
      <c r="MF40" s="50">
        <v>3.2200000000000002E-4</v>
      </c>
      <c r="MG40" s="50">
        <v>0</v>
      </c>
      <c r="MH40" s="50">
        <v>0</v>
      </c>
      <c r="MI40" s="179"/>
      <c r="MJ40" s="44">
        <v>0</v>
      </c>
      <c r="MK40" s="50">
        <v>0</v>
      </c>
      <c r="ML40" s="50">
        <v>0</v>
      </c>
      <c r="MM40" s="44">
        <v>0</v>
      </c>
      <c r="MN40" s="50">
        <v>0</v>
      </c>
      <c r="MO40" s="50">
        <v>0</v>
      </c>
      <c r="MP40" s="44">
        <v>0.15338099999999999</v>
      </c>
      <c r="MQ40" s="50">
        <v>0</v>
      </c>
      <c r="MR40" s="50">
        <v>0.15338099999999999</v>
      </c>
      <c r="MS40" s="44">
        <v>-9.0229999999999998E-3</v>
      </c>
      <c r="MT40" s="50">
        <v>0</v>
      </c>
      <c r="MU40" s="50">
        <v>-9.0229999999999998E-3</v>
      </c>
      <c r="MV40" s="44">
        <v>-1.4296E-2</v>
      </c>
      <c r="MW40" s="50">
        <v>0</v>
      </c>
      <c r="MX40" s="50">
        <v>-1.4296E-2</v>
      </c>
      <c r="MY40" s="44">
        <v>3.3404000000000003E-2</v>
      </c>
      <c r="MZ40" s="50">
        <v>0</v>
      </c>
      <c r="NA40" s="50">
        <v>3.3404000000000003E-2</v>
      </c>
      <c r="NB40" s="44">
        <v>0.58401400000000003</v>
      </c>
      <c r="NC40" s="50">
        <v>0</v>
      </c>
      <c r="ND40" s="50">
        <v>0.58401400000000003</v>
      </c>
      <c r="NE40" s="44">
        <v>-0.61789300000000003</v>
      </c>
      <c r="NF40" s="50">
        <v>0</v>
      </c>
      <c r="NG40" s="50">
        <v>-0.61789300000000003</v>
      </c>
      <c r="NH40" s="44">
        <f t="shared" si="74"/>
        <v>0.12990900000000005</v>
      </c>
      <c r="NI40" s="50">
        <f t="shared" si="74"/>
        <v>0</v>
      </c>
      <c r="NJ40" s="50">
        <f t="shared" ref="NJ40:NJ57" si="76">LZ40+MC40+MF40+MI40+ML40+MO40+MR40+MU40+MX40+NA40+ND40+NG40</f>
        <v>0.12990900000000005</v>
      </c>
      <c r="NK40" s="50"/>
      <c r="NL40" s="50">
        <v>0</v>
      </c>
      <c r="NM40" s="50">
        <v>0</v>
      </c>
      <c r="NN40" s="50">
        <v>0</v>
      </c>
      <c r="NO40" s="50">
        <v>0</v>
      </c>
      <c r="NP40" s="50"/>
      <c r="NQ40" s="50">
        <v>0</v>
      </c>
      <c r="NR40" s="50"/>
      <c r="NS40" s="50"/>
      <c r="NT40" s="50"/>
      <c r="NU40" s="50"/>
      <c r="NV40" s="50"/>
      <c r="NW40" s="50"/>
      <c r="NX40" s="50"/>
      <c r="NY40" s="50"/>
      <c r="NZ40" s="50"/>
      <c r="OA40" s="50"/>
      <c r="OB40" s="50"/>
      <c r="OC40" s="50"/>
      <c r="OD40" s="50"/>
      <c r="OE40" s="50"/>
      <c r="OF40" s="50"/>
      <c r="OG40" s="50"/>
      <c r="OH40" s="50"/>
      <c r="OI40" s="50"/>
      <c r="OJ40" s="50"/>
      <c r="OK40" s="50"/>
      <c r="OL40" s="50"/>
      <c r="OM40" s="50">
        <v>0</v>
      </c>
      <c r="ON40" s="50"/>
      <c r="OO40" s="50"/>
      <c r="OP40" s="50">
        <v>0</v>
      </c>
      <c r="OQ40" s="50"/>
      <c r="OR40" s="50"/>
      <c r="OS40" s="50"/>
      <c r="OT40" s="50"/>
      <c r="OU40" s="50"/>
      <c r="OV40" s="44">
        <f t="shared" si="75"/>
        <v>0</v>
      </c>
      <c r="OW40" s="50">
        <f t="shared" si="75"/>
        <v>0</v>
      </c>
      <c r="OX40" s="50">
        <f t="shared" si="9"/>
        <v>0</v>
      </c>
      <c r="OY40" s="50"/>
      <c r="OZ40" s="117">
        <v>2.34E-4</v>
      </c>
      <c r="PA40" s="117"/>
      <c r="PB40" s="117">
        <v>2.34E-4</v>
      </c>
      <c r="PC40" s="50"/>
      <c r="PD40" s="50"/>
      <c r="PE40" s="50"/>
      <c r="PF40" s="85">
        <v>0</v>
      </c>
      <c r="PG40" s="50"/>
      <c r="PH40" s="50"/>
      <c r="PI40" s="85">
        <v>0</v>
      </c>
      <c r="PJ40" s="50"/>
      <c r="PK40" s="50"/>
      <c r="PL40" s="50"/>
      <c r="PM40" s="50"/>
      <c r="PN40" s="50"/>
      <c r="PO40" s="50"/>
      <c r="PP40" s="50"/>
      <c r="PQ40" s="50"/>
      <c r="PR40" s="50"/>
      <c r="PS40" s="50"/>
      <c r="PT40" s="50"/>
      <c r="PU40" s="50"/>
      <c r="PV40" s="50"/>
      <c r="PW40" s="50"/>
      <c r="PX40" s="50"/>
      <c r="PY40" s="50"/>
      <c r="PZ40" s="50"/>
      <c r="QA40" s="50"/>
      <c r="QB40" s="50"/>
      <c r="QC40" s="50"/>
      <c r="QD40" s="50">
        <v>0</v>
      </c>
      <c r="QE40" s="50"/>
      <c r="QF40" s="50"/>
      <c r="QG40" s="50">
        <v>0</v>
      </c>
      <c r="QH40" s="50"/>
      <c r="QI40" s="50"/>
      <c r="QJ40" s="44">
        <f t="shared" si="38"/>
        <v>2.34E-4</v>
      </c>
      <c r="QK40" s="50">
        <f t="shared" si="39"/>
        <v>0</v>
      </c>
      <c r="QL40" s="50">
        <f t="shared" si="40"/>
        <v>2.34E-4</v>
      </c>
      <c r="QM40" s="50"/>
      <c r="QN40" s="50"/>
      <c r="QO40" s="50"/>
      <c r="QP40" s="50"/>
      <c r="QQ40" s="50"/>
      <c r="QR40" s="50"/>
      <c r="QS40" s="50"/>
      <c r="QT40" s="50"/>
      <c r="QU40" s="50"/>
      <c r="QV40" s="50"/>
      <c r="QW40" s="50"/>
      <c r="QX40" s="50"/>
      <c r="QY40" s="50"/>
      <c r="QZ40" s="50"/>
      <c r="RA40" s="50"/>
      <c r="RB40" s="50"/>
      <c r="RC40" s="50"/>
      <c r="RD40" s="50"/>
      <c r="RE40" s="50"/>
      <c r="RF40" s="50"/>
      <c r="RG40" s="50"/>
      <c r="RH40" s="50"/>
      <c r="RI40" s="50">
        <v>0</v>
      </c>
      <c r="RJ40" s="50"/>
      <c r="RK40" s="50"/>
      <c r="RL40" s="50">
        <v>0</v>
      </c>
      <c r="RM40" s="50"/>
      <c r="RN40" s="50"/>
      <c r="RO40" s="50"/>
      <c r="RP40" s="50"/>
      <c r="RQ40" s="50"/>
      <c r="RR40" s="50">
        <v>0</v>
      </c>
      <c r="RS40" s="50"/>
      <c r="RT40" s="50"/>
      <c r="RU40" s="50"/>
      <c r="RV40" s="50"/>
      <c r="RW40" s="50"/>
      <c r="RX40" s="44">
        <f t="shared" si="41"/>
        <v>0</v>
      </c>
      <c r="RY40" s="50">
        <f t="shared" si="42"/>
        <v>0</v>
      </c>
      <c r="RZ40" s="50">
        <f t="shared" si="43"/>
        <v>0</v>
      </c>
      <c r="SA40" s="50"/>
      <c r="SB40" s="50"/>
      <c r="SC40" s="50"/>
      <c r="SD40" s="50"/>
      <c r="SE40" s="50"/>
      <c r="SF40" s="50"/>
      <c r="SG40" s="50"/>
      <c r="SH40" s="50"/>
      <c r="SI40" s="50"/>
      <c r="SJ40" s="50"/>
      <c r="SK40" s="50"/>
      <c r="SL40" s="50"/>
      <c r="SM40" s="50"/>
      <c r="SN40" s="50"/>
      <c r="SO40" s="50"/>
      <c r="SP40" s="50"/>
      <c r="SQ40" s="50"/>
      <c r="SR40" s="50"/>
      <c r="SS40" s="50"/>
      <c r="ST40" s="50"/>
      <c r="SU40" s="50"/>
      <c r="SV40" s="50"/>
      <c r="SW40" s="50"/>
      <c r="SX40" s="50"/>
      <c r="SY40" s="50"/>
      <c r="SZ40" s="50"/>
      <c r="TA40" s="50"/>
      <c r="TB40" s="50"/>
      <c r="TC40" s="50"/>
      <c r="TD40" s="50"/>
      <c r="TE40" s="50"/>
      <c r="TF40" s="50"/>
      <c r="TG40" s="50"/>
      <c r="TH40" s="50"/>
      <c r="TI40" s="50"/>
      <c r="TJ40" s="50"/>
      <c r="TK40" s="50"/>
      <c r="TL40" s="44">
        <f t="shared" si="45"/>
        <v>0</v>
      </c>
      <c r="TM40" s="50">
        <f t="shared" si="46"/>
        <v>0</v>
      </c>
      <c r="TN40" s="50">
        <f t="shared" si="47"/>
        <v>0</v>
      </c>
      <c r="TO40" s="50"/>
      <c r="TP40" s="50"/>
      <c r="TQ40" s="50"/>
      <c r="TR40" s="50"/>
      <c r="TS40" s="50"/>
      <c r="TT40" s="50"/>
      <c r="TU40" s="50">
        <v>0.77675000000000005</v>
      </c>
      <c r="TV40" s="50"/>
      <c r="TW40" s="50">
        <v>0.77675000000000005</v>
      </c>
      <c r="TX40" s="50">
        <f t="shared" si="49"/>
        <v>-0.77675000000000005</v>
      </c>
      <c r="TY40" s="50"/>
      <c r="TZ40" s="50">
        <v>-0.77675000000000005</v>
      </c>
      <c r="UA40" s="50"/>
      <c r="UB40" s="50"/>
      <c r="UC40" s="50"/>
      <c r="UD40" s="50"/>
      <c r="UE40" s="50"/>
      <c r="UF40" s="50"/>
      <c r="UG40" s="50"/>
      <c r="UH40" s="50"/>
      <c r="UI40" s="50"/>
      <c r="UJ40" s="50"/>
      <c r="UK40" s="50"/>
      <c r="UL40" s="50"/>
      <c r="UM40" s="50"/>
      <c r="UN40" s="50"/>
      <c r="UO40" s="50"/>
      <c r="UP40" s="50"/>
      <c r="UQ40" s="50"/>
      <c r="UR40" s="50"/>
      <c r="US40" s="50"/>
      <c r="UT40" s="50"/>
      <c r="UU40" s="50"/>
      <c r="UV40" s="50"/>
      <c r="UW40" s="50"/>
      <c r="UX40" s="50"/>
      <c r="UY40" s="292">
        <f t="shared" si="50"/>
        <v>0</v>
      </c>
      <c r="UZ40" s="276">
        <f t="shared" si="51"/>
        <v>0</v>
      </c>
      <c r="VA40" s="276">
        <f t="shared" si="52"/>
        <v>0</v>
      </c>
      <c r="VB40" s="292">
        <f t="shared" si="53"/>
        <v>0</v>
      </c>
      <c r="VC40" s="276">
        <f t="shared" si="54"/>
        <v>0</v>
      </c>
      <c r="VD40" s="276">
        <f t="shared" si="55"/>
        <v>0</v>
      </c>
      <c r="VE40" s="277">
        <f t="shared" si="56"/>
        <v>0</v>
      </c>
      <c r="VF40" s="277" t="e">
        <f t="shared" si="57"/>
        <v>#DIV/0!</v>
      </c>
    </row>
    <row r="41" spans="1:578" s="12" customFormat="1" ht="20.5">
      <c r="A41" s="47" t="s">
        <v>242</v>
      </c>
      <c r="B41" s="13"/>
      <c r="C41" s="47" t="s">
        <v>215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4"/>
      <c r="U41" s="44"/>
      <c r="V41" s="42"/>
      <c r="W41" s="42"/>
      <c r="X41" s="42">
        <v>1.4228718106328365E-3</v>
      </c>
      <c r="Y41" s="42">
        <v>7.1143590531641825E-4</v>
      </c>
      <c r="Z41" s="42">
        <v>7.3050238757889829E-3</v>
      </c>
      <c r="AA41" s="42">
        <v>0.11066243220015821</v>
      </c>
      <c r="AB41" s="42">
        <v>2.1343077159492545E-3</v>
      </c>
      <c r="AC41" s="42">
        <v>0.10236851241597943</v>
      </c>
      <c r="AD41" s="42">
        <v>8.0420714736967921E-2</v>
      </c>
      <c r="AE41" s="42"/>
      <c r="AF41" s="42">
        <v>2.5611692591391056E-4</v>
      </c>
      <c r="AG41" s="42">
        <v>7.1853603565147611E-2</v>
      </c>
      <c r="AH41" s="42">
        <v>0.17902999982925538</v>
      </c>
      <c r="AI41" s="42">
        <v>0.12457384989271547</v>
      </c>
      <c r="AJ41" s="42"/>
      <c r="AK41" s="42"/>
      <c r="AL41" s="42"/>
      <c r="AM41" s="42">
        <v>0.6806976055913172</v>
      </c>
      <c r="AN41" s="42">
        <v>1.9991348939391352E-2</v>
      </c>
      <c r="AO41" s="42">
        <v>0.17843381654060023</v>
      </c>
      <c r="AP41" s="42">
        <v>-5.8706268034900207E-2</v>
      </c>
      <c r="AQ41" s="42">
        <v>5.6240431187073496E-2</v>
      </c>
      <c r="AR41" s="42">
        <v>3.3660878424141012E-2</v>
      </c>
      <c r="AS41" s="42">
        <v>8.8875419035748235E-2</v>
      </c>
      <c r="AT41" s="42">
        <v>8.1559012185474192E-2</v>
      </c>
      <c r="AU41" s="42">
        <v>6.3097250442513131E-2</v>
      </c>
      <c r="AV41" s="42">
        <v>6.593587970472564E-3</v>
      </c>
      <c r="AW41" s="42">
        <v>7.4424732926961154E-2</v>
      </c>
      <c r="AX41" s="42">
        <v>3.9345251307619199E-2</v>
      </c>
      <c r="AY41" s="42">
        <v>0.12556274580110527</v>
      </c>
      <c r="AZ41" s="44"/>
      <c r="BA41" s="44"/>
      <c r="BB41" s="42"/>
      <c r="BC41" s="42">
        <v>0.71904542375968272</v>
      </c>
      <c r="BD41" s="49" t="s">
        <v>46</v>
      </c>
      <c r="BE41" s="49" t="s">
        <v>46</v>
      </c>
      <c r="BF41" s="49">
        <v>2.4800000000000001E-4</v>
      </c>
      <c r="BG41" s="49" t="s">
        <v>46</v>
      </c>
      <c r="BH41" s="49" t="s">
        <v>46</v>
      </c>
      <c r="BI41" s="44">
        <v>6.2294000000000002E-2</v>
      </c>
      <c r="BJ41" s="49" t="s">
        <v>46</v>
      </c>
      <c r="BK41" s="49" t="s">
        <v>46</v>
      </c>
      <c r="BL41" s="44">
        <v>4.9186000000000001E-2</v>
      </c>
      <c r="BM41" s="49" t="s">
        <v>46</v>
      </c>
      <c r="BN41" s="49" t="s">
        <v>46</v>
      </c>
      <c r="BO41" s="44">
        <v>0.18506900000000001</v>
      </c>
      <c r="BP41" s="49" t="s">
        <v>46</v>
      </c>
      <c r="BQ41" s="49" t="s">
        <v>46</v>
      </c>
      <c r="BR41" s="44">
        <v>0.23160500000000001</v>
      </c>
      <c r="BS41" s="49" t="s">
        <v>46</v>
      </c>
      <c r="BT41" s="49" t="s">
        <v>46</v>
      </c>
      <c r="BU41" s="44">
        <v>0.21332599999999999</v>
      </c>
      <c r="BV41" s="49" t="s">
        <v>46</v>
      </c>
      <c r="BW41" s="49" t="s">
        <v>46</v>
      </c>
      <c r="BX41" s="44">
        <v>0.27926800000000002</v>
      </c>
      <c r="BY41" s="49" t="s">
        <v>46</v>
      </c>
      <c r="BZ41" s="49" t="s">
        <v>46</v>
      </c>
      <c r="CA41" s="44">
        <v>0.13728099999999999</v>
      </c>
      <c r="CB41" s="49" t="s">
        <v>46</v>
      </c>
      <c r="CC41" s="49" t="s">
        <v>46</v>
      </c>
      <c r="CD41" s="44">
        <v>4.2899E-2</v>
      </c>
      <c r="CE41" s="49" t="s">
        <v>46</v>
      </c>
      <c r="CF41" s="49" t="s">
        <v>46</v>
      </c>
      <c r="CG41" s="44">
        <v>0.12642900000000001</v>
      </c>
      <c r="CH41" s="44"/>
      <c r="CI41" s="44"/>
      <c r="CJ41" s="44">
        <v>9.7450999999999996E-2</v>
      </c>
      <c r="CK41" s="44"/>
      <c r="CL41" s="44"/>
      <c r="CM41" s="44">
        <v>0.25254500000000002</v>
      </c>
      <c r="CN41" s="50"/>
      <c r="CO41" s="50"/>
      <c r="CP41" s="113">
        <f t="shared" si="21"/>
        <v>1.6776010000000001</v>
      </c>
      <c r="CQ41" s="50">
        <v>1.6693340000000001</v>
      </c>
      <c r="CR41" s="44"/>
      <c r="CS41" s="44"/>
      <c r="CT41" s="44">
        <v>2.0999999999999999E-5</v>
      </c>
      <c r="CU41" s="44"/>
      <c r="CV41" s="44"/>
      <c r="CW41" s="49">
        <v>0.131158</v>
      </c>
      <c r="CX41" s="44"/>
      <c r="CY41" s="44"/>
      <c r="CZ41" s="49">
        <v>0.20355999999999999</v>
      </c>
      <c r="DA41" s="44"/>
      <c r="DB41" s="44"/>
      <c r="DC41" s="49">
        <v>0.22342300000000001</v>
      </c>
      <c r="DD41" s="44"/>
      <c r="DE41" s="44"/>
      <c r="DF41" s="49">
        <v>0.13362599999999999</v>
      </c>
      <c r="DG41" s="44"/>
      <c r="DH41" s="44"/>
      <c r="DI41" s="49">
        <v>1.5907000000000001E-2</v>
      </c>
      <c r="DJ41" s="44"/>
      <c r="DK41" s="44"/>
      <c r="DL41" s="49">
        <v>0.22745000000000001</v>
      </c>
      <c r="DM41" s="44"/>
      <c r="DN41" s="44"/>
      <c r="DO41" s="49">
        <v>4.3296000000000001E-2</v>
      </c>
      <c r="DP41" s="44"/>
      <c r="DQ41" s="44"/>
      <c r="DR41" s="49">
        <v>6.3311999999999993E-2</v>
      </c>
      <c r="DS41" s="44"/>
      <c r="DT41" s="44"/>
      <c r="DU41" s="49">
        <v>5.0261E-2</v>
      </c>
      <c r="DV41" s="44"/>
      <c r="DW41" s="44"/>
      <c r="DX41" s="49">
        <v>0.100942</v>
      </c>
      <c r="DY41" s="44"/>
      <c r="DZ41" s="44"/>
      <c r="EA41" s="44">
        <v>0.22602</v>
      </c>
      <c r="EB41" s="44"/>
      <c r="EC41" s="44"/>
      <c r="ED41" s="44">
        <f t="shared" si="24"/>
        <v>1.4189760000000002</v>
      </c>
      <c r="EE41" s="44">
        <v>1.422857</v>
      </c>
      <c r="EF41" s="44"/>
      <c r="EG41" s="44"/>
      <c r="EH41" s="44">
        <v>7.8869999999999999E-3</v>
      </c>
      <c r="EI41" s="44"/>
      <c r="EJ41" s="44"/>
      <c r="EK41" s="44">
        <v>5.2430999999999998E-2</v>
      </c>
      <c r="EL41" s="44"/>
      <c r="EM41" s="44"/>
      <c r="EN41" s="44">
        <v>1.4459E-2</v>
      </c>
      <c r="EO41" s="44"/>
      <c r="EP41" s="44"/>
      <c r="EQ41" s="44">
        <v>6.8056000000000005E-2</v>
      </c>
      <c r="ER41" s="44"/>
      <c r="ES41" s="44"/>
      <c r="ET41" s="44">
        <v>5.9944999999999998E-2</v>
      </c>
      <c r="EU41" s="44"/>
      <c r="EV41" s="44"/>
      <c r="EW41" s="44">
        <v>4.8820000000000001E-3</v>
      </c>
      <c r="EX41" s="44"/>
      <c r="EY41" s="44"/>
      <c r="EZ41" s="44">
        <v>0.104297</v>
      </c>
      <c r="FA41" s="44"/>
      <c r="FB41" s="44"/>
      <c r="FC41" s="44">
        <v>7.731E-3</v>
      </c>
      <c r="FD41" s="44"/>
      <c r="FE41" s="44"/>
      <c r="FF41" s="44">
        <v>3.3328999999999998E-2</v>
      </c>
      <c r="FG41" s="44"/>
      <c r="FH41" s="44"/>
      <c r="FI41" s="44">
        <v>1.5734000000000001E-2</v>
      </c>
      <c r="FJ41" s="44"/>
      <c r="FK41" s="44"/>
      <c r="FL41" s="44">
        <v>2.9811000000000001E-2</v>
      </c>
      <c r="FM41" s="44"/>
      <c r="FN41" s="44"/>
      <c r="FO41" s="44">
        <v>0.52717899999999995</v>
      </c>
      <c r="FP41" s="44"/>
      <c r="FQ41" s="44"/>
      <c r="FR41" s="44">
        <f t="shared" si="27"/>
        <v>0.92574099999999993</v>
      </c>
      <c r="FS41" s="95">
        <v>0.94112799999999996</v>
      </c>
      <c r="FT41" s="44"/>
      <c r="FU41" s="44"/>
      <c r="FV41" s="44">
        <v>2.7833E-2</v>
      </c>
      <c r="FW41" s="44"/>
      <c r="FX41" s="44"/>
      <c r="FY41" s="44">
        <v>5.9073000000000001E-2</v>
      </c>
      <c r="FZ41" s="44"/>
      <c r="GA41" s="44"/>
      <c r="GB41" s="44">
        <v>6.5900000000000004E-3</v>
      </c>
      <c r="GC41" s="44"/>
      <c r="GD41" s="44"/>
      <c r="GE41" s="44">
        <v>0.10209600000000001</v>
      </c>
      <c r="GF41" s="44"/>
      <c r="GG41" s="44"/>
      <c r="GH41" s="44">
        <v>4.0737000000000002E-2</v>
      </c>
      <c r="GI41" s="44"/>
      <c r="GJ41" s="44"/>
      <c r="GK41" s="44">
        <v>2.4306999999999999E-2</v>
      </c>
      <c r="GL41" s="44">
        <v>7.0504999999999998E-2</v>
      </c>
      <c r="GM41" s="44">
        <v>0</v>
      </c>
      <c r="GN41" s="44">
        <v>7.0504999999999998E-2</v>
      </c>
      <c r="GO41" s="44">
        <v>0.48154400000000003</v>
      </c>
      <c r="GP41" s="44"/>
      <c r="GQ41" s="44">
        <v>0.48154400000000003</v>
      </c>
      <c r="GR41" s="44">
        <v>4.2795E-2</v>
      </c>
      <c r="GS41" s="44"/>
      <c r="GT41" s="44">
        <v>4.2795E-2</v>
      </c>
      <c r="GU41" s="44">
        <v>5.4276999999999999E-2</v>
      </c>
      <c r="GV41" s="44"/>
      <c r="GW41" s="44">
        <v>5.4276999999999999E-2</v>
      </c>
      <c r="GX41" s="44">
        <v>0.161272</v>
      </c>
      <c r="GY41" s="44"/>
      <c r="GZ41" s="44">
        <v>0.161272</v>
      </c>
      <c r="HA41" s="44">
        <v>3.6462000000000001E-2</v>
      </c>
      <c r="HB41" s="44"/>
      <c r="HC41" s="44">
        <v>3.6462000000000001E-2</v>
      </c>
      <c r="HD41" s="44">
        <f t="shared" si="28"/>
        <v>0.84685500000000002</v>
      </c>
      <c r="HE41" s="44">
        <f t="shared" si="29"/>
        <v>0</v>
      </c>
      <c r="HF41" s="44">
        <f t="shared" si="30"/>
        <v>1.107491</v>
      </c>
      <c r="HG41" s="44"/>
      <c r="HH41" s="44">
        <v>3.1779000000000002E-2</v>
      </c>
      <c r="HI41" s="44"/>
      <c r="HJ41" s="44">
        <v>3.1779000000000002E-2</v>
      </c>
      <c r="HK41" s="44">
        <v>0.122253</v>
      </c>
      <c r="HL41" s="44">
        <v>0</v>
      </c>
      <c r="HM41" s="44">
        <v>0.122253</v>
      </c>
      <c r="HN41" s="44">
        <v>0.13816400000000001</v>
      </c>
      <c r="HO41" s="44">
        <v>0</v>
      </c>
      <c r="HP41" s="44">
        <v>0.13816400000000001</v>
      </c>
      <c r="HQ41" s="44">
        <v>9.6102999999999994E-2</v>
      </c>
      <c r="HR41" s="44">
        <v>0</v>
      </c>
      <c r="HS41" s="44">
        <v>9.6102999999999994E-2</v>
      </c>
      <c r="HT41" s="44">
        <v>0.221772</v>
      </c>
      <c r="HU41" s="44">
        <v>0</v>
      </c>
      <c r="HV41" s="44">
        <v>0.221772</v>
      </c>
      <c r="HW41" s="44">
        <v>0.12687699999999999</v>
      </c>
      <c r="HX41" s="44">
        <v>0</v>
      </c>
      <c r="HY41" s="44">
        <v>0.12687699999999999</v>
      </c>
      <c r="HZ41" s="44">
        <v>0.12839300000000001</v>
      </c>
      <c r="IA41" s="44">
        <v>0</v>
      </c>
      <c r="IB41" s="44">
        <v>0.12839300000000001</v>
      </c>
      <c r="IC41" s="44">
        <v>9.5342999999999997E-2</v>
      </c>
      <c r="ID41" s="44">
        <v>0</v>
      </c>
      <c r="IE41" s="44">
        <v>9.5342999999999997E-2</v>
      </c>
      <c r="IF41" s="44">
        <v>0.14235600000000001</v>
      </c>
      <c r="IG41" s="44">
        <v>0</v>
      </c>
      <c r="IH41" s="44">
        <v>0.14235600000000001</v>
      </c>
      <c r="II41" s="44">
        <v>0.15903200000000001</v>
      </c>
      <c r="IJ41" s="44">
        <v>0</v>
      </c>
      <c r="IK41" s="44">
        <v>0.15903200000000001</v>
      </c>
      <c r="IL41" s="44">
        <v>3.9012999999999999E-2</v>
      </c>
      <c r="IM41" s="44">
        <v>0</v>
      </c>
      <c r="IN41" s="44">
        <v>3.9012999999999999E-2</v>
      </c>
      <c r="IO41" s="44">
        <v>0.20808599999999999</v>
      </c>
      <c r="IP41" s="44">
        <v>0</v>
      </c>
      <c r="IQ41" s="44">
        <v>0.20808599999999999</v>
      </c>
      <c r="IR41" s="44">
        <f t="shared" si="71"/>
        <v>1.509171</v>
      </c>
      <c r="IS41" s="50">
        <f t="shared" si="72"/>
        <v>0</v>
      </c>
      <c r="IT41" s="50">
        <f t="shared" si="70"/>
        <v>1.509171</v>
      </c>
      <c r="IU41" s="44">
        <v>1.379499</v>
      </c>
      <c r="IV41" s="44">
        <v>2.1125999999999999E-2</v>
      </c>
      <c r="IW41" s="50">
        <v>0</v>
      </c>
      <c r="IX41" s="50">
        <v>2.1125999999999999E-2</v>
      </c>
      <c r="IY41" s="44">
        <v>8.7363999999999997E-2</v>
      </c>
      <c r="IZ41" s="50">
        <v>0</v>
      </c>
      <c r="JA41" s="50">
        <v>8.7363999999999997E-2</v>
      </c>
      <c r="JB41" s="44">
        <v>0.18631</v>
      </c>
      <c r="JC41" s="50">
        <v>0</v>
      </c>
      <c r="JD41" s="50">
        <v>0.18631</v>
      </c>
      <c r="JE41" s="44">
        <v>8.0599000000000004E-2</v>
      </c>
      <c r="JF41" s="50">
        <v>0</v>
      </c>
      <c r="JG41" s="50">
        <v>8.0599000000000004E-2</v>
      </c>
      <c r="JH41" s="44">
        <v>0.11722</v>
      </c>
      <c r="JI41" s="50">
        <v>0</v>
      </c>
      <c r="JJ41" s="50">
        <v>0.11722</v>
      </c>
      <c r="JK41" s="44">
        <v>0.77873999999999999</v>
      </c>
      <c r="JL41" s="50">
        <v>0</v>
      </c>
      <c r="JM41" s="50">
        <v>0.77873999999999999</v>
      </c>
      <c r="JN41" s="44">
        <v>7.5117000000000003E-2</v>
      </c>
      <c r="JO41" s="50">
        <v>0</v>
      </c>
      <c r="JP41" s="50">
        <v>7.5117000000000003E-2</v>
      </c>
      <c r="JQ41" s="44">
        <v>0.12565000000000001</v>
      </c>
      <c r="JR41" s="50">
        <v>0</v>
      </c>
      <c r="JS41" s="50">
        <v>0.12565000000000001</v>
      </c>
      <c r="JT41" s="44">
        <v>6.3089000000000006E-2</v>
      </c>
      <c r="JU41" s="50">
        <v>0</v>
      </c>
      <c r="JV41" s="50">
        <v>6.3089000000000006E-2</v>
      </c>
      <c r="JW41" s="44">
        <v>8.9399999999999993E-2</v>
      </c>
      <c r="JX41" s="50">
        <v>0</v>
      </c>
      <c r="JY41" s="50">
        <v>8.9399999999999993E-2</v>
      </c>
      <c r="JZ41" s="44">
        <v>0.24170900000000001</v>
      </c>
      <c r="KA41" s="50">
        <v>0</v>
      </c>
      <c r="KB41" s="50">
        <v>0.24170900000000001</v>
      </c>
      <c r="KC41" s="44">
        <v>3.5310000000000001E-2</v>
      </c>
      <c r="KD41" s="50">
        <v>0</v>
      </c>
      <c r="KE41" s="50">
        <v>3.5310000000000001E-2</v>
      </c>
      <c r="KF41" s="44">
        <f t="shared" si="73"/>
        <v>1.9016339999999998</v>
      </c>
      <c r="KG41" s="50">
        <f t="shared" si="73"/>
        <v>0</v>
      </c>
      <c r="KH41" s="50">
        <f t="shared" si="4"/>
        <v>1.9016339999999998</v>
      </c>
      <c r="KI41" s="44"/>
      <c r="KJ41" s="44">
        <v>6.0227999999999997E-2</v>
      </c>
      <c r="KK41" s="50">
        <v>0</v>
      </c>
      <c r="KL41" s="50">
        <v>6.0227999999999997E-2</v>
      </c>
      <c r="KM41" s="44">
        <v>0.17930299999999999</v>
      </c>
      <c r="KN41" s="50">
        <v>0</v>
      </c>
      <c r="KO41" s="50">
        <v>0.17930299999999999</v>
      </c>
      <c r="KP41" s="44">
        <v>0.165295</v>
      </c>
      <c r="KQ41" s="50">
        <v>0</v>
      </c>
      <c r="KR41" s="50">
        <v>0.165295</v>
      </c>
      <c r="KS41" s="50">
        <v>0.14090900000000001</v>
      </c>
      <c r="KT41" s="50">
        <v>0</v>
      </c>
      <c r="KU41" s="50">
        <v>0.14090900000000001</v>
      </c>
      <c r="KV41" s="44">
        <v>0.102491</v>
      </c>
      <c r="KW41" s="50">
        <v>0</v>
      </c>
      <c r="KX41" s="50">
        <v>0.102491</v>
      </c>
      <c r="KY41" s="44">
        <v>0.20449100000000001</v>
      </c>
      <c r="KZ41" s="50">
        <v>0</v>
      </c>
      <c r="LA41" s="50">
        <v>0.20449100000000001</v>
      </c>
      <c r="LB41" s="44">
        <v>2.068E-2</v>
      </c>
      <c r="LC41" s="50">
        <v>0</v>
      </c>
      <c r="LD41" s="50">
        <v>2.068E-2</v>
      </c>
      <c r="LE41" s="44">
        <v>1.4319E-2</v>
      </c>
      <c r="LF41" s="44">
        <v>0</v>
      </c>
      <c r="LG41" s="44">
        <v>1.4319E-2</v>
      </c>
      <c r="LH41" s="44">
        <v>7.2053000000000006E-2</v>
      </c>
      <c r="LI41" s="50">
        <v>0</v>
      </c>
      <c r="LJ41" s="50">
        <v>7.2053000000000006E-2</v>
      </c>
      <c r="LK41" s="44">
        <v>0.213504</v>
      </c>
      <c r="LL41" s="50">
        <v>0</v>
      </c>
      <c r="LM41" s="50">
        <v>0.213504</v>
      </c>
      <c r="LN41" s="44">
        <v>8.7375999999999995E-2</v>
      </c>
      <c r="LO41" s="50">
        <v>0</v>
      </c>
      <c r="LP41" s="50">
        <v>8.7375999999999995E-2</v>
      </c>
      <c r="LQ41" s="44">
        <v>0.17963699999999999</v>
      </c>
      <c r="LR41" s="50">
        <v>0</v>
      </c>
      <c r="LS41" s="50">
        <v>0.17963699999999999</v>
      </c>
      <c r="LT41" s="44">
        <f t="shared" si="58"/>
        <v>1.440286</v>
      </c>
      <c r="LU41" s="50">
        <f t="shared" si="58"/>
        <v>0</v>
      </c>
      <c r="LV41" s="50">
        <f t="shared" si="58"/>
        <v>1.440286</v>
      </c>
      <c r="LW41" s="50"/>
      <c r="LX41" s="44">
        <v>6.2258000000000001E-2</v>
      </c>
      <c r="LY41" s="50">
        <v>0</v>
      </c>
      <c r="LZ41" s="50">
        <v>6.2258000000000001E-2</v>
      </c>
      <c r="MA41" s="44">
        <v>4.4086E-2</v>
      </c>
      <c r="MB41" s="50">
        <v>0</v>
      </c>
      <c r="MC41" s="50">
        <v>4.4086E-2</v>
      </c>
      <c r="MD41" s="44">
        <v>0.5261300000000001</v>
      </c>
      <c r="ME41" s="50">
        <v>0</v>
      </c>
      <c r="MF41" s="50">
        <v>0.5261300000000001</v>
      </c>
      <c r="MG41" s="44">
        <v>6.6876000000000005E-2</v>
      </c>
      <c r="MH41" s="50">
        <v>0</v>
      </c>
      <c r="MI41" s="50">
        <v>6.6876000000000005E-2</v>
      </c>
      <c r="MJ41" s="44">
        <v>9.4571000000000002E-2</v>
      </c>
      <c r="MK41" s="50">
        <v>0</v>
      </c>
      <c r="ML41" s="50">
        <v>9.4571000000000002E-2</v>
      </c>
      <c r="MM41" s="44">
        <v>0.199542</v>
      </c>
      <c r="MN41" s="50">
        <v>0</v>
      </c>
      <c r="MO41" s="50">
        <v>0.199542</v>
      </c>
      <c r="MP41" s="44"/>
      <c r="MQ41" s="50"/>
      <c r="MR41" s="50"/>
      <c r="MS41" s="44">
        <v>9.1369999999999993E-3</v>
      </c>
      <c r="MT41" s="50">
        <v>0</v>
      </c>
      <c r="MU41" s="50">
        <v>9.1369999999999993E-3</v>
      </c>
      <c r="MV41" s="44">
        <v>7.4664999999999995E-2</v>
      </c>
      <c r="MW41" s="50">
        <v>0</v>
      </c>
      <c r="MX41" s="50">
        <v>7.4664999999999995E-2</v>
      </c>
      <c r="MY41" s="44">
        <v>0.20500399999999999</v>
      </c>
      <c r="MZ41" s="50">
        <v>0</v>
      </c>
      <c r="NA41" s="50">
        <v>0.20500399999999999</v>
      </c>
      <c r="NB41" s="44">
        <v>0.178281</v>
      </c>
      <c r="NC41" s="50">
        <v>0</v>
      </c>
      <c r="ND41" s="50">
        <v>0.178281</v>
      </c>
      <c r="NE41" s="44">
        <v>5.5874E-2</v>
      </c>
      <c r="NF41" s="50"/>
      <c r="NG41" s="50">
        <v>5.5874E-2</v>
      </c>
      <c r="NH41" s="44">
        <f t="shared" si="74"/>
        <v>1.516424</v>
      </c>
      <c r="NI41" s="50">
        <f t="shared" si="74"/>
        <v>0</v>
      </c>
      <c r="NJ41" s="50">
        <f t="shared" si="76"/>
        <v>1.516424</v>
      </c>
      <c r="NK41" s="50"/>
      <c r="NL41" s="50">
        <v>8.1850000000000006E-2</v>
      </c>
      <c r="NM41" s="50">
        <v>0</v>
      </c>
      <c r="NN41" s="50">
        <v>8.1850000000000006E-2</v>
      </c>
      <c r="NO41" s="50">
        <v>4.5546000000000003E-2</v>
      </c>
      <c r="NP41" s="50"/>
      <c r="NQ41" s="50">
        <v>4.5546000000000003E-2</v>
      </c>
      <c r="NR41" s="50">
        <v>8.8204000000000005E-2</v>
      </c>
      <c r="NS41" s="50"/>
      <c r="NT41" s="50">
        <v>8.8204000000000005E-2</v>
      </c>
      <c r="NU41" s="50">
        <v>4.3378E-2</v>
      </c>
      <c r="NV41" s="50"/>
      <c r="NW41" s="50">
        <v>4.3378E-2</v>
      </c>
      <c r="NX41" s="50">
        <v>0.104908</v>
      </c>
      <c r="NY41" s="50"/>
      <c r="NZ41" s="50">
        <v>0.104908</v>
      </c>
      <c r="OA41" s="50">
        <v>0.32877400000000001</v>
      </c>
      <c r="OB41" s="50"/>
      <c r="OC41" s="50">
        <v>0.32877400000000001</v>
      </c>
      <c r="OD41" s="50">
        <v>3.3373E-2</v>
      </c>
      <c r="OE41" s="50"/>
      <c r="OF41" s="50">
        <v>3.3373E-2</v>
      </c>
      <c r="OG41" s="94">
        <v>6.7390000000000005E-2</v>
      </c>
      <c r="OH41" s="50"/>
      <c r="OI41" s="94">
        <v>6.7390000000000005E-2</v>
      </c>
      <c r="OJ41" s="50">
        <v>0.50329400000000002</v>
      </c>
      <c r="OK41" s="50"/>
      <c r="OL41" s="50">
        <v>0.50329400000000002</v>
      </c>
      <c r="OM41" s="50">
        <v>3.5409999999999997E-2</v>
      </c>
      <c r="ON41" s="50"/>
      <c r="OO41" s="50">
        <v>3.5409999999999997E-2</v>
      </c>
      <c r="OP41" s="50">
        <v>0.118701</v>
      </c>
      <c r="OQ41" s="50"/>
      <c r="OR41" s="50">
        <v>0.118701</v>
      </c>
      <c r="OS41" s="50">
        <v>9.8795999999999995E-2</v>
      </c>
      <c r="OT41" s="50"/>
      <c r="OU41" s="50">
        <v>9.8795999999999995E-2</v>
      </c>
      <c r="OV41" s="44">
        <f t="shared" si="75"/>
        <v>1.5496240000000001</v>
      </c>
      <c r="OW41" s="50">
        <f t="shared" si="75"/>
        <v>0</v>
      </c>
      <c r="OX41" s="50">
        <f t="shared" si="9"/>
        <v>1.5496240000000001</v>
      </c>
      <c r="OY41" s="50">
        <v>0</v>
      </c>
      <c r="OZ41" s="50">
        <v>5.2482000000000292E-2</v>
      </c>
      <c r="PA41" s="50"/>
      <c r="PB41" s="50">
        <v>5.2482000000000292E-2</v>
      </c>
      <c r="PC41" s="50">
        <v>9.4740000000000005E-2</v>
      </c>
      <c r="PD41" s="50"/>
      <c r="PE41" s="50">
        <v>9.4740000000000005E-2</v>
      </c>
      <c r="PF41" s="85">
        <v>0.10152799999999999</v>
      </c>
      <c r="PG41" s="50"/>
      <c r="PH41" s="50">
        <v>0.10152799999999999</v>
      </c>
      <c r="PI41" s="85">
        <v>5.5990999999999999E-2</v>
      </c>
      <c r="PJ41" s="50"/>
      <c r="PK41" s="50">
        <v>5.5990999999999999E-2</v>
      </c>
      <c r="PL41" s="50">
        <v>0.25240699999999999</v>
      </c>
      <c r="PM41" s="50"/>
      <c r="PN41" s="50">
        <v>0.25240699999999999</v>
      </c>
      <c r="PO41" s="50">
        <v>0.153667</v>
      </c>
      <c r="PP41" s="50"/>
      <c r="PQ41" s="50">
        <v>0.153667</v>
      </c>
      <c r="PR41" s="50">
        <v>3.9959000000000001E-2</v>
      </c>
      <c r="PS41" s="50"/>
      <c r="PT41" s="50">
        <v>3.9959000000000001E-2</v>
      </c>
      <c r="PU41" s="50">
        <v>3.4028000000000003E-2</v>
      </c>
      <c r="PV41" s="50"/>
      <c r="PW41" s="50">
        <v>3.4028000000000003E-2</v>
      </c>
      <c r="PX41" s="50">
        <v>0.109181</v>
      </c>
      <c r="PY41" s="50"/>
      <c r="PZ41" s="50">
        <v>0.109181</v>
      </c>
      <c r="QA41" s="50">
        <v>0.121283</v>
      </c>
      <c r="QB41" s="50"/>
      <c r="QC41" s="50">
        <v>0.121283</v>
      </c>
      <c r="QD41" s="50">
        <v>0.25114399999999998</v>
      </c>
      <c r="QE41" s="50"/>
      <c r="QF41" s="50">
        <v>0.25114399999999998</v>
      </c>
      <c r="QG41" s="50">
        <v>4.7760999999999998E-2</v>
      </c>
      <c r="QH41" s="50"/>
      <c r="QI41" s="50">
        <v>4.7760999999999998E-2</v>
      </c>
      <c r="QJ41" s="44">
        <f t="shared" si="38"/>
        <v>1.3141710000000002</v>
      </c>
      <c r="QK41" s="50">
        <f t="shared" si="39"/>
        <v>0</v>
      </c>
      <c r="QL41" s="50">
        <f t="shared" si="40"/>
        <v>1.3141710000000002</v>
      </c>
      <c r="QM41" s="50"/>
      <c r="QN41" s="50">
        <v>5.3551000000000001E-2</v>
      </c>
      <c r="QO41" s="50"/>
      <c r="QP41" s="50">
        <v>5.3551000000000001E-2</v>
      </c>
      <c r="QQ41" s="50">
        <v>9.2682E-2</v>
      </c>
      <c r="QR41" s="50"/>
      <c r="QS41" s="50">
        <v>9.2682E-2</v>
      </c>
      <c r="QT41" s="50">
        <v>7.4235999999999996E-2</v>
      </c>
      <c r="QU41" s="50"/>
      <c r="QV41" s="50">
        <v>7.4235999999999996E-2</v>
      </c>
      <c r="QW41" s="50">
        <v>0.13789899999999999</v>
      </c>
      <c r="QX41" s="50"/>
      <c r="QY41" s="50">
        <v>0.13789899999999999</v>
      </c>
      <c r="QZ41" s="50">
        <v>8.7997000000000006E-2</v>
      </c>
      <c r="RA41" s="50"/>
      <c r="RB41" s="50">
        <v>8.7997000000000006E-2</v>
      </c>
      <c r="RC41" s="50">
        <v>0.22056999999999999</v>
      </c>
      <c r="RD41" s="50"/>
      <c r="RE41" s="50">
        <v>0.22056999999999999</v>
      </c>
      <c r="RF41" s="50">
        <v>5.7439999999999998E-2</v>
      </c>
      <c r="RG41" s="50"/>
      <c r="RH41" s="50">
        <v>5.7439999999999998E-2</v>
      </c>
      <c r="RI41" s="50">
        <v>5.1665999999999997E-2</v>
      </c>
      <c r="RJ41" s="50"/>
      <c r="RK41" s="50">
        <v>5.1665999999999997E-2</v>
      </c>
      <c r="RL41" s="50">
        <v>5.2174999999999999E-2</v>
      </c>
      <c r="RM41" s="50"/>
      <c r="RN41" s="50">
        <v>5.2174999999999999E-2</v>
      </c>
      <c r="RO41" s="50">
        <v>0.20985699999999999</v>
      </c>
      <c r="RP41" s="50"/>
      <c r="RQ41" s="50">
        <v>0.20985699999999999</v>
      </c>
      <c r="RR41" s="50">
        <v>5.8022999999999998E-2</v>
      </c>
      <c r="RS41" s="50"/>
      <c r="RT41" s="50">
        <v>5.8022999999999998E-2</v>
      </c>
      <c r="RU41" s="50">
        <v>0.14330399999999999</v>
      </c>
      <c r="RV41" s="50"/>
      <c r="RW41" s="50">
        <v>0.14330399999999999</v>
      </c>
      <c r="RX41" s="44">
        <f t="shared" si="41"/>
        <v>1.2393999999999998</v>
      </c>
      <c r="RY41" s="50">
        <f t="shared" si="42"/>
        <v>0</v>
      </c>
      <c r="RZ41" s="50">
        <f t="shared" si="43"/>
        <v>1.2393999999999998</v>
      </c>
      <c r="SA41" s="50"/>
      <c r="SB41" s="50">
        <v>1.0449999999999999E-3</v>
      </c>
      <c r="SC41" s="50"/>
      <c r="SD41" s="50">
        <v>1.0449999999999999E-3</v>
      </c>
      <c r="SE41" s="50">
        <v>2.8195000000000001E-2</v>
      </c>
      <c r="SF41" s="50"/>
      <c r="SG41" s="50">
        <v>2.8195000000000001E-2</v>
      </c>
      <c r="SH41" s="50">
        <v>0.113512</v>
      </c>
      <c r="SI41" s="50"/>
      <c r="SJ41" s="50">
        <v>0.113512</v>
      </c>
      <c r="SK41" s="50">
        <v>0.15681200000000001</v>
      </c>
      <c r="SL41" s="50"/>
      <c r="SM41" s="50">
        <v>0.15681200000000001</v>
      </c>
      <c r="SN41" s="50">
        <v>0.182782</v>
      </c>
      <c r="SO41" s="50"/>
      <c r="SP41" s="50">
        <v>0.182782</v>
      </c>
      <c r="SQ41" s="50">
        <v>0.15125</v>
      </c>
      <c r="SR41" s="50"/>
      <c r="SS41" s="50">
        <v>0.15125</v>
      </c>
      <c r="ST41" s="50">
        <v>0.13467899999999999</v>
      </c>
      <c r="SU41" s="50"/>
      <c r="SV41" s="50">
        <v>0.13467899999999999</v>
      </c>
      <c r="SW41" s="50">
        <v>3.9300000000000002E-2</v>
      </c>
      <c r="SX41" s="50"/>
      <c r="SY41" s="50">
        <v>3.9300000000000002E-2</v>
      </c>
      <c r="SZ41" s="50">
        <v>4.1472000000000002E-2</v>
      </c>
      <c r="TA41" s="50"/>
      <c r="TB41" s="50">
        <v>4.1472000000000002E-2</v>
      </c>
      <c r="TC41" s="50">
        <v>0.11505899999999999</v>
      </c>
      <c r="TD41" s="50"/>
      <c r="TE41" s="50">
        <v>0.11505899999999999</v>
      </c>
      <c r="TF41" s="50">
        <v>0.10738200000000001</v>
      </c>
      <c r="TG41" s="50"/>
      <c r="TH41" s="50">
        <v>0.10738200000000001</v>
      </c>
      <c r="TI41" s="50">
        <v>4.9639999999999997E-2</v>
      </c>
      <c r="TJ41" s="50"/>
      <c r="TK41" s="50">
        <v>4.9639999999999997E-2</v>
      </c>
      <c r="TL41" s="44">
        <f t="shared" si="45"/>
        <v>1.1211279999999999</v>
      </c>
      <c r="TM41" s="50">
        <f t="shared" si="46"/>
        <v>0</v>
      </c>
      <c r="TN41" s="50">
        <f t="shared" si="47"/>
        <v>1.1211279999999999</v>
      </c>
      <c r="TO41" s="50">
        <v>8.1239999999999993E-3</v>
      </c>
      <c r="TP41" s="50"/>
      <c r="TQ41" s="50">
        <v>8.1239999999999993E-3</v>
      </c>
      <c r="TR41" s="50">
        <v>1.6813000000000002E-2</v>
      </c>
      <c r="TS41" s="50"/>
      <c r="TT41" s="50">
        <v>1.6813000000000002E-2</v>
      </c>
      <c r="TU41" s="50">
        <v>0.21510099999999999</v>
      </c>
      <c r="TV41" s="50"/>
      <c r="TW41" s="50">
        <v>0.21510099999999999</v>
      </c>
      <c r="TX41" s="50">
        <f t="shared" si="49"/>
        <v>0.116262</v>
      </c>
      <c r="TY41" s="50"/>
      <c r="TZ41" s="50">
        <v>0.116262</v>
      </c>
      <c r="UA41" s="50"/>
      <c r="UB41" s="50"/>
      <c r="UC41" s="50"/>
      <c r="UD41" s="50"/>
      <c r="UE41" s="50"/>
      <c r="UF41" s="50"/>
      <c r="UG41" s="50"/>
      <c r="UH41" s="50"/>
      <c r="UI41" s="50"/>
      <c r="UJ41" s="50"/>
      <c r="UK41" s="50"/>
      <c r="UL41" s="50"/>
      <c r="UM41" s="50"/>
      <c r="UN41" s="50"/>
      <c r="UO41" s="50"/>
      <c r="UP41" s="50"/>
      <c r="UQ41" s="50"/>
      <c r="UR41" s="50"/>
      <c r="US41" s="50"/>
      <c r="UT41" s="50"/>
      <c r="UU41" s="50"/>
      <c r="UV41" s="50"/>
      <c r="UW41" s="50"/>
      <c r="UX41" s="50"/>
      <c r="UY41" s="292">
        <f t="shared" si="50"/>
        <v>0.299564</v>
      </c>
      <c r="UZ41" s="276">
        <f t="shared" si="51"/>
        <v>0</v>
      </c>
      <c r="VA41" s="276">
        <f t="shared" si="52"/>
        <v>0.299564</v>
      </c>
      <c r="VB41" s="292">
        <f t="shared" si="53"/>
        <v>0.35630000000000001</v>
      </c>
      <c r="VC41" s="276">
        <f t="shared" si="54"/>
        <v>0</v>
      </c>
      <c r="VD41" s="276">
        <f t="shared" si="55"/>
        <v>0.35630000000000001</v>
      </c>
      <c r="VE41" s="277">
        <f t="shared" si="56"/>
        <v>5.6736000000000009E-2</v>
      </c>
      <c r="VF41" s="277">
        <f>VD41/VA41*100-100</f>
        <v>18.939525443644769</v>
      </c>
    </row>
    <row r="42" spans="1:578" s="12" customFormat="1" ht="20.5">
      <c r="A42" s="46" t="s">
        <v>150</v>
      </c>
      <c r="B42" s="13">
        <v>6000</v>
      </c>
      <c r="C42" s="46" t="s">
        <v>151</v>
      </c>
      <c r="D42" s="42">
        <v>60.321460890945417</v>
      </c>
      <c r="E42" s="42">
        <v>80.250498005133721</v>
      </c>
      <c r="F42" s="42">
        <v>76.013370726404517</v>
      </c>
      <c r="G42" s="42">
        <v>123.57601834935485</v>
      </c>
      <c r="H42" s="42">
        <v>9.8737727730633296</v>
      </c>
      <c r="I42" s="42">
        <v>12.595917211626571</v>
      </c>
      <c r="J42" s="42">
        <v>13.145023363555131</v>
      </c>
      <c r="K42" s="42">
        <v>12.460896636900188</v>
      </c>
      <c r="L42" s="42">
        <v>10.720475409929369</v>
      </c>
      <c r="M42" s="42">
        <v>10.798867109464375</v>
      </c>
      <c r="N42" s="42">
        <v>9.1131382291506586</v>
      </c>
      <c r="O42" s="42">
        <v>8.7313845681014897</v>
      </c>
      <c r="P42" s="42">
        <v>10.170726119942403</v>
      </c>
      <c r="Q42" s="42">
        <v>10.457020734088026</v>
      </c>
      <c r="R42" s="42">
        <v>11.100581385421824</v>
      </c>
      <c r="S42" s="42">
        <v>11.830885993819043</v>
      </c>
      <c r="T42" s="44" t="s">
        <v>46</v>
      </c>
      <c r="U42" s="44" t="s">
        <v>46</v>
      </c>
      <c r="V42" s="42">
        <v>130.99868953506243</v>
      </c>
      <c r="W42" s="42">
        <v>130.84235149486915</v>
      </c>
      <c r="X42" s="42">
        <v>8.6574293828720386</v>
      </c>
      <c r="Y42" s="42">
        <v>9.4358000239042479</v>
      </c>
      <c r="Z42" s="42">
        <v>10.280455148234784</v>
      </c>
      <c r="AA42" s="42">
        <v>10.18601060893222</v>
      </c>
      <c r="AB42" s="42">
        <v>8.7039274107717084</v>
      </c>
      <c r="AC42" s="42">
        <v>7.8306953289964198</v>
      </c>
      <c r="AD42" s="42">
        <v>6.9541863734412441</v>
      </c>
      <c r="AE42" s="42">
        <v>6.9795576006966389</v>
      </c>
      <c r="AF42" s="42">
        <v>6.4100858845424904</v>
      </c>
      <c r="AG42" s="42">
        <v>7.7730448318450094</v>
      </c>
      <c r="AH42" s="42">
        <v>8.0560853381597148</v>
      </c>
      <c r="AI42" s="42">
        <v>10.00640576889147</v>
      </c>
      <c r="AJ42" s="42">
        <v>0</v>
      </c>
      <c r="AK42" s="42">
        <v>0</v>
      </c>
      <c r="AL42" s="42">
        <v>101.27368370128799</v>
      </c>
      <c r="AM42" s="42">
        <v>101.17619421631066</v>
      </c>
      <c r="AN42" s="42">
        <v>7.7587648903534987</v>
      </c>
      <c r="AO42" s="42">
        <v>8.6873296111006759</v>
      </c>
      <c r="AP42" s="42">
        <v>8.7892541875117409</v>
      </c>
      <c r="AQ42" s="42">
        <v>8.3975261950700339</v>
      </c>
      <c r="AR42" s="42">
        <v>7.844885629563862</v>
      </c>
      <c r="AS42" s="42">
        <v>6.5424869522654969</v>
      </c>
      <c r="AT42" s="42">
        <v>6.1346591652864806</v>
      </c>
      <c r="AU42" s="42">
        <v>5.8659242121558783</v>
      </c>
      <c r="AV42" s="42">
        <v>5.9227878611960092</v>
      </c>
      <c r="AW42" s="42">
        <v>6.7522552518198529</v>
      </c>
      <c r="AX42" s="42">
        <v>7.0662773689392777</v>
      </c>
      <c r="AY42" s="42">
        <v>8.6234825072139607</v>
      </c>
      <c r="AZ42" s="44" t="s">
        <v>46</v>
      </c>
      <c r="BA42" s="44" t="s">
        <v>46</v>
      </c>
      <c r="BB42" s="42">
        <v>88.385633832476771</v>
      </c>
      <c r="BC42" s="42">
        <v>88.298684981872611</v>
      </c>
      <c r="BD42" s="49" t="s">
        <v>46</v>
      </c>
      <c r="BE42" s="49" t="s">
        <v>46</v>
      </c>
      <c r="BF42" s="49">
        <f>BF43+BF44</f>
        <v>7.0094479999999999</v>
      </c>
      <c r="BG42" s="49" t="s">
        <v>46</v>
      </c>
      <c r="BH42" s="49" t="s">
        <v>46</v>
      </c>
      <c r="BI42" s="44">
        <f>BI43+BI44</f>
        <v>8.6130410000000008</v>
      </c>
      <c r="BJ42" s="49" t="s">
        <v>46</v>
      </c>
      <c r="BK42" s="49" t="s">
        <v>46</v>
      </c>
      <c r="BL42" s="44">
        <f>BL43+BL44</f>
        <v>7.8998470000000003</v>
      </c>
      <c r="BM42" s="49" t="s">
        <v>46</v>
      </c>
      <c r="BN42" s="49" t="s">
        <v>46</v>
      </c>
      <c r="BO42" s="44">
        <f>BO43+BO44</f>
        <v>8.0606100000000005</v>
      </c>
      <c r="BP42" s="49" t="s">
        <v>46</v>
      </c>
      <c r="BQ42" s="49" t="s">
        <v>46</v>
      </c>
      <c r="BR42" s="44">
        <f>BR43+BR44</f>
        <v>7.1964269999999999</v>
      </c>
      <c r="BS42" s="49" t="s">
        <v>46</v>
      </c>
      <c r="BT42" s="49" t="s">
        <v>46</v>
      </c>
      <c r="BU42" s="44">
        <f>BU43+BU44</f>
        <v>5.9949599999999998</v>
      </c>
      <c r="BV42" s="49" t="s">
        <v>46</v>
      </c>
      <c r="BW42" s="49" t="s">
        <v>46</v>
      </c>
      <c r="BX42" s="44">
        <f>BX43+BX44</f>
        <v>6.079574</v>
      </c>
      <c r="BY42" s="49" t="s">
        <v>46</v>
      </c>
      <c r="BZ42" s="49" t="s">
        <v>46</v>
      </c>
      <c r="CA42" s="44">
        <f>CA43+CA44</f>
        <v>5.9909499999999998</v>
      </c>
      <c r="CB42" s="49" t="s">
        <v>46</v>
      </c>
      <c r="CC42" s="49" t="s">
        <v>46</v>
      </c>
      <c r="CD42" s="44">
        <f>CD43+CD44</f>
        <v>5.6996409999999997</v>
      </c>
      <c r="CE42" s="49" t="s">
        <v>46</v>
      </c>
      <c r="CF42" s="49" t="s">
        <v>46</v>
      </c>
      <c r="CG42" s="44">
        <f>CG43+CG44</f>
        <v>6.234477</v>
      </c>
      <c r="CH42" s="49" t="s">
        <v>46</v>
      </c>
      <c r="CI42" s="49" t="s">
        <v>46</v>
      </c>
      <c r="CJ42" s="44">
        <f>CJ43+CJ44</f>
        <v>6.4520400000000002</v>
      </c>
      <c r="CK42" s="49" t="s">
        <v>46</v>
      </c>
      <c r="CL42" s="49" t="s">
        <v>46</v>
      </c>
      <c r="CM42" s="44">
        <f>CM43+CM44</f>
        <v>8.1902279999999994</v>
      </c>
      <c r="CN42" s="50"/>
      <c r="CO42" s="50"/>
      <c r="CP42" s="50">
        <f t="shared" si="21"/>
        <v>83.421243000000004</v>
      </c>
      <c r="CQ42" s="52">
        <f>CQ43+CQ44</f>
        <v>83.055109999999999</v>
      </c>
      <c r="CR42" s="49" t="s">
        <v>46</v>
      </c>
      <c r="CS42" s="49" t="s">
        <v>46</v>
      </c>
      <c r="CT42" s="44">
        <f>CT43+CT44</f>
        <v>6.5566779999999998</v>
      </c>
      <c r="CU42" s="49" t="s">
        <v>46</v>
      </c>
      <c r="CV42" s="49" t="s">
        <v>46</v>
      </c>
      <c r="CW42" s="44">
        <v>6.9369199999999998</v>
      </c>
      <c r="CX42" s="49" t="s">
        <v>46</v>
      </c>
      <c r="CY42" s="49" t="s">
        <v>46</v>
      </c>
      <c r="CZ42" s="44">
        <v>7.6436229999999998</v>
      </c>
      <c r="DA42" s="49" t="s">
        <v>46</v>
      </c>
      <c r="DB42" s="49" t="s">
        <v>46</v>
      </c>
      <c r="DC42" s="44">
        <v>7.3360130000000003</v>
      </c>
      <c r="DD42" s="49" t="s">
        <v>46</v>
      </c>
      <c r="DE42" s="49" t="s">
        <v>46</v>
      </c>
      <c r="DF42" s="44">
        <v>6.1639590000000002</v>
      </c>
      <c r="DG42" s="49" t="s">
        <v>46</v>
      </c>
      <c r="DH42" s="49" t="s">
        <v>46</v>
      </c>
      <c r="DI42" s="44">
        <v>5.6660630000000003</v>
      </c>
      <c r="DJ42" s="49" t="s">
        <v>46</v>
      </c>
      <c r="DK42" s="49" t="s">
        <v>46</v>
      </c>
      <c r="DL42" s="44">
        <v>5.28749</v>
      </c>
      <c r="DM42" s="49" t="s">
        <v>46</v>
      </c>
      <c r="DN42" s="49" t="s">
        <v>46</v>
      </c>
      <c r="DO42" s="44">
        <v>5.0807279999999997</v>
      </c>
      <c r="DP42" s="49" t="s">
        <v>46</v>
      </c>
      <c r="DQ42" s="49" t="s">
        <v>46</v>
      </c>
      <c r="DR42" s="44">
        <v>5.0856349999999999</v>
      </c>
      <c r="DS42" s="49" t="s">
        <v>46</v>
      </c>
      <c r="DT42" s="49" t="s">
        <v>46</v>
      </c>
      <c r="DU42" s="44">
        <v>6.0250190000000003</v>
      </c>
      <c r="DV42" s="49" t="s">
        <v>46</v>
      </c>
      <c r="DW42" s="49" t="s">
        <v>46</v>
      </c>
      <c r="DX42" s="44">
        <v>6.0948359999999999</v>
      </c>
      <c r="DY42" s="49" t="s">
        <v>46</v>
      </c>
      <c r="DZ42" s="49" t="s">
        <v>46</v>
      </c>
      <c r="EA42" s="44">
        <v>7.5962769999999997</v>
      </c>
      <c r="EB42" s="49" t="s">
        <v>46</v>
      </c>
      <c r="EC42" s="49" t="s">
        <v>46</v>
      </c>
      <c r="ED42" s="44">
        <f t="shared" si="24"/>
        <v>75.473241000000002</v>
      </c>
      <c r="EE42" s="140">
        <f>EE43+EE44</f>
        <v>75.200012999999998</v>
      </c>
      <c r="EF42" s="44" t="s">
        <v>46</v>
      </c>
      <c r="EG42" s="44" t="s">
        <v>46</v>
      </c>
      <c r="EH42" s="44">
        <v>6.0776890000000003</v>
      </c>
      <c r="EI42" s="44" t="s">
        <v>46</v>
      </c>
      <c r="EJ42" s="44" t="s">
        <v>46</v>
      </c>
      <c r="EK42" s="44">
        <v>7.3983939999999997</v>
      </c>
      <c r="EL42" s="44" t="s">
        <v>46</v>
      </c>
      <c r="EM42" s="44" t="s">
        <v>46</v>
      </c>
      <c r="EN42" s="44">
        <v>7.7701989999999999</v>
      </c>
      <c r="EO42" s="44" t="s">
        <v>46</v>
      </c>
      <c r="EP42" s="44" t="s">
        <v>46</v>
      </c>
      <c r="EQ42" s="44">
        <v>7.9013920000000004</v>
      </c>
      <c r="ER42" s="44" t="s">
        <v>46</v>
      </c>
      <c r="ES42" s="44" t="s">
        <v>46</v>
      </c>
      <c r="ET42" s="44">
        <v>7.3487039999999997</v>
      </c>
      <c r="EU42" s="44" t="s">
        <v>46</v>
      </c>
      <c r="EV42" s="44" t="s">
        <v>46</v>
      </c>
      <c r="EW42" s="44">
        <v>6.299391</v>
      </c>
      <c r="EX42" s="44" t="s">
        <v>46</v>
      </c>
      <c r="EY42" s="44" t="s">
        <v>46</v>
      </c>
      <c r="EZ42" s="44">
        <v>5.9759549999999999</v>
      </c>
      <c r="FA42" s="44" t="s">
        <v>46</v>
      </c>
      <c r="FB42" s="44" t="s">
        <v>46</v>
      </c>
      <c r="FC42" s="44">
        <v>5.7161429999999998</v>
      </c>
      <c r="FD42" s="44" t="s">
        <v>46</v>
      </c>
      <c r="FE42" s="44" t="s">
        <v>46</v>
      </c>
      <c r="FF42" s="44">
        <v>6.0058069999999999</v>
      </c>
      <c r="FG42" s="44" t="s">
        <v>46</v>
      </c>
      <c r="FH42" s="44" t="s">
        <v>46</v>
      </c>
      <c r="FI42" s="44">
        <v>6.973751</v>
      </c>
      <c r="FJ42" s="44" t="s">
        <v>46</v>
      </c>
      <c r="FK42" s="44" t="s">
        <v>46</v>
      </c>
      <c r="FL42" s="44">
        <v>7.3044500000000001</v>
      </c>
      <c r="FM42" s="44" t="s">
        <v>46</v>
      </c>
      <c r="FN42" s="44" t="s">
        <v>46</v>
      </c>
      <c r="FO42" s="44">
        <v>8.5130160000000004</v>
      </c>
      <c r="FP42" s="44" t="s">
        <v>46</v>
      </c>
      <c r="FQ42" s="44" t="s">
        <v>46</v>
      </c>
      <c r="FR42" s="44">
        <f t="shared" si="27"/>
        <v>83.284890999999988</v>
      </c>
      <c r="FS42" s="95">
        <f>FS43+FS44</f>
        <v>82.708162999999999</v>
      </c>
      <c r="FT42" s="44" t="s">
        <v>46</v>
      </c>
      <c r="FU42" s="44" t="s">
        <v>46</v>
      </c>
      <c r="FV42" s="44">
        <v>6.7440249999999997</v>
      </c>
      <c r="FW42" s="44" t="s">
        <v>46</v>
      </c>
      <c r="FX42" s="44" t="s">
        <v>46</v>
      </c>
      <c r="FY42" s="44">
        <v>7.591672</v>
      </c>
      <c r="FZ42" s="44" t="s">
        <v>46</v>
      </c>
      <c r="GA42" s="44" t="s">
        <v>46</v>
      </c>
      <c r="GB42" s="44">
        <v>8.5908080000000009</v>
      </c>
      <c r="GC42" s="44" t="s">
        <v>46</v>
      </c>
      <c r="GD42" s="44" t="s">
        <v>46</v>
      </c>
      <c r="GE42" s="44">
        <v>8.2385809999999999</v>
      </c>
      <c r="GF42" s="44" t="s">
        <v>46</v>
      </c>
      <c r="GG42" s="44" t="s">
        <v>46</v>
      </c>
      <c r="GH42" s="44">
        <v>8.1498329999999992</v>
      </c>
      <c r="GI42" s="44" t="s">
        <v>46</v>
      </c>
      <c r="GJ42" s="44" t="s">
        <v>46</v>
      </c>
      <c r="GK42" s="44">
        <v>7.0238449999999997</v>
      </c>
      <c r="GL42" s="44" t="s">
        <v>46</v>
      </c>
      <c r="GM42" s="44" t="s">
        <v>46</v>
      </c>
      <c r="GN42" s="44">
        <v>6.5818199999999996</v>
      </c>
      <c r="GO42" s="44" t="s">
        <v>46</v>
      </c>
      <c r="GP42" s="44" t="s">
        <v>46</v>
      </c>
      <c r="GQ42" s="44">
        <v>6.7710480000000004</v>
      </c>
      <c r="GR42" s="44" t="s">
        <v>46</v>
      </c>
      <c r="GS42" s="44" t="s">
        <v>46</v>
      </c>
      <c r="GT42" s="44">
        <v>6.6888909999999999</v>
      </c>
      <c r="GU42" s="44" t="s">
        <v>46</v>
      </c>
      <c r="GV42" s="44" t="s">
        <v>46</v>
      </c>
      <c r="GW42" s="44">
        <v>7.4743259999999996</v>
      </c>
      <c r="GX42" s="44" t="s">
        <v>46</v>
      </c>
      <c r="GY42" s="44" t="s">
        <v>46</v>
      </c>
      <c r="GZ42" s="44">
        <v>7.8678299999999997</v>
      </c>
      <c r="HA42" s="44" t="s">
        <v>46</v>
      </c>
      <c r="HB42" s="44" t="s">
        <v>46</v>
      </c>
      <c r="HC42" s="44">
        <v>8.7624639999999996</v>
      </c>
      <c r="HD42" s="44" t="s">
        <v>46</v>
      </c>
      <c r="HE42" s="44" t="s">
        <v>46</v>
      </c>
      <c r="HF42" s="44">
        <f t="shared" si="30"/>
        <v>90.485142999999994</v>
      </c>
      <c r="HG42" s="44">
        <f>HG43+HG44</f>
        <v>90.081864999999993</v>
      </c>
      <c r="HH42" s="44" t="s">
        <v>46</v>
      </c>
      <c r="HI42" s="44" t="s">
        <v>46</v>
      </c>
      <c r="HJ42" s="44">
        <v>7.4087800000000001</v>
      </c>
      <c r="HK42" s="44" t="s">
        <v>46</v>
      </c>
      <c r="HL42" s="44" t="s">
        <v>46</v>
      </c>
      <c r="HM42" s="44">
        <v>8.3330540000000006</v>
      </c>
      <c r="HN42" s="44" t="s">
        <v>46</v>
      </c>
      <c r="HO42" s="44" t="s">
        <v>46</v>
      </c>
      <c r="HP42" s="44">
        <v>9.3202130000000007</v>
      </c>
      <c r="HQ42" s="44" t="s">
        <v>46</v>
      </c>
      <c r="HR42" s="44" t="s">
        <v>46</v>
      </c>
      <c r="HS42" s="44">
        <v>9.0846929999999997</v>
      </c>
      <c r="HT42" s="44" t="s">
        <v>46</v>
      </c>
      <c r="HU42" s="44" t="s">
        <v>46</v>
      </c>
      <c r="HV42" s="44">
        <v>8.4049589999999998</v>
      </c>
      <c r="HW42" s="44" t="s">
        <v>46</v>
      </c>
      <c r="HX42" s="44" t="s">
        <v>46</v>
      </c>
      <c r="HY42" s="44">
        <v>7.7213960000000004</v>
      </c>
      <c r="HZ42" s="44" t="s">
        <v>46</v>
      </c>
      <c r="IA42" s="44" t="s">
        <v>46</v>
      </c>
      <c r="IB42" s="44">
        <v>7.2923850000000003</v>
      </c>
      <c r="IC42" s="44" t="s">
        <v>46</v>
      </c>
      <c r="ID42" s="44" t="s">
        <v>46</v>
      </c>
      <c r="IE42" s="44">
        <v>7.003088</v>
      </c>
      <c r="IF42" s="44" t="s">
        <v>46</v>
      </c>
      <c r="IG42" s="44" t="s">
        <v>46</v>
      </c>
      <c r="IH42" s="44">
        <v>6.9207979999999996</v>
      </c>
      <c r="II42" s="44" t="s">
        <v>46</v>
      </c>
      <c r="IJ42" s="44" t="s">
        <v>46</v>
      </c>
      <c r="IK42" s="44">
        <v>8.2141940000000009</v>
      </c>
      <c r="IL42" s="44" t="s">
        <v>46</v>
      </c>
      <c r="IM42" s="44" t="s">
        <v>46</v>
      </c>
      <c r="IN42" s="44">
        <v>8.554487</v>
      </c>
      <c r="IO42" s="44" t="s">
        <v>46</v>
      </c>
      <c r="IP42" s="44" t="s">
        <v>46</v>
      </c>
      <c r="IQ42" s="44">
        <v>9.2849419999999991</v>
      </c>
      <c r="IR42" s="44" t="s">
        <v>46</v>
      </c>
      <c r="IS42" s="44" t="s">
        <v>46</v>
      </c>
      <c r="IT42" s="50">
        <f t="shared" si="70"/>
        <v>97.542989000000006</v>
      </c>
      <c r="IU42" s="44">
        <f>IU43+IU44</f>
        <v>97.270253999999994</v>
      </c>
      <c r="IV42" s="44" t="s">
        <v>46</v>
      </c>
      <c r="IW42" s="44" t="s">
        <v>46</v>
      </c>
      <c r="IX42" s="50">
        <v>8.0691600000000001</v>
      </c>
      <c r="IY42" s="44" t="s">
        <v>46</v>
      </c>
      <c r="IZ42" s="44" t="s">
        <v>46</v>
      </c>
      <c r="JA42" s="50">
        <v>8.9098550000000003</v>
      </c>
      <c r="JB42" s="44" t="s">
        <v>46</v>
      </c>
      <c r="JC42" s="44" t="s">
        <v>46</v>
      </c>
      <c r="JD42" s="50">
        <v>9.2407319999999995</v>
      </c>
      <c r="JE42" s="44" t="s">
        <v>46</v>
      </c>
      <c r="JF42" s="44" t="s">
        <v>46</v>
      </c>
      <c r="JG42" s="50">
        <v>9.4185560000000006</v>
      </c>
      <c r="JH42" s="44" t="s">
        <v>46</v>
      </c>
      <c r="JI42" s="44" t="s">
        <v>46</v>
      </c>
      <c r="JJ42" s="50">
        <v>8.7532789999999991</v>
      </c>
      <c r="JK42" s="44" t="s">
        <v>46</v>
      </c>
      <c r="JL42" s="44" t="s">
        <v>46</v>
      </c>
      <c r="JM42" s="50">
        <v>7.6922410000000001</v>
      </c>
      <c r="JN42" s="44" t="s">
        <v>46</v>
      </c>
      <c r="JO42" s="44" t="s">
        <v>46</v>
      </c>
      <c r="JP42" s="50">
        <v>8.1449219999999993</v>
      </c>
      <c r="JQ42" s="44" t="s">
        <v>46</v>
      </c>
      <c r="JR42" s="44" t="s">
        <v>46</v>
      </c>
      <c r="JS42" s="50">
        <v>7.197578</v>
      </c>
      <c r="JT42" s="44" t="s">
        <v>46</v>
      </c>
      <c r="JU42" s="44" t="s">
        <v>46</v>
      </c>
      <c r="JV42" s="50">
        <v>7.3982840000000003</v>
      </c>
      <c r="JW42" s="44" t="s">
        <v>46</v>
      </c>
      <c r="JX42" s="44" t="s">
        <v>46</v>
      </c>
      <c r="JY42" s="50">
        <v>8.5627270000000006</v>
      </c>
      <c r="JZ42" s="44" t="s">
        <v>46</v>
      </c>
      <c r="KA42" s="44" t="s">
        <v>46</v>
      </c>
      <c r="KB42" s="50">
        <v>8.7834450000000004</v>
      </c>
      <c r="KC42" s="44" t="s">
        <v>46</v>
      </c>
      <c r="KD42" s="44" t="s">
        <v>46</v>
      </c>
      <c r="KE42" s="50">
        <v>9.6797679999999993</v>
      </c>
      <c r="KF42" s="44" t="s">
        <v>46</v>
      </c>
      <c r="KG42" s="44" t="s">
        <v>46</v>
      </c>
      <c r="KH42" s="50">
        <f t="shared" si="4"/>
        <v>101.85054699999999</v>
      </c>
      <c r="KI42" s="44">
        <f>KI43+KI44</f>
        <v>101.31110700000001</v>
      </c>
      <c r="KJ42" s="44" t="s">
        <v>46</v>
      </c>
      <c r="KK42" s="44" t="s">
        <v>46</v>
      </c>
      <c r="KL42" s="50">
        <v>9.1086489999999998</v>
      </c>
      <c r="KM42" s="44" t="s">
        <v>46</v>
      </c>
      <c r="KN42" s="44" t="s">
        <v>46</v>
      </c>
      <c r="KO42" s="50">
        <v>9.1329510000000003</v>
      </c>
      <c r="KP42" s="44" t="s">
        <v>46</v>
      </c>
      <c r="KQ42" s="44" t="s">
        <v>46</v>
      </c>
      <c r="KR42" s="50">
        <v>9.5187220000000003</v>
      </c>
      <c r="KS42" s="44" t="s">
        <v>46</v>
      </c>
      <c r="KT42" s="44" t="s">
        <v>46</v>
      </c>
      <c r="KU42" s="50">
        <v>10.048931</v>
      </c>
      <c r="KV42" s="44" t="s">
        <v>46</v>
      </c>
      <c r="KW42" s="44" t="s">
        <v>46</v>
      </c>
      <c r="KX42" s="50">
        <v>10.365788999999999</v>
      </c>
      <c r="KY42" s="44" t="s">
        <v>46</v>
      </c>
      <c r="KZ42" s="44" t="s">
        <v>46</v>
      </c>
      <c r="LA42" s="50">
        <v>8.7208070000000006</v>
      </c>
      <c r="LB42" s="44" t="s">
        <v>46</v>
      </c>
      <c r="LC42" s="44" t="s">
        <v>46</v>
      </c>
      <c r="LD42" s="50">
        <v>8.8443839999999998</v>
      </c>
      <c r="LE42" s="44"/>
      <c r="LF42" s="44"/>
      <c r="LG42" s="44">
        <v>8.2481089999999995</v>
      </c>
      <c r="LH42" s="44" t="s">
        <v>46</v>
      </c>
      <c r="LI42" s="44" t="s">
        <v>46</v>
      </c>
      <c r="LJ42" s="50">
        <v>8.7962670000000003</v>
      </c>
      <c r="LK42" s="44" t="s">
        <v>46</v>
      </c>
      <c r="LL42" s="44" t="s">
        <v>46</v>
      </c>
      <c r="LM42" s="50">
        <v>9.2439040000000006</v>
      </c>
      <c r="LN42" s="44" t="s">
        <v>46</v>
      </c>
      <c r="LO42" s="44" t="s">
        <v>46</v>
      </c>
      <c r="LP42" s="50">
        <v>9.5990610000000007</v>
      </c>
      <c r="LQ42" s="44" t="s">
        <v>46</v>
      </c>
      <c r="LR42" s="44" t="s">
        <v>46</v>
      </c>
      <c r="LS42" s="50">
        <v>10.974373999999999</v>
      </c>
      <c r="LT42" s="44" t="s">
        <v>46</v>
      </c>
      <c r="LU42" s="50" t="s">
        <v>46</v>
      </c>
      <c r="LV42" s="50">
        <f t="shared" si="58"/>
        <v>112.60194800000001</v>
      </c>
      <c r="LW42" s="44">
        <f>LW43+LW44</f>
        <v>111.943646</v>
      </c>
      <c r="LX42" s="44" t="s">
        <v>46</v>
      </c>
      <c r="LY42" s="44" t="s">
        <v>46</v>
      </c>
      <c r="LZ42" s="50">
        <v>9.1613860000000003</v>
      </c>
      <c r="MA42" s="44" t="s">
        <v>46</v>
      </c>
      <c r="MB42" s="44" t="s">
        <v>46</v>
      </c>
      <c r="MC42" s="50">
        <v>8.3835960000000007</v>
      </c>
      <c r="MD42" s="44" t="s">
        <v>46</v>
      </c>
      <c r="ME42" s="44" t="s">
        <v>46</v>
      </c>
      <c r="MF42" s="50">
        <v>14.968232</v>
      </c>
      <c r="MG42" s="44" t="s">
        <v>46</v>
      </c>
      <c r="MH42" s="44" t="s">
        <v>46</v>
      </c>
      <c r="MI42" s="50">
        <v>11.922008</v>
      </c>
      <c r="MJ42" s="44" t="s">
        <v>46</v>
      </c>
      <c r="MK42" s="44" t="s">
        <v>46</v>
      </c>
      <c r="ML42" s="50">
        <v>11.373079000000001</v>
      </c>
      <c r="MM42" s="44" t="s">
        <v>46</v>
      </c>
      <c r="MN42" s="44" t="s">
        <v>46</v>
      </c>
      <c r="MO42" s="50">
        <v>12.078851</v>
      </c>
      <c r="MP42" s="44" t="s">
        <v>46</v>
      </c>
      <c r="MQ42" s="44" t="s">
        <v>46</v>
      </c>
      <c r="MR42" s="50">
        <v>10.233051</v>
      </c>
      <c r="MS42" s="44" t="s">
        <v>46</v>
      </c>
      <c r="MT42" s="44" t="s">
        <v>46</v>
      </c>
      <c r="MU42" s="50">
        <v>11.342197000000001</v>
      </c>
      <c r="MV42" s="44" t="s">
        <v>46</v>
      </c>
      <c r="MW42" s="44" t="s">
        <v>46</v>
      </c>
      <c r="MX42" s="50">
        <v>10.678113</v>
      </c>
      <c r="MY42" s="44" t="s">
        <v>46</v>
      </c>
      <c r="MZ42" s="44" t="s">
        <v>46</v>
      </c>
      <c r="NA42" s="50">
        <v>11.115701</v>
      </c>
      <c r="NB42" s="44" t="s">
        <v>46</v>
      </c>
      <c r="NC42" s="44" t="s">
        <v>46</v>
      </c>
      <c r="ND42" s="50">
        <v>11.419855</v>
      </c>
      <c r="NE42" s="44" t="s">
        <v>46</v>
      </c>
      <c r="NF42" s="44" t="s">
        <v>46</v>
      </c>
      <c r="NG42" s="50">
        <v>13.469561000000001</v>
      </c>
      <c r="NH42" s="44" t="s">
        <v>46</v>
      </c>
      <c r="NI42" s="50" t="s">
        <v>46</v>
      </c>
      <c r="NJ42" s="50">
        <f t="shared" si="76"/>
        <v>136.14563000000001</v>
      </c>
      <c r="NK42" s="44">
        <f>NK43+NK44</f>
        <v>135.89165</v>
      </c>
      <c r="NL42" s="44" t="s">
        <v>46</v>
      </c>
      <c r="NM42" s="50" t="s">
        <v>46</v>
      </c>
      <c r="NN42" s="50">
        <v>11.356375</v>
      </c>
      <c r="NO42" s="44" t="s">
        <v>46</v>
      </c>
      <c r="NP42" s="50" t="s">
        <v>46</v>
      </c>
      <c r="NQ42" s="50">
        <v>11.533417</v>
      </c>
      <c r="NR42" s="44" t="s">
        <v>46</v>
      </c>
      <c r="NS42" s="50" t="s">
        <v>46</v>
      </c>
      <c r="NT42" s="50">
        <v>15.124461</v>
      </c>
      <c r="NU42" s="44" t="s">
        <v>46</v>
      </c>
      <c r="NV42" s="50" t="s">
        <v>46</v>
      </c>
      <c r="NW42" s="50">
        <v>18.055489000000001</v>
      </c>
      <c r="NX42" s="44" t="s">
        <v>46</v>
      </c>
      <c r="NY42" s="50" t="s">
        <v>46</v>
      </c>
      <c r="NZ42" s="50">
        <v>18.556134</v>
      </c>
      <c r="OA42" s="50" t="s">
        <v>46</v>
      </c>
      <c r="OB42" s="50" t="s">
        <v>46</v>
      </c>
      <c r="OC42" s="50">
        <v>16.120391999999999</v>
      </c>
      <c r="OD42" s="50" t="s">
        <v>46</v>
      </c>
      <c r="OE42" s="50" t="s">
        <v>46</v>
      </c>
      <c r="OF42" s="50">
        <v>14.603512</v>
      </c>
      <c r="OG42" s="50" t="s">
        <v>46</v>
      </c>
      <c r="OH42" s="50" t="s">
        <v>46</v>
      </c>
      <c r="OI42" s="50">
        <v>13.995252000000001</v>
      </c>
      <c r="OJ42" s="50" t="s">
        <v>46</v>
      </c>
      <c r="OK42" s="50" t="s">
        <v>46</v>
      </c>
      <c r="OL42" s="50">
        <v>14.697889999999999</v>
      </c>
      <c r="OM42" s="50" t="s">
        <v>46</v>
      </c>
      <c r="ON42" s="50" t="s">
        <v>46</v>
      </c>
      <c r="OO42" s="50">
        <v>21.5349</v>
      </c>
      <c r="OP42" s="50" t="s">
        <v>46</v>
      </c>
      <c r="OQ42" s="50" t="s">
        <v>46</v>
      </c>
      <c r="OR42" s="50">
        <v>22.545065999999998</v>
      </c>
      <c r="OS42" s="50" t="s">
        <v>46</v>
      </c>
      <c r="OT42" s="50" t="s">
        <v>46</v>
      </c>
      <c r="OU42" s="50">
        <v>20.519348000000001</v>
      </c>
      <c r="OV42" s="44" t="s">
        <v>46</v>
      </c>
      <c r="OW42" s="50" t="s">
        <v>46</v>
      </c>
      <c r="OX42" s="50">
        <f t="shared" si="9"/>
        <v>198.642236</v>
      </c>
      <c r="OY42" s="44">
        <f>OY43+OY44</f>
        <v>197.967637</v>
      </c>
      <c r="OZ42" s="44" t="s">
        <v>46</v>
      </c>
      <c r="PA42" s="50" t="s">
        <v>46</v>
      </c>
      <c r="PB42" s="50">
        <v>17.448578000000001</v>
      </c>
      <c r="PC42" s="44" t="s">
        <v>46</v>
      </c>
      <c r="PD42" s="50" t="s">
        <v>46</v>
      </c>
      <c r="PE42" s="50">
        <v>19.344988000000001</v>
      </c>
      <c r="PF42" s="44" t="s">
        <v>46</v>
      </c>
      <c r="PG42" s="50" t="s">
        <v>46</v>
      </c>
      <c r="PH42" s="50">
        <v>21.418530000000001</v>
      </c>
      <c r="PI42" s="44" t="s">
        <v>46</v>
      </c>
      <c r="PJ42" s="50" t="s">
        <v>46</v>
      </c>
      <c r="PK42" s="50">
        <v>20.641020999999999</v>
      </c>
      <c r="PL42" s="44" t="s">
        <v>46</v>
      </c>
      <c r="PM42" s="50" t="s">
        <v>46</v>
      </c>
      <c r="PN42" s="50">
        <v>18.775136</v>
      </c>
      <c r="PO42" s="44" t="s">
        <v>46</v>
      </c>
      <c r="PP42" s="50" t="s">
        <v>46</v>
      </c>
      <c r="PQ42" s="50">
        <v>17.140461999999999</v>
      </c>
      <c r="PR42" s="44" t="s">
        <v>46</v>
      </c>
      <c r="PS42" s="50" t="s">
        <v>46</v>
      </c>
      <c r="PT42" s="50">
        <v>16.504864000000001</v>
      </c>
      <c r="PU42" s="44" t="s">
        <v>46</v>
      </c>
      <c r="PV42" s="50" t="s">
        <v>46</v>
      </c>
      <c r="PW42" s="50">
        <v>18.671890000000001</v>
      </c>
      <c r="PX42" s="44" t="s">
        <v>46</v>
      </c>
      <c r="PY42" s="50" t="s">
        <v>46</v>
      </c>
      <c r="PZ42" s="50">
        <v>17.711617</v>
      </c>
      <c r="QA42" s="44" t="s">
        <v>46</v>
      </c>
      <c r="QB42" s="50" t="s">
        <v>46</v>
      </c>
      <c r="QC42" s="50">
        <v>17.946829999999999</v>
      </c>
      <c r="QD42" s="44" t="s">
        <v>46</v>
      </c>
      <c r="QE42" s="50" t="s">
        <v>46</v>
      </c>
      <c r="QF42" s="50">
        <v>17.762602000000001</v>
      </c>
      <c r="QG42" s="44" t="s">
        <v>46</v>
      </c>
      <c r="QH42" s="50" t="s">
        <v>46</v>
      </c>
      <c r="QI42" s="50">
        <v>18.284621000000001</v>
      </c>
      <c r="QJ42" s="44" t="s">
        <v>46</v>
      </c>
      <c r="QK42" s="50" t="s">
        <v>46</v>
      </c>
      <c r="QL42" s="50">
        <f t="shared" si="40"/>
        <v>221.651139</v>
      </c>
      <c r="QM42" s="44">
        <f>QM43+QM44</f>
        <v>219.78414100000001</v>
      </c>
      <c r="QN42" s="44" t="s">
        <v>46</v>
      </c>
      <c r="QO42" s="50" t="s">
        <v>46</v>
      </c>
      <c r="QP42" s="50">
        <v>20.067081999999999</v>
      </c>
      <c r="QQ42" s="44" t="s">
        <v>46</v>
      </c>
      <c r="QR42" s="50" t="s">
        <v>46</v>
      </c>
      <c r="QS42" s="50">
        <v>20.288346000000001</v>
      </c>
      <c r="QT42" s="44" t="s">
        <v>46</v>
      </c>
      <c r="QU42" s="50" t="s">
        <v>46</v>
      </c>
      <c r="QV42" s="50">
        <v>20.037637</v>
      </c>
      <c r="QW42" s="44" t="s">
        <v>46</v>
      </c>
      <c r="QX42" s="50" t="s">
        <v>46</v>
      </c>
      <c r="QY42" s="50">
        <v>21.374942999999998</v>
      </c>
      <c r="QZ42" s="44" t="s">
        <v>46</v>
      </c>
      <c r="RA42" s="50" t="s">
        <v>46</v>
      </c>
      <c r="RB42" s="50">
        <v>19.209745999999999</v>
      </c>
      <c r="RC42" s="44" t="s">
        <v>46</v>
      </c>
      <c r="RD42" s="50" t="s">
        <v>46</v>
      </c>
      <c r="RE42" s="50">
        <v>17.785456</v>
      </c>
      <c r="RF42" s="44" t="s">
        <v>46</v>
      </c>
      <c r="RG42" s="50" t="s">
        <v>46</v>
      </c>
      <c r="RH42" s="50">
        <v>18.261044999999999</v>
      </c>
      <c r="RI42" s="44" t="s">
        <v>46</v>
      </c>
      <c r="RJ42" s="50" t="s">
        <v>46</v>
      </c>
      <c r="RK42" s="50">
        <v>17.333933999999999</v>
      </c>
      <c r="RL42" s="44" t="s">
        <v>46</v>
      </c>
      <c r="RM42" s="50" t="s">
        <v>46</v>
      </c>
      <c r="RN42" s="50">
        <v>16.333285</v>
      </c>
      <c r="RO42" s="44" t="s">
        <v>46</v>
      </c>
      <c r="RP42" s="50" t="s">
        <v>46</v>
      </c>
      <c r="RQ42" s="50">
        <v>19.684297999999998</v>
      </c>
      <c r="RR42" s="44" t="s">
        <v>46</v>
      </c>
      <c r="RS42" s="50" t="s">
        <v>46</v>
      </c>
      <c r="RT42" s="50">
        <v>18.44961</v>
      </c>
      <c r="RU42" s="44" t="s">
        <v>46</v>
      </c>
      <c r="RV42" s="50" t="s">
        <v>46</v>
      </c>
      <c r="RW42" s="50">
        <v>19.756969000000002</v>
      </c>
      <c r="RX42" s="44" t="s">
        <v>46</v>
      </c>
      <c r="RY42" s="50" t="s">
        <v>46</v>
      </c>
      <c r="RZ42" s="50">
        <f t="shared" si="43"/>
        <v>228.58235099999999</v>
      </c>
      <c r="SA42" s="44">
        <f>SA43+SA44</f>
        <v>226.54785000000001</v>
      </c>
      <c r="SB42" s="44" t="s">
        <v>46</v>
      </c>
      <c r="SC42" s="50" t="s">
        <v>46</v>
      </c>
      <c r="SD42" s="50">
        <v>18.925318999999998</v>
      </c>
      <c r="SE42" s="44" t="s">
        <v>46</v>
      </c>
      <c r="SF42" s="50" t="s">
        <v>46</v>
      </c>
      <c r="SG42" s="50">
        <v>21.285719</v>
      </c>
      <c r="SH42" s="44" t="s">
        <v>46</v>
      </c>
      <c r="SI42" s="50" t="s">
        <v>46</v>
      </c>
      <c r="SJ42" s="50">
        <v>23.510283999999999</v>
      </c>
      <c r="SK42" s="44" t="s">
        <v>46</v>
      </c>
      <c r="SL42" s="50" t="s">
        <v>46</v>
      </c>
      <c r="SM42" s="50">
        <v>22.596301</v>
      </c>
      <c r="SN42" s="44" t="s">
        <v>46</v>
      </c>
      <c r="SO42" s="50" t="s">
        <v>46</v>
      </c>
      <c r="SP42" s="50">
        <v>21.343899</v>
      </c>
      <c r="SQ42" s="50" t="s">
        <v>46</v>
      </c>
      <c r="SR42" s="50" t="s">
        <v>46</v>
      </c>
      <c r="SS42" s="50">
        <v>19.261558999999998</v>
      </c>
      <c r="ST42" s="50" t="s">
        <v>46</v>
      </c>
      <c r="SU42" s="50" t="s">
        <v>46</v>
      </c>
      <c r="SV42" s="50">
        <v>19.951273</v>
      </c>
      <c r="SW42" s="50" t="s">
        <v>46</v>
      </c>
      <c r="SX42" s="50" t="s">
        <v>46</v>
      </c>
      <c r="SY42" s="50">
        <v>18.761893000000001</v>
      </c>
      <c r="SZ42" s="50" t="s">
        <v>46</v>
      </c>
      <c r="TA42" s="50" t="s">
        <v>46</v>
      </c>
      <c r="TB42" s="50">
        <v>19.299220999999999</v>
      </c>
      <c r="TC42" s="50" t="s">
        <v>46</v>
      </c>
      <c r="TD42" s="50" t="s">
        <v>46</v>
      </c>
      <c r="TE42" s="50">
        <v>20.104414999999999</v>
      </c>
      <c r="TF42" s="50" t="s">
        <v>46</v>
      </c>
      <c r="TG42" s="50" t="s">
        <v>46</v>
      </c>
      <c r="TH42" s="50">
        <v>22.570042000000001</v>
      </c>
      <c r="TI42" s="50" t="s">
        <v>46</v>
      </c>
      <c r="TJ42" s="50" t="s">
        <v>46</v>
      </c>
      <c r="TK42" s="50">
        <v>22.079426000000002</v>
      </c>
      <c r="TL42" s="44" t="s">
        <v>46</v>
      </c>
      <c r="TM42" s="50" t="s">
        <v>46</v>
      </c>
      <c r="TN42" s="50">
        <f t="shared" si="47"/>
        <v>249.68935099999996</v>
      </c>
      <c r="TO42" s="44" t="s">
        <v>46</v>
      </c>
      <c r="TP42" s="50" t="s">
        <v>46</v>
      </c>
      <c r="TQ42" s="50">
        <v>21.048678999999996</v>
      </c>
      <c r="TR42" s="44" t="s">
        <v>46</v>
      </c>
      <c r="TS42" s="50" t="s">
        <v>46</v>
      </c>
      <c r="TT42" s="50">
        <v>22.652667000000001</v>
      </c>
      <c r="TU42" s="44" t="s">
        <v>46</v>
      </c>
      <c r="TV42" s="50" t="s">
        <v>46</v>
      </c>
      <c r="TW42" s="50">
        <v>26.243224999999999</v>
      </c>
      <c r="TX42" s="44" t="s">
        <v>46</v>
      </c>
      <c r="TY42" s="50" t="s">
        <v>46</v>
      </c>
      <c r="TZ42" s="50">
        <v>27.035789000000001</v>
      </c>
      <c r="UA42" s="50"/>
      <c r="UB42" s="50"/>
      <c r="UC42" s="50"/>
      <c r="UD42" s="50"/>
      <c r="UE42" s="50"/>
      <c r="UF42" s="50"/>
      <c r="UG42" s="50"/>
      <c r="UH42" s="50"/>
      <c r="UI42" s="50"/>
      <c r="UJ42" s="50"/>
      <c r="UK42" s="50"/>
      <c r="UL42" s="50"/>
      <c r="UM42" s="50"/>
      <c r="UN42" s="50"/>
      <c r="UO42" s="50"/>
      <c r="UP42" s="50"/>
      <c r="UQ42" s="50"/>
      <c r="UR42" s="50"/>
      <c r="US42" s="50"/>
      <c r="UT42" s="50"/>
      <c r="UU42" s="50"/>
      <c r="UV42" s="50"/>
      <c r="UW42" s="50"/>
      <c r="UX42" s="50"/>
      <c r="UY42" s="292" t="s">
        <v>46</v>
      </c>
      <c r="UZ42" s="276" t="s">
        <v>46</v>
      </c>
      <c r="VA42" s="276">
        <f t="shared" si="52"/>
        <v>86.317622999999998</v>
      </c>
      <c r="VB42" s="292" t="s">
        <v>46</v>
      </c>
      <c r="VC42" s="276" t="s">
        <v>46</v>
      </c>
      <c r="VD42" s="276">
        <f t="shared" si="55"/>
        <v>96.980360000000005</v>
      </c>
      <c r="VE42" s="277">
        <f>VD42-VA42</f>
        <v>10.662737000000007</v>
      </c>
      <c r="VF42" s="277">
        <f t="shared" si="57"/>
        <v>12.352908513247641</v>
      </c>
    </row>
    <row r="43" spans="1:578" s="12" customFormat="1" ht="20.25" hidden="1" customHeight="1">
      <c r="A43" s="47" t="s">
        <v>152</v>
      </c>
      <c r="B43" s="13">
        <v>6210</v>
      </c>
      <c r="C43" s="47" t="s">
        <v>153</v>
      </c>
      <c r="D43" s="42">
        <v>8.0819118843945121E-4</v>
      </c>
      <c r="E43" s="42">
        <v>0</v>
      </c>
      <c r="F43" s="42">
        <v>0</v>
      </c>
      <c r="G43" s="42">
        <v>0</v>
      </c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44" t="s">
        <v>46</v>
      </c>
      <c r="U43" s="44" t="s">
        <v>46</v>
      </c>
      <c r="V43" s="42">
        <v>0</v>
      </c>
      <c r="W43" s="42">
        <v>0</v>
      </c>
      <c r="X43" s="100"/>
      <c r="Y43" s="42">
        <v>7.3989334152907505E-5</v>
      </c>
      <c r="Z43" s="42">
        <v>-7.3989334152907505E-5</v>
      </c>
      <c r="AA43" s="100"/>
      <c r="AB43" s="100"/>
      <c r="AC43" s="100"/>
      <c r="AD43" s="100"/>
      <c r="AE43" s="100"/>
      <c r="AF43" s="100"/>
      <c r="AG43" s="100"/>
      <c r="AH43" s="100"/>
      <c r="AI43" s="100"/>
      <c r="AJ43" s="42">
        <v>0</v>
      </c>
      <c r="AK43" s="42">
        <v>0</v>
      </c>
      <c r="AL43" s="42">
        <v>0</v>
      </c>
      <c r="AM43" s="42">
        <v>0</v>
      </c>
      <c r="AN43" s="42">
        <v>0</v>
      </c>
      <c r="AO43" s="42">
        <v>0</v>
      </c>
      <c r="AP43" s="42">
        <v>0</v>
      </c>
      <c r="AQ43" s="42">
        <v>0</v>
      </c>
      <c r="AR43" s="42">
        <v>0</v>
      </c>
      <c r="AS43" s="42">
        <v>6.2492529922994183E-3</v>
      </c>
      <c r="AT43" s="42">
        <v>-6.2492529922994183E-3</v>
      </c>
      <c r="AU43" s="42">
        <v>0</v>
      </c>
      <c r="AV43" s="42">
        <v>0</v>
      </c>
      <c r="AW43" s="42">
        <v>0</v>
      </c>
      <c r="AX43" s="42">
        <v>0</v>
      </c>
      <c r="AY43" s="42">
        <v>0</v>
      </c>
      <c r="AZ43" s="44" t="s">
        <v>46</v>
      </c>
      <c r="BA43" s="44" t="s">
        <v>46</v>
      </c>
      <c r="BB43" s="42">
        <v>0</v>
      </c>
      <c r="BC43" s="42"/>
      <c r="BD43" s="49" t="s">
        <v>46</v>
      </c>
      <c r="BE43" s="49" t="s">
        <v>46</v>
      </c>
      <c r="BF43" s="49"/>
      <c r="BG43" s="49" t="s">
        <v>46</v>
      </c>
      <c r="BH43" s="49" t="s">
        <v>46</v>
      </c>
      <c r="BI43" s="44"/>
      <c r="BJ43" s="49" t="s">
        <v>46</v>
      </c>
      <c r="BK43" s="49" t="s">
        <v>46</v>
      </c>
      <c r="BL43" s="44"/>
      <c r="BM43" s="49" t="s">
        <v>46</v>
      </c>
      <c r="BN43" s="49" t="s">
        <v>46</v>
      </c>
      <c r="BO43" s="44"/>
      <c r="BP43" s="49" t="s">
        <v>46</v>
      </c>
      <c r="BQ43" s="49" t="s">
        <v>46</v>
      </c>
      <c r="BR43" s="44"/>
      <c r="BS43" s="49" t="s">
        <v>46</v>
      </c>
      <c r="BT43" s="49" t="s">
        <v>46</v>
      </c>
      <c r="BU43" s="44"/>
      <c r="BV43" s="49" t="s">
        <v>46</v>
      </c>
      <c r="BW43" s="49" t="s">
        <v>46</v>
      </c>
      <c r="BX43" s="44"/>
      <c r="BY43" s="49" t="s">
        <v>46</v>
      </c>
      <c r="BZ43" s="49" t="s">
        <v>46</v>
      </c>
      <c r="CA43" s="44"/>
      <c r="CB43" s="49" t="s">
        <v>46</v>
      </c>
      <c r="CC43" s="49" t="s">
        <v>46</v>
      </c>
      <c r="CD43" s="44"/>
      <c r="CE43" s="49" t="s">
        <v>46</v>
      </c>
      <c r="CF43" s="49" t="s">
        <v>46</v>
      </c>
      <c r="CG43" s="44"/>
      <c r="CH43" s="49" t="s">
        <v>46</v>
      </c>
      <c r="CI43" s="49" t="s">
        <v>46</v>
      </c>
      <c r="CJ43" s="44"/>
      <c r="CK43" s="49" t="s">
        <v>46</v>
      </c>
      <c r="CL43" s="49" t="s">
        <v>46</v>
      </c>
      <c r="CM43" s="44"/>
      <c r="CN43" s="50"/>
      <c r="CO43" s="50"/>
      <c r="CP43" s="50">
        <f t="shared" si="21"/>
        <v>0</v>
      </c>
      <c r="CQ43" s="52"/>
      <c r="CR43" s="49" t="s">
        <v>46</v>
      </c>
      <c r="CS43" s="49" t="s">
        <v>46</v>
      </c>
      <c r="CT43" s="44"/>
      <c r="CU43" s="49" t="s">
        <v>46</v>
      </c>
      <c r="CV43" s="49" t="s">
        <v>46</v>
      </c>
      <c r="CW43" s="49">
        <v>0</v>
      </c>
      <c r="CX43" s="49" t="s">
        <v>46</v>
      </c>
      <c r="CY43" s="49" t="s">
        <v>46</v>
      </c>
      <c r="CZ43" s="49">
        <v>0</v>
      </c>
      <c r="DA43" s="49" t="s">
        <v>46</v>
      </c>
      <c r="DB43" s="49" t="s">
        <v>46</v>
      </c>
      <c r="DC43" s="49">
        <v>0</v>
      </c>
      <c r="DD43" s="49" t="s">
        <v>46</v>
      </c>
      <c r="DE43" s="49" t="s">
        <v>46</v>
      </c>
      <c r="DF43" s="49">
        <v>0</v>
      </c>
      <c r="DG43" s="49" t="s">
        <v>46</v>
      </c>
      <c r="DH43" s="49" t="s">
        <v>46</v>
      </c>
      <c r="DI43" s="49">
        <v>0</v>
      </c>
      <c r="DJ43" s="49" t="s">
        <v>46</v>
      </c>
      <c r="DK43" s="49" t="s">
        <v>46</v>
      </c>
      <c r="DL43" s="49">
        <v>0</v>
      </c>
      <c r="DM43" s="49" t="s">
        <v>46</v>
      </c>
      <c r="DN43" s="49" t="s">
        <v>46</v>
      </c>
      <c r="DO43" s="49">
        <v>0</v>
      </c>
      <c r="DP43" s="49" t="s">
        <v>46</v>
      </c>
      <c r="DQ43" s="49" t="s">
        <v>46</v>
      </c>
      <c r="DR43" s="49">
        <v>0</v>
      </c>
      <c r="DS43" s="49" t="s">
        <v>46</v>
      </c>
      <c r="DT43" s="49" t="s">
        <v>46</v>
      </c>
      <c r="DU43" s="49">
        <v>0</v>
      </c>
      <c r="DV43" s="49" t="s">
        <v>46</v>
      </c>
      <c r="DW43" s="49" t="s">
        <v>46</v>
      </c>
      <c r="DX43" s="49">
        <v>0</v>
      </c>
      <c r="DY43" s="49" t="s">
        <v>46</v>
      </c>
      <c r="DZ43" s="49" t="s">
        <v>46</v>
      </c>
      <c r="EA43" s="44">
        <v>0</v>
      </c>
      <c r="EB43" s="49" t="s">
        <v>46</v>
      </c>
      <c r="EC43" s="49" t="s">
        <v>46</v>
      </c>
      <c r="ED43" s="44">
        <f t="shared" si="24"/>
        <v>0</v>
      </c>
      <c r="EE43" s="140"/>
      <c r="EF43" s="44" t="s">
        <v>46</v>
      </c>
      <c r="EG43" s="44" t="s">
        <v>46</v>
      </c>
      <c r="EH43" s="44">
        <v>0</v>
      </c>
      <c r="EI43" s="44" t="s">
        <v>46</v>
      </c>
      <c r="EJ43" s="44" t="s">
        <v>46</v>
      </c>
      <c r="EK43" s="44">
        <v>0</v>
      </c>
      <c r="EL43" s="44" t="s">
        <v>46</v>
      </c>
      <c r="EM43" s="44" t="s">
        <v>46</v>
      </c>
      <c r="EN43" s="44">
        <v>0</v>
      </c>
      <c r="EO43" s="44" t="s">
        <v>46</v>
      </c>
      <c r="EP43" s="44" t="s">
        <v>46</v>
      </c>
      <c r="EQ43" s="44">
        <v>0</v>
      </c>
      <c r="ER43" s="44" t="s">
        <v>46</v>
      </c>
      <c r="ES43" s="44" t="s">
        <v>46</v>
      </c>
      <c r="ET43" s="44">
        <v>0</v>
      </c>
      <c r="EU43" s="44" t="s">
        <v>46</v>
      </c>
      <c r="EV43" s="44" t="s">
        <v>46</v>
      </c>
      <c r="EW43" s="44">
        <v>0</v>
      </c>
      <c r="EX43" s="44" t="s">
        <v>46</v>
      </c>
      <c r="EY43" s="44" t="s">
        <v>46</v>
      </c>
      <c r="EZ43" s="44">
        <v>0</v>
      </c>
      <c r="FA43" s="44" t="s">
        <v>46</v>
      </c>
      <c r="FB43" s="44" t="s">
        <v>46</v>
      </c>
      <c r="FC43" s="44">
        <v>0</v>
      </c>
      <c r="FD43" s="44" t="s">
        <v>46</v>
      </c>
      <c r="FE43" s="44" t="s">
        <v>46</v>
      </c>
      <c r="FF43" s="44">
        <v>0</v>
      </c>
      <c r="FG43" s="44" t="s">
        <v>46</v>
      </c>
      <c r="FH43" s="44" t="s">
        <v>46</v>
      </c>
      <c r="FI43" s="44">
        <v>0</v>
      </c>
      <c r="FJ43" s="44" t="s">
        <v>46</v>
      </c>
      <c r="FK43" s="44" t="s">
        <v>46</v>
      </c>
      <c r="FL43" s="44">
        <v>0</v>
      </c>
      <c r="FM43" s="44" t="s">
        <v>46</v>
      </c>
      <c r="FN43" s="44" t="s">
        <v>46</v>
      </c>
      <c r="FO43" s="44">
        <v>0</v>
      </c>
      <c r="FP43" s="44" t="s">
        <v>46</v>
      </c>
      <c r="FQ43" s="44" t="s">
        <v>46</v>
      </c>
      <c r="FR43" s="44">
        <f t="shared" si="27"/>
        <v>0</v>
      </c>
      <c r="FS43" s="95"/>
      <c r="FT43" s="44" t="s">
        <v>46</v>
      </c>
      <c r="FU43" s="44" t="s">
        <v>46</v>
      </c>
      <c r="FV43" s="44">
        <v>0</v>
      </c>
      <c r="FW43" s="44" t="s">
        <v>46</v>
      </c>
      <c r="FX43" s="44" t="s">
        <v>46</v>
      </c>
      <c r="FY43" s="44">
        <v>0</v>
      </c>
      <c r="FZ43" s="44" t="s">
        <v>46</v>
      </c>
      <c r="GA43" s="44" t="s">
        <v>46</v>
      </c>
      <c r="GB43" s="44">
        <v>0</v>
      </c>
      <c r="GC43" s="44" t="s">
        <v>46</v>
      </c>
      <c r="GD43" s="44" t="s">
        <v>46</v>
      </c>
      <c r="GE43" s="44">
        <v>0</v>
      </c>
      <c r="GF43" s="44" t="s">
        <v>46</v>
      </c>
      <c r="GG43" s="44" t="s">
        <v>46</v>
      </c>
      <c r="GH43" s="44">
        <v>0</v>
      </c>
      <c r="GI43" s="44" t="s">
        <v>46</v>
      </c>
      <c r="GJ43" s="44" t="s">
        <v>46</v>
      </c>
      <c r="GK43" s="44">
        <v>0</v>
      </c>
      <c r="GL43" s="44" t="s">
        <v>46</v>
      </c>
      <c r="GM43" s="44" t="s">
        <v>46</v>
      </c>
      <c r="GN43" s="44">
        <v>0</v>
      </c>
      <c r="GO43" s="44" t="s">
        <v>46</v>
      </c>
      <c r="GP43" s="44" t="s">
        <v>46</v>
      </c>
      <c r="GQ43" s="44">
        <v>0</v>
      </c>
      <c r="GR43" s="44" t="s">
        <v>46</v>
      </c>
      <c r="GS43" s="44" t="s">
        <v>46</v>
      </c>
      <c r="GT43" s="44">
        <v>0</v>
      </c>
      <c r="GU43" s="44" t="s">
        <v>46</v>
      </c>
      <c r="GV43" s="44" t="s">
        <v>46</v>
      </c>
      <c r="GW43" s="44">
        <v>0</v>
      </c>
      <c r="GX43" s="44" t="s">
        <v>46</v>
      </c>
      <c r="GY43" s="44" t="s">
        <v>46</v>
      </c>
      <c r="GZ43" s="44">
        <v>0</v>
      </c>
      <c r="HA43" s="44" t="s">
        <v>46</v>
      </c>
      <c r="HB43" s="44" t="s">
        <v>46</v>
      </c>
      <c r="HC43" s="44">
        <v>0</v>
      </c>
      <c r="HD43" s="44" t="s">
        <v>46</v>
      </c>
      <c r="HE43" s="44" t="s">
        <v>46</v>
      </c>
      <c r="HF43" s="44">
        <f t="shared" si="30"/>
        <v>0</v>
      </c>
      <c r="HG43" s="44"/>
      <c r="HH43" s="44" t="s">
        <v>46</v>
      </c>
      <c r="HI43" s="44" t="s">
        <v>46</v>
      </c>
      <c r="HJ43" s="44">
        <v>0</v>
      </c>
      <c r="HK43" s="44" t="s">
        <v>46</v>
      </c>
      <c r="HL43" s="44" t="s">
        <v>46</v>
      </c>
      <c r="HM43" s="44">
        <v>0</v>
      </c>
      <c r="HN43" s="44">
        <v>0</v>
      </c>
      <c r="HO43" s="44">
        <v>0</v>
      </c>
      <c r="HP43" s="44">
        <v>0</v>
      </c>
      <c r="HQ43" s="44">
        <v>0</v>
      </c>
      <c r="HR43" s="44">
        <v>0</v>
      </c>
      <c r="HS43" s="44">
        <v>0</v>
      </c>
      <c r="HT43" s="44">
        <v>0</v>
      </c>
      <c r="HU43" s="44">
        <v>0</v>
      </c>
      <c r="HV43" s="44">
        <v>0</v>
      </c>
      <c r="HW43" s="44">
        <v>0</v>
      </c>
      <c r="HX43" s="44">
        <v>0</v>
      </c>
      <c r="HY43" s="44">
        <v>0</v>
      </c>
      <c r="HZ43" s="44">
        <v>0</v>
      </c>
      <c r="IA43" s="44">
        <v>0</v>
      </c>
      <c r="IB43" s="44">
        <v>0</v>
      </c>
      <c r="IC43" s="44">
        <v>0</v>
      </c>
      <c r="ID43" s="44">
        <v>0</v>
      </c>
      <c r="IE43" s="44">
        <v>0</v>
      </c>
      <c r="IF43" s="44">
        <v>0</v>
      </c>
      <c r="IG43" s="44">
        <v>0</v>
      </c>
      <c r="IH43" s="44">
        <v>0</v>
      </c>
      <c r="II43" s="44">
        <v>0</v>
      </c>
      <c r="IJ43" s="44">
        <v>0</v>
      </c>
      <c r="IK43" s="44">
        <v>0</v>
      </c>
      <c r="IL43" s="44">
        <v>0</v>
      </c>
      <c r="IM43" s="44">
        <v>0</v>
      </c>
      <c r="IN43" s="44">
        <v>0</v>
      </c>
      <c r="IO43" s="44">
        <v>0</v>
      </c>
      <c r="IP43" s="44">
        <v>0</v>
      </c>
      <c r="IQ43" s="44">
        <v>0</v>
      </c>
      <c r="IR43" s="44">
        <v>0</v>
      </c>
      <c r="IS43" s="44">
        <v>0</v>
      </c>
      <c r="IT43" s="50">
        <f t="shared" si="70"/>
        <v>0</v>
      </c>
      <c r="IU43" s="44"/>
      <c r="IV43" s="44">
        <v>0</v>
      </c>
      <c r="IW43" s="44">
        <v>0</v>
      </c>
      <c r="IX43" s="50">
        <v>0</v>
      </c>
      <c r="IY43" s="44">
        <v>0</v>
      </c>
      <c r="IZ43" s="44">
        <v>0</v>
      </c>
      <c r="JA43" s="50">
        <v>0</v>
      </c>
      <c r="JB43" s="44">
        <v>0</v>
      </c>
      <c r="JC43" s="44">
        <v>0</v>
      </c>
      <c r="JD43" s="50">
        <v>0</v>
      </c>
      <c r="JE43" s="44">
        <v>0</v>
      </c>
      <c r="JF43" s="44">
        <v>0</v>
      </c>
      <c r="JG43" s="50">
        <v>0</v>
      </c>
      <c r="JH43" s="44">
        <v>0</v>
      </c>
      <c r="JI43" s="44">
        <v>0</v>
      </c>
      <c r="JJ43" s="50">
        <v>0</v>
      </c>
      <c r="JK43" s="44">
        <v>0</v>
      </c>
      <c r="JL43" s="44">
        <v>0</v>
      </c>
      <c r="JM43" s="50">
        <v>0</v>
      </c>
      <c r="JN43" s="44">
        <v>0</v>
      </c>
      <c r="JO43" s="44">
        <v>0</v>
      </c>
      <c r="JP43" s="50">
        <v>0</v>
      </c>
      <c r="JQ43" s="44">
        <v>0</v>
      </c>
      <c r="JR43" s="44">
        <v>0</v>
      </c>
      <c r="JS43" s="50">
        <v>0</v>
      </c>
      <c r="JT43" s="44">
        <v>0</v>
      </c>
      <c r="JU43" s="44">
        <v>0</v>
      </c>
      <c r="JV43" s="50">
        <v>0</v>
      </c>
      <c r="JW43" s="44">
        <v>0</v>
      </c>
      <c r="JX43" s="44">
        <v>0</v>
      </c>
      <c r="JY43" s="50">
        <v>0</v>
      </c>
      <c r="JZ43" s="44">
        <v>0</v>
      </c>
      <c r="KA43" s="44">
        <v>0</v>
      </c>
      <c r="KB43" s="50">
        <v>0</v>
      </c>
      <c r="KC43" s="44">
        <v>0</v>
      </c>
      <c r="KD43" s="44">
        <v>0</v>
      </c>
      <c r="KE43" s="50">
        <v>0</v>
      </c>
      <c r="KF43" s="44">
        <v>0</v>
      </c>
      <c r="KG43" s="44">
        <v>0</v>
      </c>
      <c r="KH43" s="50">
        <f t="shared" si="4"/>
        <v>0</v>
      </c>
      <c r="KI43" s="44"/>
      <c r="KJ43" s="44">
        <v>0</v>
      </c>
      <c r="KK43" s="44">
        <v>0</v>
      </c>
      <c r="KL43" s="50">
        <v>0</v>
      </c>
      <c r="KM43" s="44">
        <v>0</v>
      </c>
      <c r="KN43" s="44">
        <v>0</v>
      </c>
      <c r="KO43" s="50">
        <v>0</v>
      </c>
      <c r="KP43" s="44">
        <v>0</v>
      </c>
      <c r="KQ43" s="44">
        <v>0</v>
      </c>
      <c r="KR43" s="50">
        <v>0</v>
      </c>
      <c r="KS43" s="44">
        <v>0</v>
      </c>
      <c r="KT43" s="44">
        <v>0</v>
      </c>
      <c r="KU43" s="50">
        <v>0</v>
      </c>
      <c r="KV43" s="44">
        <v>0</v>
      </c>
      <c r="KW43" s="44">
        <v>0</v>
      </c>
      <c r="KX43" s="50">
        <v>0</v>
      </c>
      <c r="KY43" s="44">
        <v>0</v>
      </c>
      <c r="KZ43" s="44">
        <v>0</v>
      </c>
      <c r="LA43" s="50">
        <v>0</v>
      </c>
      <c r="LB43" s="44">
        <v>0</v>
      </c>
      <c r="LC43" s="44">
        <v>0</v>
      </c>
      <c r="LD43" s="50">
        <v>0</v>
      </c>
      <c r="LE43" s="44"/>
      <c r="LF43" s="44"/>
      <c r="LG43" s="44">
        <v>0</v>
      </c>
      <c r="LH43" s="44">
        <v>0</v>
      </c>
      <c r="LI43" s="50">
        <v>0</v>
      </c>
      <c r="LJ43" s="50">
        <v>0</v>
      </c>
      <c r="LK43" s="44">
        <v>0</v>
      </c>
      <c r="LL43" s="50">
        <v>0</v>
      </c>
      <c r="LM43" s="50">
        <v>0</v>
      </c>
      <c r="LN43" s="44">
        <v>0</v>
      </c>
      <c r="LO43" s="50">
        <v>0</v>
      </c>
      <c r="LP43" s="50">
        <v>0</v>
      </c>
      <c r="LQ43" s="44">
        <v>0</v>
      </c>
      <c r="LR43" s="50">
        <v>0</v>
      </c>
      <c r="LS43" s="50">
        <v>0</v>
      </c>
      <c r="LT43" s="44">
        <f t="shared" si="58"/>
        <v>0</v>
      </c>
      <c r="LU43" s="50">
        <f t="shared" si="58"/>
        <v>0</v>
      </c>
      <c r="LV43" s="50">
        <f t="shared" si="58"/>
        <v>0</v>
      </c>
      <c r="LW43" s="50"/>
      <c r="LX43" s="44">
        <v>0</v>
      </c>
      <c r="LY43" s="50">
        <v>0</v>
      </c>
      <c r="LZ43" s="50">
        <v>0</v>
      </c>
      <c r="MA43" s="44"/>
      <c r="MB43" s="50"/>
      <c r="MC43" s="50"/>
      <c r="MD43" s="44"/>
      <c r="ME43" s="50">
        <v>0</v>
      </c>
      <c r="MF43" s="50"/>
      <c r="MG43" s="44"/>
      <c r="MH43" s="50">
        <v>0</v>
      </c>
      <c r="MI43" s="179"/>
      <c r="MJ43" s="44"/>
      <c r="MK43" s="50">
        <v>0</v>
      </c>
      <c r="ML43" s="50"/>
      <c r="MM43" s="44"/>
      <c r="MN43" s="50">
        <v>0</v>
      </c>
      <c r="MO43" s="50">
        <v>0</v>
      </c>
      <c r="MP43" s="44"/>
      <c r="MQ43" s="50">
        <v>0</v>
      </c>
      <c r="MR43" s="50"/>
      <c r="MS43" s="44"/>
      <c r="MT43" s="50">
        <v>0</v>
      </c>
      <c r="MU43" s="50"/>
      <c r="MV43" s="44"/>
      <c r="MW43" s="50">
        <v>0</v>
      </c>
      <c r="MX43" s="50"/>
      <c r="MY43" s="44"/>
      <c r="MZ43" s="50">
        <v>0</v>
      </c>
      <c r="NA43" s="50"/>
      <c r="NB43" s="44"/>
      <c r="NC43" s="50">
        <v>0</v>
      </c>
      <c r="ND43" s="50"/>
      <c r="NE43" s="44"/>
      <c r="NF43" s="50">
        <v>0</v>
      </c>
      <c r="NG43" s="50"/>
      <c r="NH43" s="44">
        <f>LX43+MA43+MD43+MG43+MJ43+MM43+MP43+MS43+MV43+MY43+NB43+NE43</f>
        <v>0</v>
      </c>
      <c r="NI43" s="50">
        <f>LY43+MB43+ME43+MH43+MK43+MN43+MQ43+MT43+MW43+MZ43+NC43+NF43</f>
        <v>0</v>
      </c>
      <c r="NJ43" s="50">
        <f t="shared" si="76"/>
        <v>0</v>
      </c>
      <c r="NK43" s="50"/>
      <c r="NL43" s="44">
        <f>MA43+MD43+MG43+MJ43+MM43+MP43+MS43+MV43+MY43+NB43+NE43+NH43</f>
        <v>0</v>
      </c>
      <c r="NM43" s="50">
        <f>MB43+ME43+MH43+MK43+MN43+MQ43+MT43+MW43+MZ43+NC43+NF43+NI43</f>
        <v>0</v>
      </c>
      <c r="NN43" s="50"/>
      <c r="NO43" s="44">
        <v>0</v>
      </c>
      <c r="NP43" s="50">
        <f>ME43+MH43+MK43+MN43+MQ43+MT43+MW43+MZ43+NC43+NF43+NI43+NM43</f>
        <v>0</v>
      </c>
      <c r="NQ43" s="50"/>
      <c r="NR43" s="44">
        <v>0</v>
      </c>
      <c r="NS43" s="50">
        <f>MH43+MK43+MN43+MQ43+MT43+MW43+MZ43+NC43+NF43+NI43+NM43+NP43</f>
        <v>0</v>
      </c>
      <c r="NT43" s="50"/>
      <c r="NU43" s="44">
        <v>0</v>
      </c>
      <c r="NV43" s="50">
        <f>MK43+MN43+MQ43+MT43+MW43+MZ43+NC43+NF43+NI43+NM43+NP43+NS43</f>
        <v>0</v>
      </c>
      <c r="NW43" s="50"/>
      <c r="NX43" s="44">
        <v>0</v>
      </c>
      <c r="NY43" s="50">
        <f>MN43+MQ43+MT43+MW43+MZ43+NC43+NF43+NI43+NM43+NP43+NS43+NV43</f>
        <v>0</v>
      </c>
      <c r="NZ43" s="50"/>
      <c r="OA43" s="50">
        <v>0</v>
      </c>
      <c r="OB43" s="50">
        <v>0</v>
      </c>
      <c r="OC43" s="50"/>
      <c r="OD43" s="50">
        <v>0</v>
      </c>
      <c r="OE43" s="50">
        <v>0</v>
      </c>
      <c r="OF43" s="50"/>
      <c r="OG43" s="50">
        <v>0</v>
      </c>
      <c r="OH43" s="50">
        <v>0</v>
      </c>
      <c r="OI43" s="50"/>
      <c r="OJ43" s="50">
        <v>0</v>
      </c>
      <c r="OK43" s="50">
        <v>0</v>
      </c>
      <c r="OL43" s="50"/>
      <c r="OM43" s="50">
        <v>0</v>
      </c>
      <c r="ON43" s="50">
        <v>0</v>
      </c>
      <c r="OO43" s="50"/>
      <c r="OP43" s="50">
        <v>0</v>
      </c>
      <c r="OQ43" s="50">
        <v>0</v>
      </c>
      <c r="OR43" s="50"/>
      <c r="OS43" s="50">
        <v>0</v>
      </c>
      <c r="OT43" s="50">
        <v>0</v>
      </c>
      <c r="OU43" s="50"/>
      <c r="OV43" s="44">
        <f>NL43+NO43+NR43+NU43+NX43+OA43+OD43+OG43+OJ43+OM43+OP43+OS43</f>
        <v>0</v>
      </c>
      <c r="OW43" s="50">
        <f>NM43+NP43+NS43+NV43+NY43+OB43+OE43+OH43+OK43+ON43+OQ43+OT43</f>
        <v>0</v>
      </c>
      <c r="OX43" s="50">
        <f t="shared" si="9"/>
        <v>0</v>
      </c>
      <c r="OY43" s="50"/>
      <c r="OZ43" s="44">
        <v>0</v>
      </c>
      <c r="PA43" s="50">
        <v>0</v>
      </c>
      <c r="PB43" s="50"/>
      <c r="PC43" s="44">
        <v>0</v>
      </c>
      <c r="PD43" s="50">
        <v>0</v>
      </c>
      <c r="PE43" s="50"/>
      <c r="PF43" s="44">
        <v>0</v>
      </c>
      <c r="PG43" s="50">
        <v>0</v>
      </c>
      <c r="PH43" s="50"/>
      <c r="PI43" s="44">
        <v>0</v>
      </c>
      <c r="PJ43" s="50">
        <v>0</v>
      </c>
      <c r="PK43" s="50"/>
      <c r="PL43" s="44">
        <v>0</v>
      </c>
      <c r="PM43" s="50">
        <v>0</v>
      </c>
      <c r="PN43" s="50"/>
      <c r="PO43" s="44">
        <v>0</v>
      </c>
      <c r="PP43" s="50">
        <v>0</v>
      </c>
      <c r="PQ43" s="50"/>
      <c r="PR43" s="44">
        <v>0</v>
      </c>
      <c r="PS43" s="50">
        <v>0</v>
      </c>
      <c r="PT43" s="50"/>
      <c r="PU43" s="44">
        <v>0</v>
      </c>
      <c r="PV43" s="50">
        <v>0</v>
      </c>
      <c r="PW43" s="50"/>
      <c r="PX43" s="44">
        <v>0</v>
      </c>
      <c r="PY43" s="50">
        <v>0</v>
      </c>
      <c r="PZ43" s="50"/>
      <c r="QA43" s="44">
        <v>0</v>
      </c>
      <c r="QB43" s="50">
        <v>0</v>
      </c>
      <c r="QC43" s="50"/>
      <c r="QD43" s="44">
        <v>0</v>
      </c>
      <c r="QE43" s="50">
        <v>0</v>
      </c>
      <c r="QF43" s="50"/>
      <c r="QG43" s="44">
        <v>0</v>
      </c>
      <c r="QH43" s="50">
        <v>0</v>
      </c>
      <c r="QI43" s="50"/>
      <c r="QJ43" s="44">
        <v>0</v>
      </c>
      <c r="QK43" s="50">
        <v>0</v>
      </c>
      <c r="QL43" s="50">
        <f t="shared" si="40"/>
        <v>0</v>
      </c>
      <c r="QM43" s="50"/>
      <c r="QN43" s="44">
        <v>0</v>
      </c>
      <c r="QO43" s="50">
        <v>0</v>
      </c>
      <c r="QP43" s="50"/>
      <c r="QQ43" s="44">
        <v>0</v>
      </c>
      <c r="QR43" s="50">
        <v>0</v>
      </c>
      <c r="QS43" s="50"/>
      <c r="QT43" s="44">
        <v>0</v>
      </c>
      <c r="QU43" s="50">
        <v>0</v>
      </c>
      <c r="QV43" s="50"/>
      <c r="QW43" s="44">
        <v>0</v>
      </c>
      <c r="QX43" s="50">
        <v>0</v>
      </c>
      <c r="QY43" s="50"/>
      <c r="QZ43" s="44">
        <v>0</v>
      </c>
      <c r="RA43" s="50">
        <v>0</v>
      </c>
      <c r="RB43" s="50">
        <v>19.209745999999999</v>
      </c>
      <c r="RC43" s="44">
        <v>0</v>
      </c>
      <c r="RD43" s="50">
        <v>0</v>
      </c>
      <c r="RE43" s="50"/>
      <c r="RF43" s="44">
        <v>0</v>
      </c>
      <c r="RG43" s="50">
        <v>0</v>
      </c>
      <c r="RH43" s="50"/>
      <c r="RI43" s="44">
        <v>0</v>
      </c>
      <c r="RJ43" s="50">
        <v>0</v>
      </c>
      <c r="RK43" s="50"/>
      <c r="RL43" s="44">
        <v>0</v>
      </c>
      <c r="RM43" s="50">
        <v>0</v>
      </c>
      <c r="RN43" s="50"/>
      <c r="RO43" s="44">
        <v>0</v>
      </c>
      <c r="RP43" s="50">
        <v>0</v>
      </c>
      <c r="RQ43" s="50"/>
      <c r="RR43" s="44">
        <v>0</v>
      </c>
      <c r="RS43" s="50">
        <v>0</v>
      </c>
      <c r="RT43" s="50"/>
      <c r="RU43" s="44">
        <v>0</v>
      </c>
      <c r="RV43" s="50">
        <v>0</v>
      </c>
      <c r="RW43" s="50"/>
      <c r="RX43" s="44">
        <v>0</v>
      </c>
      <c r="RY43" s="50">
        <v>0</v>
      </c>
      <c r="RZ43" s="50">
        <f t="shared" si="43"/>
        <v>19.209745999999999</v>
      </c>
      <c r="SA43" s="50"/>
      <c r="SB43" s="44">
        <v>0</v>
      </c>
      <c r="SC43" s="50">
        <v>0</v>
      </c>
      <c r="SD43" s="50"/>
      <c r="SE43" s="44">
        <v>0</v>
      </c>
      <c r="SF43" s="50">
        <v>0</v>
      </c>
      <c r="SG43" s="50"/>
      <c r="SH43" s="44">
        <v>0</v>
      </c>
      <c r="SI43" s="50">
        <v>0</v>
      </c>
      <c r="SJ43" s="50"/>
      <c r="SK43" s="44">
        <v>0</v>
      </c>
      <c r="SL43" s="50">
        <v>0</v>
      </c>
      <c r="SM43" s="50"/>
      <c r="SN43" s="44">
        <v>0</v>
      </c>
      <c r="SO43" s="50">
        <v>0</v>
      </c>
      <c r="SP43" s="50"/>
      <c r="SQ43" s="50">
        <v>0</v>
      </c>
      <c r="SR43" s="50">
        <v>0</v>
      </c>
      <c r="SS43" s="50"/>
      <c r="ST43" s="50">
        <v>0</v>
      </c>
      <c r="SU43" s="50">
        <v>0</v>
      </c>
      <c r="SV43" s="50"/>
      <c r="SW43" s="50">
        <v>0</v>
      </c>
      <c r="SX43" s="50">
        <v>0</v>
      </c>
      <c r="SY43" s="50"/>
      <c r="SZ43" s="50">
        <v>0</v>
      </c>
      <c r="TA43" s="50">
        <v>0</v>
      </c>
      <c r="TB43" s="50"/>
      <c r="TC43" s="50">
        <v>0</v>
      </c>
      <c r="TD43" s="50">
        <v>0</v>
      </c>
      <c r="TE43" s="50"/>
      <c r="TF43" s="50">
        <v>0</v>
      </c>
      <c r="TG43" s="50">
        <v>0</v>
      </c>
      <c r="TH43" s="50"/>
      <c r="TI43" s="50">
        <v>0</v>
      </c>
      <c r="TJ43" s="50">
        <v>0</v>
      </c>
      <c r="TK43" s="50"/>
      <c r="TL43" s="44">
        <v>0</v>
      </c>
      <c r="TM43" s="50">
        <v>0</v>
      </c>
      <c r="TN43" s="50">
        <f t="shared" si="47"/>
        <v>0</v>
      </c>
      <c r="TO43" s="44">
        <v>0</v>
      </c>
      <c r="TP43" s="50">
        <v>0</v>
      </c>
      <c r="TQ43" s="50"/>
      <c r="TR43" s="44">
        <v>0</v>
      </c>
      <c r="TS43" s="50">
        <v>0</v>
      </c>
      <c r="TT43" s="50"/>
      <c r="TU43" s="44">
        <v>0</v>
      </c>
      <c r="TV43" s="50"/>
      <c r="TW43" s="50"/>
      <c r="TX43" s="44">
        <v>0</v>
      </c>
      <c r="TY43" s="50"/>
      <c r="TZ43" s="50"/>
      <c r="UA43" s="50"/>
      <c r="UB43" s="50"/>
      <c r="UC43" s="50"/>
      <c r="UD43" s="50"/>
      <c r="UE43" s="50"/>
      <c r="UF43" s="50"/>
      <c r="UG43" s="50"/>
      <c r="UH43" s="50"/>
      <c r="UI43" s="50"/>
      <c r="UJ43" s="50"/>
      <c r="UK43" s="50"/>
      <c r="UL43" s="50"/>
      <c r="UM43" s="50"/>
      <c r="UN43" s="50"/>
      <c r="UO43" s="50"/>
      <c r="UP43" s="50"/>
      <c r="UQ43" s="50"/>
      <c r="UR43" s="50"/>
      <c r="US43" s="50"/>
      <c r="UT43" s="50"/>
      <c r="UU43" s="50"/>
      <c r="UV43" s="50"/>
      <c r="UW43" s="50"/>
      <c r="UX43" s="50"/>
      <c r="UY43" s="292">
        <v>0</v>
      </c>
      <c r="UZ43" s="276">
        <v>0</v>
      </c>
      <c r="VA43" s="276">
        <f t="shared" si="52"/>
        <v>0</v>
      </c>
      <c r="VB43" s="292">
        <v>0</v>
      </c>
      <c r="VC43" s="276">
        <v>0</v>
      </c>
      <c r="VD43" s="276">
        <f t="shared" si="55"/>
        <v>0</v>
      </c>
      <c r="VE43" s="277">
        <f t="shared" si="56"/>
        <v>0</v>
      </c>
      <c r="VF43" s="277" t="e">
        <f t="shared" si="57"/>
        <v>#DIV/0!</v>
      </c>
    </row>
    <row r="44" spans="1:578" s="12" customFormat="1" ht="20.25" hidden="1" customHeight="1">
      <c r="A44" s="47" t="s">
        <v>154</v>
      </c>
      <c r="B44" s="13"/>
      <c r="C44" s="47" t="s">
        <v>155</v>
      </c>
      <c r="D44" s="42">
        <v>60.320652699756977</v>
      </c>
      <c r="E44" s="42">
        <v>80.250498005133721</v>
      </c>
      <c r="F44" s="42">
        <v>76.013370726404517</v>
      </c>
      <c r="G44" s="42">
        <v>123.57601834935485</v>
      </c>
      <c r="H44" s="42">
        <v>9.8737727730633296</v>
      </c>
      <c r="I44" s="42">
        <v>12.595917211626571</v>
      </c>
      <c r="J44" s="42">
        <v>13.145023363555131</v>
      </c>
      <c r="K44" s="42">
        <v>12.460896636900188</v>
      </c>
      <c r="L44" s="42">
        <v>10.720475409929369</v>
      </c>
      <c r="M44" s="42">
        <v>10.798867109464375</v>
      </c>
      <c r="N44" s="42">
        <v>9.1131382291506586</v>
      </c>
      <c r="O44" s="42">
        <v>8.7313845681014897</v>
      </c>
      <c r="P44" s="42">
        <v>10.170726119942403</v>
      </c>
      <c r="Q44" s="42">
        <v>10.457020734088026</v>
      </c>
      <c r="R44" s="42">
        <v>11.100581385421824</v>
      </c>
      <c r="S44" s="42">
        <v>11.830885993819043</v>
      </c>
      <c r="T44" s="44" t="s">
        <v>46</v>
      </c>
      <c r="U44" s="44" t="s">
        <v>46</v>
      </c>
      <c r="V44" s="42">
        <v>130.99868953506243</v>
      </c>
      <c r="W44" s="42">
        <v>130.84235149486915</v>
      </c>
      <c r="X44" s="42">
        <v>8.6574293828720386</v>
      </c>
      <c r="Y44" s="42">
        <v>9.4357260345700951</v>
      </c>
      <c r="Z44" s="42">
        <v>10.280529137568937</v>
      </c>
      <c r="AA44" s="42">
        <v>10.18601060893222</v>
      </c>
      <c r="AB44" s="42">
        <v>8.7039274107717084</v>
      </c>
      <c r="AC44" s="42">
        <v>7.8306953289964198</v>
      </c>
      <c r="AD44" s="42">
        <v>6.9541863734412441</v>
      </c>
      <c r="AE44" s="42">
        <v>6.9795576006966389</v>
      </c>
      <c r="AF44" s="42">
        <v>6.4100858845424904</v>
      </c>
      <c r="AG44" s="42">
        <v>7.7730448318450094</v>
      </c>
      <c r="AH44" s="42">
        <v>8.0560853381597148</v>
      </c>
      <c r="AI44" s="42">
        <v>10.00640576889147</v>
      </c>
      <c r="AJ44" s="42">
        <v>0</v>
      </c>
      <c r="AK44" s="42">
        <v>0</v>
      </c>
      <c r="AL44" s="42">
        <v>101.27368370128799</v>
      </c>
      <c r="AM44" s="42">
        <v>101.17619421631066</v>
      </c>
      <c r="AN44" s="42">
        <v>7.7587648903534987</v>
      </c>
      <c r="AO44" s="42">
        <v>8.6873296111006759</v>
      </c>
      <c r="AP44" s="42">
        <v>8.7892541875117409</v>
      </c>
      <c r="AQ44" s="42">
        <v>8.3975261950700339</v>
      </c>
      <c r="AR44" s="42">
        <v>7.844885629563862</v>
      </c>
      <c r="AS44" s="42">
        <v>6.5362376992731974</v>
      </c>
      <c r="AT44" s="42">
        <v>6.1409084182787801</v>
      </c>
      <c r="AU44" s="42">
        <v>5.8659242121558783</v>
      </c>
      <c r="AV44" s="42">
        <v>5.9227878611960092</v>
      </c>
      <c r="AW44" s="42">
        <v>6.7522552518198529</v>
      </c>
      <c r="AX44" s="42">
        <v>7.0662773689392777</v>
      </c>
      <c r="AY44" s="42">
        <v>8.6234825072139607</v>
      </c>
      <c r="AZ44" s="44" t="s">
        <v>46</v>
      </c>
      <c r="BA44" s="44" t="s">
        <v>46</v>
      </c>
      <c r="BB44" s="42">
        <v>88.385633832476771</v>
      </c>
      <c r="BC44" s="42">
        <v>88.298684981872611</v>
      </c>
      <c r="BD44" s="49" t="s">
        <v>46</v>
      </c>
      <c r="BE44" s="49" t="s">
        <v>46</v>
      </c>
      <c r="BF44" s="49">
        <v>7.0094479999999999</v>
      </c>
      <c r="BG44" s="49" t="s">
        <v>46</v>
      </c>
      <c r="BH44" s="49" t="s">
        <v>46</v>
      </c>
      <c r="BI44" s="44">
        <v>8.6130410000000008</v>
      </c>
      <c r="BJ44" s="49" t="s">
        <v>46</v>
      </c>
      <c r="BK44" s="49" t="s">
        <v>46</v>
      </c>
      <c r="BL44" s="44">
        <v>7.8998470000000003</v>
      </c>
      <c r="BM44" s="49" t="s">
        <v>46</v>
      </c>
      <c r="BN44" s="49" t="s">
        <v>46</v>
      </c>
      <c r="BO44" s="44">
        <v>8.0606100000000005</v>
      </c>
      <c r="BP44" s="49" t="s">
        <v>46</v>
      </c>
      <c r="BQ44" s="49" t="s">
        <v>46</v>
      </c>
      <c r="BR44" s="44">
        <v>7.1964269999999999</v>
      </c>
      <c r="BS44" s="49" t="s">
        <v>46</v>
      </c>
      <c r="BT44" s="49" t="s">
        <v>46</v>
      </c>
      <c r="BU44" s="44">
        <v>5.9949599999999998</v>
      </c>
      <c r="BV44" s="49" t="s">
        <v>46</v>
      </c>
      <c r="BW44" s="49" t="s">
        <v>46</v>
      </c>
      <c r="BX44" s="44">
        <v>6.079574</v>
      </c>
      <c r="BY44" s="49" t="s">
        <v>46</v>
      </c>
      <c r="BZ44" s="49" t="s">
        <v>46</v>
      </c>
      <c r="CA44" s="44">
        <v>5.9909499999999998</v>
      </c>
      <c r="CB44" s="49" t="s">
        <v>46</v>
      </c>
      <c r="CC44" s="49" t="s">
        <v>46</v>
      </c>
      <c r="CD44" s="44">
        <v>5.6996409999999997</v>
      </c>
      <c r="CE44" s="49" t="s">
        <v>46</v>
      </c>
      <c r="CF44" s="49" t="s">
        <v>46</v>
      </c>
      <c r="CG44" s="44">
        <v>6.234477</v>
      </c>
      <c r="CH44" s="49" t="s">
        <v>46</v>
      </c>
      <c r="CI44" s="49" t="s">
        <v>46</v>
      </c>
      <c r="CJ44" s="44">
        <v>6.4520400000000002</v>
      </c>
      <c r="CK44" s="49" t="s">
        <v>46</v>
      </c>
      <c r="CL44" s="49" t="s">
        <v>46</v>
      </c>
      <c r="CM44" s="44">
        <v>8.1902279999999994</v>
      </c>
      <c r="CN44" s="50"/>
      <c r="CO44" s="50"/>
      <c r="CP44" s="50">
        <f t="shared" si="21"/>
        <v>83.421243000000004</v>
      </c>
      <c r="CQ44" s="52">
        <v>83.055109999999999</v>
      </c>
      <c r="CR44" s="49" t="s">
        <v>46</v>
      </c>
      <c r="CS44" s="49" t="s">
        <v>46</v>
      </c>
      <c r="CT44" s="44">
        <v>6.5566779999999998</v>
      </c>
      <c r="CU44" s="49" t="s">
        <v>46</v>
      </c>
      <c r="CV44" s="49" t="s">
        <v>46</v>
      </c>
      <c r="CW44" s="49">
        <v>6.9369199999999998</v>
      </c>
      <c r="CX44" s="49" t="s">
        <v>46</v>
      </c>
      <c r="CY44" s="49" t="s">
        <v>46</v>
      </c>
      <c r="CZ44" s="49">
        <v>7.6436229999999998</v>
      </c>
      <c r="DA44" s="49" t="s">
        <v>46</v>
      </c>
      <c r="DB44" s="49" t="s">
        <v>46</v>
      </c>
      <c r="DC44" s="49">
        <v>7.3360130000000003</v>
      </c>
      <c r="DD44" s="49" t="s">
        <v>46</v>
      </c>
      <c r="DE44" s="49" t="s">
        <v>46</v>
      </c>
      <c r="DF44" s="49">
        <v>6.1639590000000002</v>
      </c>
      <c r="DG44" s="49" t="s">
        <v>46</v>
      </c>
      <c r="DH44" s="49" t="s">
        <v>46</v>
      </c>
      <c r="DI44" s="49">
        <v>5.6660630000000003</v>
      </c>
      <c r="DJ44" s="49" t="s">
        <v>46</v>
      </c>
      <c r="DK44" s="49" t="s">
        <v>46</v>
      </c>
      <c r="DL44" s="49">
        <v>5.28749</v>
      </c>
      <c r="DM44" s="49" t="s">
        <v>46</v>
      </c>
      <c r="DN44" s="49" t="s">
        <v>46</v>
      </c>
      <c r="DO44" s="49">
        <v>5.0807279999999997</v>
      </c>
      <c r="DP44" s="49" t="s">
        <v>46</v>
      </c>
      <c r="DQ44" s="49" t="s">
        <v>46</v>
      </c>
      <c r="DR44" s="49">
        <v>5.0856349999999999</v>
      </c>
      <c r="DS44" s="49" t="s">
        <v>46</v>
      </c>
      <c r="DT44" s="49" t="s">
        <v>46</v>
      </c>
      <c r="DU44" s="49">
        <v>6.0250190000000003</v>
      </c>
      <c r="DV44" s="49" t="s">
        <v>46</v>
      </c>
      <c r="DW44" s="49" t="s">
        <v>46</v>
      </c>
      <c r="DX44" s="49">
        <v>6.0948359999999999</v>
      </c>
      <c r="DY44" s="49" t="s">
        <v>46</v>
      </c>
      <c r="DZ44" s="49" t="s">
        <v>46</v>
      </c>
      <c r="EA44" s="44">
        <v>7.5962769999999997</v>
      </c>
      <c r="EB44" s="49" t="s">
        <v>46</v>
      </c>
      <c r="EC44" s="49" t="s">
        <v>46</v>
      </c>
      <c r="ED44" s="44">
        <f t="shared" si="24"/>
        <v>75.473241000000002</v>
      </c>
      <c r="EE44" s="140">
        <v>75.200012999999998</v>
      </c>
      <c r="EF44" s="44" t="s">
        <v>46</v>
      </c>
      <c r="EG44" s="44" t="s">
        <v>46</v>
      </c>
      <c r="EH44" s="44">
        <v>6.0776890000000003</v>
      </c>
      <c r="EI44" s="44" t="s">
        <v>46</v>
      </c>
      <c r="EJ44" s="44" t="s">
        <v>46</v>
      </c>
      <c r="EK44" s="44">
        <v>7.3983939999999997</v>
      </c>
      <c r="EL44" s="44" t="s">
        <v>46</v>
      </c>
      <c r="EM44" s="44" t="s">
        <v>46</v>
      </c>
      <c r="EN44" s="44">
        <v>7.7701989999999999</v>
      </c>
      <c r="EO44" s="44" t="s">
        <v>46</v>
      </c>
      <c r="EP44" s="44" t="s">
        <v>46</v>
      </c>
      <c r="EQ44" s="44">
        <v>7.9013920000000004</v>
      </c>
      <c r="ER44" s="44" t="s">
        <v>46</v>
      </c>
      <c r="ES44" s="44" t="s">
        <v>46</v>
      </c>
      <c r="ET44" s="44">
        <v>7.3487039999999997</v>
      </c>
      <c r="EU44" s="44" t="s">
        <v>46</v>
      </c>
      <c r="EV44" s="44" t="s">
        <v>46</v>
      </c>
      <c r="EW44" s="44">
        <v>6.299391</v>
      </c>
      <c r="EX44" s="44" t="s">
        <v>46</v>
      </c>
      <c r="EY44" s="44" t="s">
        <v>46</v>
      </c>
      <c r="EZ44" s="44">
        <v>5.9759549999999999</v>
      </c>
      <c r="FA44" s="44" t="s">
        <v>46</v>
      </c>
      <c r="FB44" s="44" t="s">
        <v>46</v>
      </c>
      <c r="FC44" s="44">
        <v>5.7161429999999998</v>
      </c>
      <c r="FD44" s="44" t="s">
        <v>46</v>
      </c>
      <c r="FE44" s="44" t="s">
        <v>46</v>
      </c>
      <c r="FF44" s="44">
        <v>6.0058069999999999</v>
      </c>
      <c r="FG44" s="44" t="s">
        <v>46</v>
      </c>
      <c r="FH44" s="44" t="s">
        <v>46</v>
      </c>
      <c r="FI44" s="44">
        <v>6.973751</v>
      </c>
      <c r="FJ44" s="44" t="s">
        <v>46</v>
      </c>
      <c r="FK44" s="44" t="s">
        <v>46</v>
      </c>
      <c r="FL44" s="44">
        <v>7.3044500000000001</v>
      </c>
      <c r="FM44" s="44" t="s">
        <v>46</v>
      </c>
      <c r="FN44" s="44" t="s">
        <v>46</v>
      </c>
      <c r="FO44" s="44">
        <v>8.5130160000000004</v>
      </c>
      <c r="FP44" s="44" t="s">
        <v>46</v>
      </c>
      <c r="FQ44" s="44" t="s">
        <v>46</v>
      </c>
      <c r="FR44" s="44">
        <f t="shared" si="27"/>
        <v>83.284890999999988</v>
      </c>
      <c r="FS44" s="95">
        <v>82.708162999999999</v>
      </c>
      <c r="FT44" s="44" t="s">
        <v>46</v>
      </c>
      <c r="FU44" s="44" t="s">
        <v>46</v>
      </c>
      <c r="FV44" s="44">
        <v>6.7440249999999997</v>
      </c>
      <c r="FW44" s="44" t="s">
        <v>46</v>
      </c>
      <c r="FX44" s="44" t="s">
        <v>46</v>
      </c>
      <c r="FY44" s="44">
        <v>7.591672</v>
      </c>
      <c r="FZ44" s="44" t="s">
        <v>46</v>
      </c>
      <c r="GA44" s="44" t="s">
        <v>46</v>
      </c>
      <c r="GB44" s="44">
        <v>8.5908080000000009</v>
      </c>
      <c r="GC44" s="44" t="s">
        <v>46</v>
      </c>
      <c r="GD44" s="44" t="s">
        <v>46</v>
      </c>
      <c r="GE44" s="44">
        <v>8.2385809999999999</v>
      </c>
      <c r="GF44" s="44" t="s">
        <v>46</v>
      </c>
      <c r="GG44" s="44" t="s">
        <v>46</v>
      </c>
      <c r="GH44" s="44">
        <v>8.1498329999999992</v>
      </c>
      <c r="GI44" s="44" t="s">
        <v>46</v>
      </c>
      <c r="GJ44" s="44" t="s">
        <v>46</v>
      </c>
      <c r="GK44" s="44">
        <v>7.0238449999999997</v>
      </c>
      <c r="GL44" s="44" t="s">
        <v>46</v>
      </c>
      <c r="GM44" s="44" t="s">
        <v>46</v>
      </c>
      <c r="GN44" s="44">
        <v>6.5818199999999996</v>
      </c>
      <c r="GO44" s="44" t="s">
        <v>46</v>
      </c>
      <c r="GP44" s="44" t="s">
        <v>46</v>
      </c>
      <c r="GQ44" s="44">
        <v>6.7710480000000004</v>
      </c>
      <c r="GR44" s="44" t="s">
        <v>46</v>
      </c>
      <c r="GS44" s="44" t="s">
        <v>46</v>
      </c>
      <c r="GT44" s="44">
        <v>6.6888909999999999</v>
      </c>
      <c r="GU44" s="44" t="s">
        <v>46</v>
      </c>
      <c r="GV44" s="44" t="s">
        <v>46</v>
      </c>
      <c r="GW44" s="44">
        <v>7.4743259999999996</v>
      </c>
      <c r="GX44" s="44" t="s">
        <v>46</v>
      </c>
      <c r="GY44" s="44" t="s">
        <v>46</v>
      </c>
      <c r="GZ44" s="44">
        <v>7.8678299999999997</v>
      </c>
      <c r="HA44" s="44" t="s">
        <v>46</v>
      </c>
      <c r="HB44" s="44" t="s">
        <v>46</v>
      </c>
      <c r="HC44" s="44">
        <v>8.7624639999999996</v>
      </c>
      <c r="HD44" s="44" t="s">
        <v>46</v>
      </c>
      <c r="HE44" s="44" t="s">
        <v>46</v>
      </c>
      <c r="HF44" s="44">
        <f t="shared" si="30"/>
        <v>90.485142999999994</v>
      </c>
      <c r="HG44" s="44">
        <v>90.081864999999993</v>
      </c>
      <c r="HH44" s="44" t="s">
        <v>46</v>
      </c>
      <c r="HI44" s="44" t="s">
        <v>46</v>
      </c>
      <c r="HJ44" s="44">
        <v>7.4087800000000001</v>
      </c>
      <c r="HK44" s="44" t="s">
        <v>46</v>
      </c>
      <c r="HL44" s="44" t="s">
        <v>46</v>
      </c>
      <c r="HM44" s="44">
        <v>8.3330540000000006</v>
      </c>
      <c r="HN44" s="44" t="s">
        <v>46</v>
      </c>
      <c r="HO44" s="44" t="s">
        <v>46</v>
      </c>
      <c r="HP44" s="44">
        <v>9.3202130000000007</v>
      </c>
      <c r="HQ44" s="44" t="s">
        <v>46</v>
      </c>
      <c r="HR44" s="44" t="s">
        <v>46</v>
      </c>
      <c r="HS44" s="44">
        <v>9.0846929999999997</v>
      </c>
      <c r="HT44" s="44" t="s">
        <v>46</v>
      </c>
      <c r="HU44" s="44" t="s">
        <v>46</v>
      </c>
      <c r="HV44" s="44">
        <v>8.4049589999999998</v>
      </c>
      <c r="HW44" s="44" t="s">
        <v>46</v>
      </c>
      <c r="HX44" s="44" t="s">
        <v>46</v>
      </c>
      <c r="HY44" s="44">
        <v>7.7213960000000004</v>
      </c>
      <c r="HZ44" s="44" t="s">
        <v>46</v>
      </c>
      <c r="IA44" s="44" t="s">
        <v>46</v>
      </c>
      <c r="IB44" s="44">
        <v>7.2923850000000003</v>
      </c>
      <c r="IC44" s="44" t="s">
        <v>46</v>
      </c>
      <c r="ID44" s="44" t="s">
        <v>46</v>
      </c>
      <c r="IE44" s="44">
        <v>7.003088</v>
      </c>
      <c r="IF44" s="44" t="s">
        <v>46</v>
      </c>
      <c r="IG44" s="44" t="s">
        <v>46</v>
      </c>
      <c r="IH44" s="44">
        <v>6.9207979999999996</v>
      </c>
      <c r="II44" s="44" t="s">
        <v>46</v>
      </c>
      <c r="IJ44" s="44" t="s">
        <v>46</v>
      </c>
      <c r="IK44" s="44">
        <v>8.2141940000000009</v>
      </c>
      <c r="IL44" s="44" t="s">
        <v>46</v>
      </c>
      <c r="IM44" s="44" t="s">
        <v>46</v>
      </c>
      <c r="IN44" s="44">
        <v>8.554487</v>
      </c>
      <c r="IO44" s="44" t="s">
        <v>46</v>
      </c>
      <c r="IP44" s="44" t="s">
        <v>46</v>
      </c>
      <c r="IQ44" s="44">
        <v>9.2849419999999991</v>
      </c>
      <c r="IR44" s="44" t="s">
        <v>46</v>
      </c>
      <c r="IS44" s="44" t="s">
        <v>46</v>
      </c>
      <c r="IT44" s="50">
        <f t="shared" si="70"/>
        <v>97.542989000000006</v>
      </c>
      <c r="IU44" s="44">
        <v>97.270253999999994</v>
      </c>
      <c r="IV44" s="44" t="s">
        <v>46</v>
      </c>
      <c r="IW44" s="44" t="s">
        <v>46</v>
      </c>
      <c r="IX44" s="50">
        <v>8.0691600000000001</v>
      </c>
      <c r="IY44" s="44" t="s">
        <v>46</v>
      </c>
      <c r="IZ44" s="44" t="s">
        <v>46</v>
      </c>
      <c r="JA44" s="50">
        <v>8.9098550000000003</v>
      </c>
      <c r="JB44" s="44" t="s">
        <v>46</v>
      </c>
      <c r="JC44" s="44" t="s">
        <v>46</v>
      </c>
      <c r="JD44" s="50">
        <v>9.2407319999999995</v>
      </c>
      <c r="JE44" s="44" t="s">
        <v>46</v>
      </c>
      <c r="JF44" s="44" t="s">
        <v>46</v>
      </c>
      <c r="JG44" s="50">
        <v>9.4185560000000006</v>
      </c>
      <c r="JH44" s="44" t="s">
        <v>46</v>
      </c>
      <c r="JI44" s="44" t="s">
        <v>46</v>
      </c>
      <c r="JJ44" s="50">
        <v>8.7532789999999991</v>
      </c>
      <c r="JK44" s="44" t="s">
        <v>46</v>
      </c>
      <c r="JL44" s="44" t="s">
        <v>46</v>
      </c>
      <c r="JM44" s="50">
        <v>7.6922410000000001</v>
      </c>
      <c r="JN44" s="44" t="s">
        <v>46</v>
      </c>
      <c r="JO44" s="44" t="s">
        <v>46</v>
      </c>
      <c r="JP44" s="50">
        <v>8.1449219999999993</v>
      </c>
      <c r="JQ44" s="44" t="s">
        <v>46</v>
      </c>
      <c r="JR44" s="44" t="s">
        <v>46</v>
      </c>
      <c r="JS44" s="50">
        <v>7.197578</v>
      </c>
      <c r="JT44" s="44" t="s">
        <v>46</v>
      </c>
      <c r="JU44" s="44" t="s">
        <v>46</v>
      </c>
      <c r="JV44" s="50">
        <v>7.3982840000000003</v>
      </c>
      <c r="JW44" s="44" t="s">
        <v>46</v>
      </c>
      <c r="JX44" s="44" t="s">
        <v>46</v>
      </c>
      <c r="JY44" s="50">
        <v>8.5627270000000006</v>
      </c>
      <c r="JZ44" s="44" t="s">
        <v>46</v>
      </c>
      <c r="KA44" s="44" t="s">
        <v>46</v>
      </c>
      <c r="KB44" s="50">
        <v>8.7834450000000004</v>
      </c>
      <c r="KC44" s="44" t="s">
        <v>46</v>
      </c>
      <c r="KD44" s="44" t="s">
        <v>46</v>
      </c>
      <c r="KE44" s="50">
        <v>9.6797679999999993</v>
      </c>
      <c r="KF44" s="44" t="s">
        <v>46</v>
      </c>
      <c r="KG44" s="44" t="s">
        <v>46</v>
      </c>
      <c r="KH44" s="50">
        <f t="shared" si="4"/>
        <v>101.85054699999999</v>
      </c>
      <c r="KI44" s="44">
        <v>101.31110700000001</v>
      </c>
      <c r="KJ44" s="44" t="s">
        <v>46</v>
      </c>
      <c r="KK44" s="44" t="s">
        <v>46</v>
      </c>
      <c r="KL44" s="50">
        <v>9.1086489999999998</v>
      </c>
      <c r="KM44" s="44" t="s">
        <v>46</v>
      </c>
      <c r="KN44" s="44" t="s">
        <v>46</v>
      </c>
      <c r="KO44" s="50">
        <v>9.1329510000000003</v>
      </c>
      <c r="KP44" s="44" t="s">
        <v>46</v>
      </c>
      <c r="KQ44" s="44" t="s">
        <v>46</v>
      </c>
      <c r="KR44" s="50">
        <v>9.5187220000000003</v>
      </c>
      <c r="KS44" s="44" t="s">
        <v>46</v>
      </c>
      <c r="KT44" s="44" t="s">
        <v>46</v>
      </c>
      <c r="KU44" s="50">
        <v>10.048931</v>
      </c>
      <c r="KV44" s="44" t="s">
        <v>46</v>
      </c>
      <c r="KW44" s="44" t="s">
        <v>46</v>
      </c>
      <c r="KX44" s="50">
        <v>10.365788999999999</v>
      </c>
      <c r="KY44" s="44" t="s">
        <v>46</v>
      </c>
      <c r="KZ44" s="44" t="s">
        <v>46</v>
      </c>
      <c r="LA44" s="50">
        <v>8.7208070000000006</v>
      </c>
      <c r="LB44" s="44" t="s">
        <v>46</v>
      </c>
      <c r="LC44" s="44" t="s">
        <v>46</v>
      </c>
      <c r="LD44" s="50">
        <v>8.8443839999999998</v>
      </c>
      <c r="LE44" s="44"/>
      <c r="LF44" s="44"/>
      <c r="LG44" s="44">
        <v>8.2481089999999995</v>
      </c>
      <c r="LH44" s="44" t="s">
        <v>46</v>
      </c>
      <c r="LI44" s="44" t="s">
        <v>46</v>
      </c>
      <c r="LJ44" s="50">
        <v>8.7962670000000003</v>
      </c>
      <c r="LK44" s="44" t="s">
        <v>46</v>
      </c>
      <c r="LL44" s="44" t="s">
        <v>46</v>
      </c>
      <c r="LM44" s="50">
        <v>9.2439040000000006</v>
      </c>
      <c r="LN44" s="44" t="s">
        <v>46</v>
      </c>
      <c r="LO44" s="44" t="s">
        <v>46</v>
      </c>
      <c r="LP44" s="50">
        <v>9.5990610000000007</v>
      </c>
      <c r="LQ44" s="44" t="s">
        <v>46</v>
      </c>
      <c r="LR44" s="44" t="s">
        <v>46</v>
      </c>
      <c r="LS44" s="50">
        <v>10.974373999999999</v>
      </c>
      <c r="LT44" s="44" t="s">
        <v>46</v>
      </c>
      <c r="LU44" s="50" t="s">
        <v>46</v>
      </c>
      <c r="LV44" s="50">
        <f t="shared" si="58"/>
        <v>112.60194800000001</v>
      </c>
      <c r="LW44" s="50">
        <v>111.943646</v>
      </c>
      <c r="LX44" s="44" t="s">
        <v>46</v>
      </c>
      <c r="LY44" s="44" t="s">
        <v>46</v>
      </c>
      <c r="LZ44" s="50">
        <v>9.1613860000000003</v>
      </c>
      <c r="MA44" s="44" t="s">
        <v>46</v>
      </c>
      <c r="MB44" s="44">
        <v>0</v>
      </c>
      <c r="MC44" s="50">
        <v>8.3835960000000007</v>
      </c>
      <c r="MD44" s="44" t="s">
        <v>46</v>
      </c>
      <c r="ME44" s="44" t="s">
        <v>46</v>
      </c>
      <c r="MF44" s="50">
        <v>14.968232</v>
      </c>
      <c r="MG44" s="44" t="s">
        <v>46</v>
      </c>
      <c r="MH44" s="44" t="s">
        <v>46</v>
      </c>
      <c r="MI44" s="50">
        <v>11.922008</v>
      </c>
      <c r="MJ44" s="44" t="s">
        <v>46</v>
      </c>
      <c r="MK44" s="44" t="s">
        <v>46</v>
      </c>
      <c r="ML44" s="50">
        <v>11.373079000000001</v>
      </c>
      <c r="MM44" s="44" t="s">
        <v>46</v>
      </c>
      <c r="MN44" s="44" t="s">
        <v>46</v>
      </c>
      <c r="MO44" s="50">
        <v>12.078851</v>
      </c>
      <c r="MP44" s="44" t="s">
        <v>46</v>
      </c>
      <c r="MQ44" s="44" t="s">
        <v>46</v>
      </c>
      <c r="MR44" s="50">
        <v>10.233051</v>
      </c>
      <c r="MS44" s="44" t="s">
        <v>46</v>
      </c>
      <c r="MT44" s="44" t="s">
        <v>46</v>
      </c>
      <c r="MU44" s="50">
        <v>11.342197000000001</v>
      </c>
      <c r="MV44" s="44" t="s">
        <v>46</v>
      </c>
      <c r="MW44" s="44" t="s">
        <v>46</v>
      </c>
      <c r="MX44" s="50">
        <v>10.678113</v>
      </c>
      <c r="MY44" s="44" t="s">
        <v>46</v>
      </c>
      <c r="MZ44" s="44" t="s">
        <v>46</v>
      </c>
      <c r="NA44" s="50">
        <v>11.115701</v>
      </c>
      <c r="NB44" s="44" t="s">
        <v>46</v>
      </c>
      <c r="NC44" s="44" t="s">
        <v>46</v>
      </c>
      <c r="ND44" s="50">
        <v>11.419855</v>
      </c>
      <c r="NE44" s="44" t="s">
        <v>46</v>
      </c>
      <c r="NF44" s="44" t="s">
        <v>46</v>
      </c>
      <c r="NG44" s="50">
        <v>13.469561000000001</v>
      </c>
      <c r="NH44" s="44" t="s">
        <v>46</v>
      </c>
      <c r="NI44" s="50" t="s">
        <v>46</v>
      </c>
      <c r="NJ44" s="50">
        <f t="shared" si="76"/>
        <v>136.14563000000001</v>
      </c>
      <c r="NK44" s="50">
        <v>135.89165</v>
      </c>
      <c r="NL44" s="44" t="s">
        <v>46</v>
      </c>
      <c r="NM44" s="50" t="s">
        <v>46</v>
      </c>
      <c r="NN44" s="50">
        <v>11.356375</v>
      </c>
      <c r="NO44" s="44" t="s">
        <v>46</v>
      </c>
      <c r="NP44" s="50" t="s">
        <v>46</v>
      </c>
      <c r="NQ44" s="50">
        <v>11.533417</v>
      </c>
      <c r="NR44" s="44" t="s">
        <v>46</v>
      </c>
      <c r="NS44" s="50" t="s">
        <v>46</v>
      </c>
      <c r="NT44" s="50">
        <v>15.124461</v>
      </c>
      <c r="NU44" s="44" t="s">
        <v>46</v>
      </c>
      <c r="NV44" s="50" t="s">
        <v>46</v>
      </c>
      <c r="NW44" s="50">
        <v>18.055489000000001</v>
      </c>
      <c r="NX44" s="44" t="s">
        <v>46</v>
      </c>
      <c r="NY44" s="50" t="s">
        <v>46</v>
      </c>
      <c r="NZ44" s="50">
        <v>18.556134</v>
      </c>
      <c r="OA44" s="50" t="s">
        <v>46</v>
      </c>
      <c r="OB44" s="50" t="s">
        <v>46</v>
      </c>
      <c r="OC44" s="50">
        <v>16.120391999999999</v>
      </c>
      <c r="OD44" s="50" t="s">
        <v>46</v>
      </c>
      <c r="OE44" s="50" t="s">
        <v>46</v>
      </c>
      <c r="OF44" s="50">
        <v>14.603512</v>
      </c>
      <c r="OG44" s="50" t="s">
        <v>46</v>
      </c>
      <c r="OH44" s="50" t="s">
        <v>46</v>
      </c>
      <c r="OI44" s="94">
        <v>13.995252000000001</v>
      </c>
      <c r="OJ44" s="50" t="s">
        <v>46</v>
      </c>
      <c r="OK44" s="50" t="s">
        <v>46</v>
      </c>
      <c r="OL44" s="50">
        <v>14.697889999999999</v>
      </c>
      <c r="OM44" s="50" t="s">
        <v>46</v>
      </c>
      <c r="ON44" s="50" t="s">
        <v>46</v>
      </c>
      <c r="OO44" s="50">
        <v>21.5349</v>
      </c>
      <c r="OP44" s="50" t="s">
        <v>46</v>
      </c>
      <c r="OQ44" s="50" t="s">
        <v>46</v>
      </c>
      <c r="OR44" s="50">
        <v>22.545065999999998</v>
      </c>
      <c r="OS44" s="50" t="s">
        <v>46</v>
      </c>
      <c r="OT44" s="50" t="s">
        <v>46</v>
      </c>
      <c r="OU44" s="50">
        <v>20.519348000000001</v>
      </c>
      <c r="OV44" s="44" t="s">
        <v>46</v>
      </c>
      <c r="OW44" s="50" t="s">
        <v>46</v>
      </c>
      <c r="OX44" s="50">
        <f t="shared" si="9"/>
        <v>198.642236</v>
      </c>
      <c r="OY44" s="50">
        <v>197.967637</v>
      </c>
      <c r="OZ44" s="44" t="s">
        <v>46</v>
      </c>
      <c r="PA44" s="50" t="s">
        <v>46</v>
      </c>
      <c r="PB44" s="50">
        <v>17.448578000000001</v>
      </c>
      <c r="PC44" s="44" t="s">
        <v>46</v>
      </c>
      <c r="PD44" s="50" t="s">
        <v>46</v>
      </c>
      <c r="PE44" s="50">
        <v>19.344988000000001</v>
      </c>
      <c r="PF44" s="44" t="s">
        <v>46</v>
      </c>
      <c r="PG44" s="50" t="s">
        <v>46</v>
      </c>
      <c r="PH44" s="50">
        <v>21.418530000000001</v>
      </c>
      <c r="PI44" s="44" t="s">
        <v>46</v>
      </c>
      <c r="PJ44" s="50" t="s">
        <v>46</v>
      </c>
      <c r="PK44" s="50">
        <v>20.641020999999999</v>
      </c>
      <c r="PL44" s="44" t="s">
        <v>46</v>
      </c>
      <c r="PM44" s="50" t="s">
        <v>46</v>
      </c>
      <c r="PN44" s="50">
        <v>18.775136</v>
      </c>
      <c r="PO44" s="44" t="s">
        <v>46</v>
      </c>
      <c r="PP44" s="50" t="s">
        <v>46</v>
      </c>
      <c r="PQ44" s="50">
        <v>17.140461999999999</v>
      </c>
      <c r="PR44" s="44" t="s">
        <v>46</v>
      </c>
      <c r="PS44" s="50" t="s">
        <v>46</v>
      </c>
      <c r="PT44" s="50">
        <v>16.504864000000001</v>
      </c>
      <c r="PU44" s="44" t="s">
        <v>46</v>
      </c>
      <c r="PV44" s="50" t="s">
        <v>46</v>
      </c>
      <c r="PW44" s="50">
        <v>18.671890000000001</v>
      </c>
      <c r="PX44" s="44" t="s">
        <v>46</v>
      </c>
      <c r="PY44" s="50" t="s">
        <v>46</v>
      </c>
      <c r="PZ44" s="50">
        <v>17.711617</v>
      </c>
      <c r="QA44" s="44" t="s">
        <v>46</v>
      </c>
      <c r="QB44" s="50" t="s">
        <v>46</v>
      </c>
      <c r="QC44" s="50">
        <v>17.946829999999999</v>
      </c>
      <c r="QD44" s="44" t="s">
        <v>46</v>
      </c>
      <c r="QE44" s="50" t="s">
        <v>46</v>
      </c>
      <c r="QF44" s="50">
        <v>17.762602000000001</v>
      </c>
      <c r="QG44" s="44" t="s">
        <v>46</v>
      </c>
      <c r="QH44" s="50" t="s">
        <v>46</v>
      </c>
      <c r="QI44" s="50">
        <v>18.284621000000001</v>
      </c>
      <c r="QJ44" s="44" t="s">
        <v>46</v>
      </c>
      <c r="QK44" s="50" t="s">
        <v>46</v>
      </c>
      <c r="QL44" s="50">
        <f t="shared" si="40"/>
        <v>221.651139</v>
      </c>
      <c r="QM44" s="50">
        <v>219.78414100000001</v>
      </c>
      <c r="QN44" s="44" t="s">
        <v>46</v>
      </c>
      <c r="QO44" s="50" t="s">
        <v>46</v>
      </c>
      <c r="QP44" s="50">
        <v>20.067081999999999</v>
      </c>
      <c r="QQ44" s="44" t="s">
        <v>46</v>
      </c>
      <c r="QR44" s="50" t="s">
        <v>46</v>
      </c>
      <c r="QS44" s="50">
        <v>20.288346000000001</v>
      </c>
      <c r="QT44" s="44" t="s">
        <v>46</v>
      </c>
      <c r="QU44" s="50" t="s">
        <v>46</v>
      </c>
      <c r="QV44" s="50">
        <v>20.037637</v>
      </c>
      <c r="QW44" s="44" t="s">
        <v>46</v>
      </c>
      <c r="QX44" s="50" t="s">
        <v>46</v>
      </c>
      <c r="QY44" s="50">
        <v>21.374942999999998</v>
      </c>
      <c r="QZ44" s="44" t="s">
        <v>46</v>
      </c>
      <c r="RA44" s="50" t="s">
        <v>46</v>
      </c>
      <c r="RB44" s="50">
        <v>19.209745999999999</v>
      </c>
      <c r="RC44" s="44" t="s">
        <v>46</v>
      </c>
      <c r="RD44" s="50" t="s">
        <v>46</v>
      </c>
      <c r="RE44" s="50">
        <v>17.785456</v>
      </c>
      <c r="RF44" s="44" t="s">
        <v>46</v>
      </c>
      <c r="RG44" s="50" t="s">
        <v>46</v>
      </c>
      <c r="RH44" s="50">
        <v>18.261044999999999</v>
      </c>
      <c r="RI44" s="44" t="s">
        <v>46</v>
      </c>
      <c r="RJ44" s="50" t="s">
        <v>46</v>
      </c>
      <c r="RK44" s="50">
        <v>17.333933999999999</v>
      </c>
      <c r="RL44" s="44" t="s">
        <v>46</v>
      </c>
      <c r="RM44" s="50" t="s">
        <v>46</v>
      </c>
      <c r="RN44" s="50">
        <v>16.333285</v>
      </c>
      <c r="RO44" s="44" t="s">
        <v>46</v>
      </c>
      <c r="RP44" s="50" t="s">
        <v>46</v>
      </c>
      <c r="RQ44" s="50">
        <v>19.684297999999998</v>
      </c>
      <c r="RR44" s="44" t="s">
        <v>46</v>
      </c>
      <c r="RS44" s="50" t="s">
        <v>46</v>
      </c>
      <c r="RT44" s="50">
        <v>18.44961</v>
      </c>
      <c r="RU44" s="44" t="s">
        <v>46</v>
      </c>
      <c r="RV44" s="50" t="s">
        <v>46</v>
      </c>
      <c r="RW44" s="50">
        <v>19.756969000000002</v>
      </c>
      <c r="RX44" s="44" t="s">
        <v>46</v>
      </c>
      <c r="RY44" s="50" t="s">
        <v>46</v>
      </c>
      <c r="RZ44" s="50">
        <f t="shared" si="43"/>
        <v>228.58235099999999</v>
      </c>
      <c r="SA44" s="50">
        <v>226.54785000000001</v>
      </c>
      <c r="SB44" s="44" t="s">
        <v>46</v>
      </c>
      <c r="SC44" s="50" t="s">
        <v>46</v>
      </c>
      <c r="SD44" s="50">
        <v>18.925318999999998</v>
      </c>
      <c r="SE44" s="44" t="s">
        <v>46</v>
      </c>
      <c r="SF44" s="50" t="s">
        <v>46</v>
      </c>
      <c r="SG44" s="50">
        <v>21.285719</v>
      </c>
      <c r="SH44" s="44" t="s">
        <v>46</v>
      </c>
      <c r="SI44" s="50" t="s">
        <v>46</v>
      </c>
      <c r="SJ44" s="50">
        <v>23.510283999999999</v>
      </c>
      <c r="SK44" s="44" t="s">
        <v>46</v>
      </c>
      <c r="SL44" s="50" t="s">
        <v>46</v>
      </c>
      <c r="SM44" s="50">
        <v>22.596301</v>
      </c>
      <c r="SN44" s="44" t="s">
        <v>46</v>
      </c>
      <c r="SO44" s="50" t="s">
        <v>46</v>
      </c>
      <c r="SP44" s="50">
        <v>21.343899</v>
      </c>
      <c r="SQ44" s="50" t="s">
        <v>46</v>
      </c>
      <c r="SR44" s="50" t="s">
        <v>46</v>
      </c>
      <c r="SS44" s="50">
        <v>19.261558999999998</v>
      </c>
      <c r="ST44" s="50" t="s">
        <v>46</v>
      </c>
      <c r="SU44" s="50" t="s">
        <v>46</v>
      </c>
      <c r="SV44" s="50">
        <v>19.951273</v>
      </c>
      <c r="SW44" s="50" t="s">
        <v>46</v>
      </c>
      <c r="SX44" s="50" t="s">
        <v>46</v>
      </c>
      <c r="SY44" s="50">
        <v>18.761893000000001</v>
      </c>
      <c r="SZ44" s="50" t="s">
        <v>46</v>
      </c>
      <c r="TA44" s="50" t="s">
        <v>46</v>
      </c>
      <c r="TB44" s="50">
        <v>19.299220999999999</v>
      </c>
      <c r="TC44" s="50" t="s">
        <v>46</v>
      </c>
      <c r="TD44" s="50" t="s">
        <v>46</v>
      </c>
      <c r="TE44" s="50">
        <v>20.104414999999999</v>
      </c>
      <c r="TF44" s="50" t="s">
        <v>46</v>
      </c>
      <c r="TG44" s="50" t="s">
        <v>46</v>
      </c>
      <c r="TH44" s="50">
        <v>22.570042000000001</v>
      </c>
      <c r="TI44" s="50" t="s">
        <v>46</v>
      </c>
      <c r="TJ44" s="50" t="s">
        <v>46</v>
      </c>
      <c r="TK44" s="50">
        <v>22.079426000000002</v>
      </c>
      <c r="TL44" s="44" t="s">
        <v>46</v>
      </c>
      <c r="TM44" s="50" t="s">
        <v>46</v>
      </c>
      <c r="TN44" s="50">
        <f t="shared" si="47"/>
        <v>249.68935099999996</v>
      </c>
      <c r="TO44" s="44" t="s">
        <v>46</v>
      </c>
      <c r="TP44" s="50" t="s">
        <v>46</v>
      </c>
      <c r="TQ44" s="50">
        <v>21.048678999999996</v>
      </c>
      <c r="TR44" s="44" t="s">
        <v>46</v>
      </c>
      <c r="TS44" s="50" t="s">
        <v>46</v>
      </c>
      <c r="TT44" s="50"/>
      <c r="TU44" s="44" t="s">
        <v>46</v>
      </c>
      <c r="TV44" s="50" t="s">
        <v>46</v>
      </c>
      <c r="TW44" s="50">
        <v>26.243224999999999</v>
      </c>
      <c r="TX44" s="44" t="s">
        <v>46</v>
      </c>
      <c r="TY44" s="50" t="s">
        <v>46</v>
      </c>
      <c r="TZ44" s="50"/>
      <c r="UA44" s="50"/>
      <c r="UB44" s="50"/>
      <c r="UC44" s="50"/>
      <c r="UD44" s="50"/>
      <c r="UE44" s="50"/>
      <c r="UF44" s="50"/>
      <c r="UG44" s="50"/>
      <c r="UH44" s="50"/>
      <c r="UI44" s="50"/>
      <c r="UJ44" s="50"/>
      <c r="UK44" s="50"/>
      <c r="UL44" s="50"/>
      <c r="UM44" s="50"/>
      <c r="UN44" s="50"/>
      <c r="UO44" s="50"/>
      <c r="UP44" s="50"/>
      <c r="UQ44" s="50"/>
      <c r="UR44" s="50"/>
      <c r="US44" s="50"/>
      <c r="UT44" s="50"/>
      <c r="UU44" s="50"/>
      <c r="UV44" s="50"/>
      <c r="UW44" s="50"/>
      <c r="UX44" s="50"/>
      <c r="UY44" s="292" t="s">
        <v>46</v>
      </c>
      <c r="UZ44" s="276" t="s">
        <v>46</v>
      </c>
      <c r="VA44" s="276">
        <f t="shared" si="52"/>
        <v>86.317622999999998</v>
      </c>
      <c r="VB44" s="292" t="s">
        <v>46</v>
      </c>
      <c r="VC44" s="276" t="s">
        <v>46</v>
      </c>
      <c r="VD44" s="276">
        <f t="shared" si="55"/>
        <v>47.291904000000002</v>
      </c>
      <c r="VE44" s="277">
        <f t="shared" si="56"/>
        <v>-39.025718999999995</v>
      </c>
      <c r="VF44" s="277">
        <f t="shared" si="57"/>
        <v>-45.211762840132884</v>
      </c>
    </row>
    <row r="45" spans="1:578" s="12" customFormat="1" ht="20.5">
      <c r="A45" s="46" t="s">
        <v>156</v>
      </c>
      <c r="B45" s="13">
        <v>7700</v>
      </c>
      <c r="C45" s="46" t="s">
        <v>157</v>
      </c>
      <c r="D45" s="42">
        <v>7.0238644060079333E-2</v>
      </c>
      <c r="E45" s="42">
        <v>4.0870569888617592E-2</v>
      </c>
      <c r="F45" s="42">
        <v>2.3293834411870166E-2</v>
      </c>
      <c r="G45" s="42">
        <v>1.0151151672443526</v>
      </c>
      <c r="H45" s="42">
        <v>1.8981109953842038E-3</v>
      </c>
      <c r="I45" s="42">
        <v>1.5882095150283722E-2</v>
      </c>
      <c r="J45" s="42">
        <v>3.1778419018673773E-2</v>
      </c>
      <c r="K45" s="42">
        <v>9.6392450811321514E-2</v>
      </c>
      <c r="L45" s="42">
        <v>4.5603041530782413E-3</v>
      </c>
      <c r="M45" s="42">
        <v>0.47369110022139882</v>
      </c>
      <c r="N45" s="42">
        <v>9.9287994945959329E-2</v>
      </c>
      <c r="O45" s="42">
        <v>4.6428307180949452E-3</v>
      </c>
      <c r="P45" s="42">
        <v>0.19561783939761299</v>
      </c>
      <c r="Q45" s="42">
        <v>9.5332411312400048E-4</v>
      </c>
      <c r="R45" s="42">
        <v>0.16330157483452001</v>
      </c>
      <c r="S45" s="42">
        <v>3.1893671635335033E-2</v>
      </c>
      <c r="T45" s="44" t="s">
        <v>46</v>
      </c>
      <c r="U45" s="44" t="s">
        <v>46</v>
      </c>
      <c r="V45" s="42">
        <v>1.1198997159947863</v>
      </c>
      <c r="W45" s="42">
        <v>1.1205755801048374</v>
      </c>
      <c r="X45" s="42">
        <v>0.20826290117870702</v>
      </c>
      <c r="Y45" s="42">
        <v>0.35613912271415649</v>
      </c>
      <c r="Z45" s="42">
        <v>8.6189037057273446E-2</v>
      </c>
      <c r="AA45" s="42">
        <v>-5.9821799534436337E-2</v>
      </c>
      <c r="AB45" s="42">
        <v>0.22885897063761734</v>
      </c>
      <c r="AC45" s="42">
        <v>2.1155258080489011E-2</v>
      </c>
      <c r="AD45" s="42">
        <v>9.0309673820866132E-2</v>
      </c>
      <c r="AE45" s="42">
        <v>1.6049994023938398E-3</v>
      </c>
      <c r="AF45" s="42">
        <v>4.1604771742904138E-3</v>
      </c>
      <c r="AG45" s="42">
        <v>0.20437988400748999</v>
      </c>
      <c r="AH45" s="42">
        <v>2.9874616536047036E-2</v>
      </c>
      <c r="AI45" s="42">
        <v>8.8192440566644478E-2</v>
      </c>
      <c r="AJ45" s="42">
        <v>0</v>
      </c>
      <c r="AK45" s="42">
        <v>0</v>
      </c>
      <c r="AL45" s="42">
        <v>1.2593055816415388</v>
      </c>
      <c r="AM45" s="42">
        <v>1.2613075622790992</v>
      </c>
      <c r="AN45" s="42">
        <v>0.10303726216697684</v>
      </c>
      <c r="AO45" s="42">
        <v>3.3043352058326363E-2</v>
      </c>
      <c r="AP45" s="42">
        <v>0.46328279292661972</v>
      </c>
      <c r="AQ45" s="42">
        <v>1.68083846990057E-2</v>
      </c>
      <c r="AR45" s="42">
        <v>0.10496383059857371</v>
      </c>
      <c r="AS45" s="42">
        <v>6.2059976892561798E-2</v>
      </c>
      <c r="AT45" s="42">
        <v>0.29389132674259111</v>
      </c>
      <c r="AU45" s="42">
        <v>0.39388933472205623</v>
      </c>
      <c r="AV45" s="42">
        <v>6.1859351967262569E-2</v>
      </c>
      <c r="AW45" s="42">
        <v>6.6695693251603572E-2</v>
      </c>
      <c r="AX45" s="42">
        <v>2.2460031530839326E-2</v>
      </c>
      <c r="AY45" s="42">
        <v>0.23747588232280978</v>
      </c>
      <c r="AZ45" s="44" t="s">
        <v>46</v>
      </c>
      <c r="BA45" s="44" t="s">
        <v>46</v>
      </c>
      <c r="BB45" s="42">
        <v>1.8594672198792266</v>
      </c>
      <c r="BC45" s="42">
        <v>1.8594672198792266</v>
      </c>
      <c r="BD45" s="49" t="s">
        <v>46</v>
      </c>
      <c r="BE45" s="49" t="s">
        <v>46</v>
      </c>
      <c r="BF45" s="49">
        <v>7.9840999999999995E-2</v>
      </c>
      <c r="BG45" s="49" t="s">
        <v>46</v>
      </c>
      <c r="BH45" s="49" t="s">
        <v>46</v>
      </c>
      <c r="BI45" s="44">
        <v>0.207123</v>
      </c>
      <c r="BJ45" s="49" t="s">
        <v>46</v>
      </c>
      <c r="BK45" s="49" t="s">
        <v>46</v>
      </c>
      <c r="BL45" s="44">
        <v>0.279609</v>
      </c>
      <c r="BM45" s="49" t="s">
        <v>46</v>
      </c>
      <c r="BN45" s="49" t="s">
        <v>46</v>
      </c>
      <c r="BO45" s="44">
        <v>6.5034999999999996E-2</v>
      </c>
      <c r="BP45" s="49" t="s">
        <v>46</v>
      </c>
      <c r="BQ45" s="49" t="s">
        <v>46</v>
      </c>
      <c r="BR45" s="44">
        <v>0.261513</v>
      </c>
      <c r="BS45" s="49" t="s">
        <v>46</v>
      </c>
      <c r="BT45" s="49" t="s">
        <v>46</v>
      </c>
      <c r="BU45" s="44">
        <v>3.5320999999999998E-2</v>
      </c>
      <c r="BV45" s="49" t="s">
        <v>46</v>
      </c>
      <c r="BW45" s="49" t="s">
        <v>46</v>
      </c>
      <c r="BX45" s="44">
        <v>0.23083600000000001</v>
      </c>
      <c r="BY45" s="49" t="s">
        <v>46</v>
      </c>
      <c r="BZ45" s="49" t="s">
        <v>46</v>
      </c>
      <c r="CA45" s="44">
        <v>-1.1958E-2</v>
      </c>
      <c r="CB45" s="49" t="s">
        <v>46</v>
      </c>
      <c r="CC45" s="49" t="s">
        <v>46</v>
      </c>
      <c r="CD45" s="44">
        <v>0.20757600000000001</v>
      </c>
      <c r="CE45" s="49" t="s">
        <v>46</v>
      </c>
      <c r="CF45" s="49" t="s">
        <v>46</v>
      </c>
      <c r="CG45" s="44">
        <v>0.197654</v>
      </c>
      <c r="CH45" s="49" t="s">
        <v>46</v>
      </c>
      <c r="CI45" s="49" t="s">
        <v>46</v>
      </c>
      <c r="CJ45" s="44">
        <v>0.534335</v>
      </c>
      <c r="CK45" s="49" t="s">
        <v>46</v>
      </c>
      <c r="CL45" s="49" t="s">
        <v>46</v>
      </c>
      <c r="CM45" s="44">
        <v>0.18041199999999999</v>
      </c>
      <c r="CN45" s="50"/>
      <c r="CO45" s="50"/>
      <c r="CP45" s="50">
        <f t="shared" si="21"/>
        <v>2.2672970000000001</v>
      </c>
      <c r="CQ45" s="52">
        <v>2.2719230000000001</v>
      </c>
      <c r="CR45" s="49" t="s">
        <v>46</v>
      </c>
      <c r="CS45" s="49" t="s">
        <v>46</v>
      </c>
      <c r="CT45" s="44">
        <v>3.0589999999999999E-2</v>
      </c>
      <c r="CU45" s="49" t="s">
        <v>46</v>
      </c>
      <c r="CV45" s="49" t="s">
        <v>46</v>
      </c>
      <c r="CW45" s="49">
        <v>0.13925499999999999</v>
      </c>
      <c r="CX45" s="49" t="s">
        <v>46</v>
      </c>
      <c r="CY45" s="49" t="s">
        <v>46</v>
      </c>
      <c r="CZ45" s="49">
        <v>0.104923</v>
      </c>
      <c r="DA45" s="49" t="s">
        <v>46</v>
      </c>
      <c r="DB45" s="49" t="s">
        <v>46</v>
      </c>
      <c r="DC45" s="49">
        <v>0.171787</v>
      </c>
      <c r="DD45" s="49" t="s">
        <v>46</v>
      </c>
      <c r="DE45" s="49" t="s">
        <v>46</v>
      </c>
      <c r="DF45" s="49">
        <v>3.0810000000000001E-2</v>
      </c>
      <c r="DG45" s="49" t="s">
        <v>46</v>
      </c>
      <c r="DH45" s="49" t="s">
        <v>46</v>
      </c>
      <c r="DI45" s="49">
        <v>0.41222500000000001</v>
      </c>
      <c r="DJ45" s="49" t="s">
        <v>46</v>
      </c>
      <c r="DK45" s="49" t="s">
        <v>46</v>
      </c>
      <c r="DL45" s="49">
        <v>0.30287700000000001</v>
      </c>
      <c r="DM45" s="49" t="s">
        <v>46</v>
      </c>
      <c r="DN45" s="49" t="s">
        <v>46</v>
      </c>
      <c r="DO45" s="49">
        <v>0.115448</v>
      </c>
      <c r="DP45" s="49" t="s">
        <v>46</v>
      </c>
      <c r="DQ45" s="49" t="s">
        <v>46</v>
      </c>
      <c r="DR45" s="49">
        <v>3.1926999999999997E-2</v>
      </c>
      <c r="DS45" s="49" t="s">
        <v>46</v>
      </c>
      <c r="DT45" s="49" t="s">
        <v>46</v>
      </c>
      <c r="DU45" s="49">
        <v>0.341113</v>
      </c>
      <c r="DV45" s="49" t="s">
        <v>46</v>
      </c>
      <c r="DW45" s="49" t="s">
        <v>46</v>
      </c>
      <c r="DX45" s="49">
        <v>4.9638000000000002E-2</v>
      </c>
      <c r="DY45" s="49" t="s">
        <v>46</v>
      </c>
      <c r="DZ45" s="49" t="s">
        <v>46</v>
      </c>
      <c r="EA45" s="44">
        <v>0.25667800000000002</v>
      </c>
      <c r="EB45" s="49" t="s">
        <v>46</v>
      </c>
      <c r="EC45" s="49" t="s">
        <v>46</v>
      </c>
      <c r="ED45" s="44">
        <f t="shared" si="24"/>
        <v>1.9872710000000002</v>
      </c>
      <c r="EE45" s="140">
        <v>2.0139100000000001</v>
      </c>
      <c r="EF45" s="44" t="s">
        <v>46</v>
      </c>
      <c r="EG45" s="44" t="s">
        <v>46</v>
      </c>
      <c r="EH45" s="44">
        <v>0.448432</v>
      </c>
      <c r="EI45" s="44" t="s">
        <v>46</v>
      </c>
      <c r="EJ45" s="44" t="s">
        <v>46</v>
      </c>
      <c r="EK45" s="44">
        <v>0.104523</v>
      </c>
      <c r="EL45" s="44" t="s">
        <v>46</v>
      </c>
      <c r="EM45" s="44" t="s">
        <v>46</v>
      </c>
      <c r="EN45" s="44">
        <v>2.8802999999999999E-2</v>
      </c>
      <c r="EO45" s="44" t="s">
        <v>46</v>
      </c>
      <c r="EP45" s="44" t="s">
        <v>46</v>
      </c>
      <c r="EQ45" s="44">
        <v>1.8789E-2</v>
      </c>
      <c r="ER45" s="44" t="s">
        <v>46</v>
      </c>
      <c r="ES45" s="44" t="s">
        <v>46</v>
      </c>
      <c r="ET45" s="44">
        <v>6.8786E-2</v>
      </c>
      <c r="EU45" s="44" t="s">
        <v>46</v>
      </c>
      <c r="EV45" s="44" t="s">
        <v>46</v>
      </c>
      <c r="EW45" s="44">
        <v>2.3244999999999998E-2</v>
      </c>
      <c r="EX45" s="44" t="s">
        <v>46</v>
      </c>
      <c r="EY45" s="44" t="s">
        <v>46</v>
      </c>
      <c r="EZ45" s="44">
        <v>1.0369999999999999E-3</v>
      </c>
      <c r="FA45" s="44" t="s">
        <v>46</v>
      </c>
      <c r="FB45" s="44" t="s">
        <v>46</v>
      </c>
      <c r="FC45" s="44">
        <v>0.174928</v>
      </c>
      <c r="FD45" s="44" t="s">
        <v>46</v>
      </c>
      <c r="FE45" s="44" t="s">
        <v>46</v>
      </c>
      <c r="FF45" s="44">
        <v>3.6666999999999998E-2</v>
      </c>
      <c r="FG45" s="44" t="s">
        <v>46</v>
      </c>
      <c r="FH45" s="44" t="s">
        <v>46</v>
      </c>
      <c r="FI45" s="44">
        <v>1.0985999999999999E-2</v>
      </c>
      <c r="FJ45" s="44" t="s">
        <v>46</v>
      </c>
      <c r="FK45" s="44" t="s">
        <v>46</v>
      </c>
      <c r="FL45" s="44">
        <v>9.6753000000000006E-2</v>
      </c>
      <c r="FM45" s="44" t="s">
        <v>46</v>
      </c>
      <c r="FN45" s="44" t="s">
        <v>46</v>
      </c>
      <c r="FO45" s="44">
        <v>0.23335</v>
      </c>
      <c r="FP45" s="44" t="s">
        <v>46</v>
      </c>
      <c r="FQ45" s="44" t="s">
        <v>46</v>
      </c>
      <c r="FR45" s="44">
        <f t="shared" si="27"/>
        <v>1.2462989999999998</v>
      </c>
      <c r="FS45" s="95">
        <v>1.246299</v>
      </c>
      <c r="FT45" s="44" t="s">
        <v>46</v>
      </c>
      <c r="FU45" s="44" t="s">
        <v>46</v>
      </c>
      <c r="FV45" s="44">
        <v>4.6579999999999998E-3</v>
      </c>
      <c r="FW45" s="44" t="s">
        <v>46</v>
      </c>
      <c r="FX45" s="44" t="s">
        <v>46</v>
      </c>
      <c r="FY45" s="44">
        <v>8.3325999999999997E-2</v>
      </c>
      <c r="FZ45" s="44" t="s">
        <v>46</v>
      </c>
      <c r="GA45" s="44" t="s">
        <v>46</v>
      </c>
      <c r="GB45" s="44">
        <v>0</v>
      </c>
      <c r="GC45" s="44" t="s">
        <v>46</v>
      </c>
      <c r="GD45" s="44" t="s">
        <v>46</v>
      </c>
      <c r="GE45" s="44">
        <v>5.8830000000000002E-3</v>
      </c>
      <c r="GF45" s="44" t="s">
        <v>46</v>
      </c>
      <c r="GG45" s="44" t="s">
        <v>46</v>
      </c>
      <c r="GH45" s="44">
        <v>0.137074</v>
      </c>
      <c r="GI45" s="44" t="s">
        <v>46</v>
      </c>
      <c r="GJ45" s="44" t="s">
        <v>46</v>
      </c>
      <c r="GK45" s="44">
        <v>0</v>
      </c>
      <c r="GL45" s="44" t="s">
        <v>46</v>
      </c>
      <c r="GM45" s="44" t="s">
        <v>46</v>
      </c>
      <c r="GN45" s="44">
        <v>1.0687E-2</v>
      </c>
      <c r="GO45" s="44" t="s">
        <v>46</v>
      </c>
      <c r="GP45" s="44" t="s">
        <v>46</v>
      </c>
      <c r="GQ45" s="44">
        <v>3.6117000000000003E-2</v>
      </c>
      <c r="GR45" s="44" t="s">
        <v>46</v>
      </c>
      <c r="GS45" s="44" t="s">
        <v>46</v>
      </c>
      <c r="GT45" s="44">
        <v>0.16339600000000001</v>
      </c>
      <c r="GU45" s="44" t="s">
        <v>46</v>
      </c>
      <c r="GV45" s="44" t="s">
        <v>46</v>
      </c>
      <c r="GW45" s="44">
        <v>3.8915999999999999E-2</v>
      </c>
      <c r="GX45" s="44" t="s">
        <v>46</v>
      </c>
      <c r="GY45" s="44" t="s">
        <v>46</v>
      </c>
      <c r="GZ45" s="44">
        <v>0.163047</v>
      </c>
      <c r="HA45" s="44" t="s">
        <v>46</v>
      </c>
      <c r="HB45" s="44" t="s">
        <v>46</v>
      </c>
      <c r="HC45" s="44">
        <v>4.4319999999999998E-2</v>
      </c>
      <c r="HD45" s="44" t="s">
        <v>46</v>
      </c>
      <c r="HE45" s="44" t="s">
        <v>46</v>
      </c>
      <c r="HF45" s="44">
        <f t="shared" si="30"/>
        <v>0.68742400000000004</v>
      </c>
      <c r="HG45" s="44">
        <v>0.72451100000000002</v>
      </c>
      <c r="HH45" s="44" t="s">
        <v>46</v>
      </c>
      <c r="HI45" s="44" t="s">
        <v>46</v>
      </c>
      <c r="HJ45" s="44">
        <v>4.6515000000000001E-2</v>
      </c>
      <c r="HK45" s="44" t="s">
        <v>46</v>
      </c>
      <c r="HL45" s="44" t="s">
        <v>46</v>
      </c>
      <c r="HM45" s="44">
        <v>0.25750000000000001</v>
      </c>
      <c r="HN45" s="44" t="s">
        <v>46</v>
      </c>
      <c r="HO45" s="44" t="s">
        <v>46</v>
      </c>
      <c r="HP45" s="44">
        <v>5.0936000000000002E-2</v>
      </c>
      <c r="HQ45" s="44" t="s">
        <v>46</v>
      </c>
      <c r="HR45" s="44" t="s">
        <v>46</v>
      </c>
      <c r="HS45" s="44">
        <v>4.1834999999999997E-2</v>
      </c>
      <c r="HT45" s="44" t="s">
        <v>46</v>
      </c>
      <c r="HU45" s="44" t="s">
        <v>46</v>
      </c>
      <c r="HV45" s="44">
        <v>8.5366999999999998E-2</v>
      </c>
      <c r="HW45" s="44" t="s">
        <v>46</v>
      </c>
      <c r="HX45" s="44" t="s">
        <v>46</v>
      </c>
      <c r="HY45" s="44">
        <v>3.6242000000000003E-2</v>
      </c>
      <c r="HZ45" s="44" t="s">
        <v>46</v>
      </c>
      <c r="IA45" s="44" t="s">
        <v>46</v>
      </c>
      <c r="IB45" s="44">
        <v>2.7740000000000001E-2</v>
      </c>
      <c r="IC45" s="44" t="s">
        <v>46</v>
      </c>
      <c r="ID45" s="44" t="s">
        <v>46</v>
      </c>
      <c r="IE45" s="44">
        <v>0.52362399999999998</v>
      </c>
      <c r="IF45" s="44" t="s">
        <v>46</v>
      </c>
      <c r="IG45" s="44" t="s">
        <v>46</v>
      </c>
      <c r="IH45" s="44">
        <v>0.26924999999999999</v>
      </c>
      <c r="II45" s="44" t="s">
        <v>46</v>
      </c>
      <c r="IJ45" s="44" t="s">
        <v>46</v>
      </c>
      <c r="IK45" s="44">
        <v>-0.31367299999999998</v>
      </c>
      <c r="IL45" s="44" t="s">
        <v>46</v>
      </c>
      <c r="IM45" s="44" t="s">
        <v>46</v>
      </c>
      <c r="IN45" s="44">
        <v>7.5938000000000005E-2</v>
      </c>
      <c r="IO45" s="44" t="s">
        <v>46</v>
      </c>
      <c r="IP45" s="44" t="s">
        <v>46</v>
      </c>
      <c r="IQ45" s="44">
        <v>6.7355999999999999E-2</v>
      </c>
      <c r="IR45" s="44" t="s">
        <v>46</v>
      </c>
      <c r="IS45" s="44" t="s">
        <v>46</v>
      </c>
      <c r="IT45" s="50">
        <f t="shared" si="70"/>
        <v>1.1686299999999998</v>
      </c>
      <c r="IU45" s="44">
        <v>1.1686319999999999</v>
      </c>
      <c r="IV45" s="44" t="s">
        <v>46</v>
      </c>
      <c r="IW45" s="44" t="s">
        <v>46</v>
      </c>
      <c r="IX45" s="50">
        <v>2.9458000000000002E-2</v>
      </c>
      <c r="IY45" s="44" t="s">
        <v>46</v>
      </c>
      <c r="IZ45" s="44" t="s">
        <v>46</v>
      </c>
      <c r="JA45" s="50">
        <v>0.117775</v>
      </c>
      <c r="JB45" s="44" t="s">
        <v>46</v>
      </c>
      <c r="JC45" s="44" t="s">
        <v>46</v>
      </c>
      <c r="JD45" s="50">
        <v>0.59428899999999996</v>
      </c>
      <c r="JE45" s="44" t="s">
        <v>46</v>
      </c>
      <c r="JF45" s="44" t="s">
        <v>46</v>
      </c>
      <c r="JG45" s="50">
        <v>0.136463</v>
      </c>
      <c r="JH45" s="44" t="s">
        <v>46</v>
      </c>
      <c r="JI45" s="44" t="s">
        <v>46</v>
      </c>
      <c r="JJ45" s="50">
        <v>5.5381E-2</v>
      </c>
      <c r="JK45" s="44" t="s">
        <v>46</v>
      </c>
      <c r="JL45" s="44" t="s">
        <v>46</v>
      </c>
      <c r="JM45" s="50">
        <v>7.2445999999999997E-2</v>
      </c>
      <c r="JN45" s="44" t="s">
        <v>46</v>
      </c>
      <c r="JO45" s="44" t="s">
        <v>46</v>
      </c>
      <c r="JP45" s="50">
        <v>0.451791</v>
      </c>
      <c r="JQ45" s="44" t="s">
        <v>46</v>
      </c>
      <c r="JR45" s="44" t="s">
        <v>46</v>
      </c>
      <c r="JS45" s="50">
        <v>0.39513799999999999</v>
      </c>
      <c r="JT45" s="44" t="s">
        <v>46</v>
      </c>
      <c r="JU45" s="44" t="s">
        <v>46</v>
      </c>
      <c r="JV45" s="50">
        <v>0.14599799999999999</v>
      </c>
      <c r="JW45" s="44" t="s">
        <v>46</v>
      </c>
      <c r="JX45" s="44" t="s">
        <v>46</v>
      </c>
      <c r="JY45" s="50">
        <v>0.21628600000000001</v>
      </c>
      <c r="JZ45" s="44" t="s">
        <v>46</v>
      </c>
      <c r="KA45" s="44" t="s">
        <v>46</v>
      </c>
      <c r="KB45" s="50">
        <v>7.5489000000000001E-2</v>
      </c>
      <c r="KC45" s="44" t="s">
        <v>46</v>
      </c>
      <c r="KD45" s="44" t="s">
        <v>46</v>
      </c>
      <c r="KE45" s="50">
        <v>0.28498099999999998</v>
      </c>
      <c r="KF45" s="44" t="s">
        <v>46</v>
      </c>
      <c r="KG45" s="44" t="s">
        <v>46</v>
      </c>
      <c r="KH45" s="50">
        <f t="shared" si="4"/>
        <v>2.5754950000000005</v>
      </c>
      <c r="KI45" s="44">
        <v>2.5977030000000001</v>
      </c>
      <c r="KJ45" s="44" t="s">
        <v>46</v>
      </c>
      <c r="KK45" s="44" t="s">
        <v>46</v>
      </c>
      <c r="KL45" s="50">
        <v>0.22433400000000001</v>
      </c>
      <c r="KM45" s="44" t="s">
        <v>46</v>
      </c>
      <c r="KN45" s="44" t="s">
        <v>46</v>
      </c>
      <c r="KO45" s="50">
        <v>0.119656</v>
      </c>
      <c r="KP45" s="44" t="s">
        <v>46</v>
      </c>
      <c r="KQ45" s="44" t="s">
        <v>46</v>
      </c>
      <c r="KR45" s="50">
        <v>0.15276300000000001</v>
      </c>
      <c r="KS45" s="44" t="s">
        <v>46</v>
      </c>
      <c r="KT45" s="44" t="s">
        <v>46</v>
      </c>
      <c r="KU45" s="50">
        <v>8.9397000000000004E-2</v>
      </c>
      <c r="KV45" s="44" t="s">
        <v>46</v>
      </c>
      <c r="KW45" s="44" t="s">
        <v>46</v>
      </c>
      <c r="KX45" s="50">
        <v>7.9866999999999994E-2</v>
      </c>
      <c r="KY45" s="44" t="s">
        <v>46</v>
      </c>
      <c r="KZ45" s="44" t="s">
        <v>46</v>
      </c>
      <c r="LA45" s="50">
        <v>4.6113000000000001E-2</v>
      </c>
      <c r="LB45" s="44" t="s">
        <v>46</v>
      </c>
      <c r="LC45" s="44" t="s">
        <v>46</v>
      </c>
      <c r="LD45" s="50">
        <v>7.0934999999999998E-2</v>
      </c>
      <c r="LE45" s="44"/>
      <c r="LF45" s="44"/>
      <c r="LG45" s="44">
        <v>0.25845200000000002</v>
      </c>
      <c r="LH45" s="44" t="s">
        <v>46</v>
      </c>
      <c r="LI45" s="44" t="s">
        <v>46</v>
      </c>
      <c r="LJ45" s="50">
        <v>0.15412100000000001</v>
      </c>
      <c r="LK45" s="44" t="s">
        <v>46</v>
      </c>
      <c r="LL45" s="44" t="s">
        <v>46</v>
      </c>
      <c r="LM45" s="50">
        <v>0.27923799999999999</v>
      </c>
      <c r="LN45" s="44" t="s">
        <v>46</v>
      </c>
      <c r="LO45" s="44" t="s">
        <v>46</v>
      </c>
      <c r="LP45" s="50">
        <v>0.34696199999999999</v>
      </c>
      <c r="LQ45" s="44" t="s">
        <v>46</v>
      </c>
      <c r="LR45" s="44" t="s">
        <v>46</v>
      </c>
      <c r="LS45" s="50">
        <v>0.23507600000000001</v>
      </c>
      <c r="LT45" s="44" t="s">
        <v>46</v>
      </c>
      <c r="LU45" s="50" t="s">
        <v>46</v>
      </c>
      <c r="LV45" s="50">
        <f t="shared" si="58"/>
        <v>2.0569139999999995</v>
      </c>
      <c r="LW45" s="50">
        <v>2.0768339999999998</v>
      </c>
      <c r="LX45" s="44" t="s">
        <v>46</v>
      </c>
      <c r="LY45" s="44" t="s">
        <v>46</v>
      </c>
      <c r="LZ45" s="50">
        <v>3.4997E-2</v>
      </c>
      <c r="MA45" s="44" t="s">
        <v>46</v>
      </c>
      <c r="MB45" s="44" t="s">
        <v>46</v>
      </c>
      <c r="MC45" s="50">
        <v>0.46695900000000001</v>
      </c>
      <c r="MD45" s="44" t="s">
        <v>46</v>
      </c>
      <c r="ME45" s="44" t="s">
        <v>46</v>
      </c>
      <c r="MF45" s="50">
        <v>0.121309</v>
      </c>
      <c r="MG45" s="44" t="s">
        <v>46</v>
      </c>
      <c r="MH45" s="44" t="s">
        <v>46</v>
      </c>
      <c r="MI45" s="50">
        <v>9.0920000000000001E-2</v>
      </c>
      <c r="MJ45" s="44" t="s">
        <v>46</v>
      </c>
      <c r="MK45" s="44" t="s">
        <v>46</v>
      </c>
      <c r="ML45" s="50">
        <v>0.34548600000000002</v>
      </c>
      <c r="MM45" s="44" t="s">
        <v>46</v>
      </c>
      <c r="MN45" s="44" t="s">
        <v>46</v>
      </c>
      <c r="MO45" s="50">
        <v>0.299593</v>
      </c>
      <c r="MP45" s="44" t="s">
        <v>46</v>
      </c>
      <c r="MQ45" s="44" t="s">
        <v>46</v>
      </c>
      <c r="MR45" s="50">
        <v>0.206479</v>
      </c>
      <c r="MS45" s="44" t="s">
        <v>46</v>
      </c>
      <c r="MT45" s="44" t="s">
        <v>46</v>
      </c>
      <c r="MU45" s="50">
        <v>2.4541E-2</v>
      </c>
      <c r="MV45" s="44" t="s">
        <v>46</v>
      </c>
      <c r="MW45" s="44" t="s">
        <v>46</v>
      </c>
      <c r="MX45" s="50">
        <v>0.167632</v>
      </c>
      <c r="MY45" s="44" t="s">
        <v>46</v>
      </c>
      <c r="MZ45" s="44" t="s">
        <v>46</v>
      </c>
      <c r="NA45" s="50">
        <v>0.15187400000000001</v>
      </c>
      <c r="NB45" s="44" t="s">
        <v>46</v>
      </c>
      <c r="NC45" s="44" t="s">
        <v>46</v>
      </c>
      <c r="ND45" s="50">
        <v>0.369834</v>
      </c>
      <c r="NE45" s="44" t="s">
        <v>46</v>
      </c>
      <c r="NF45" s="44" t="s">
        <v>46</v>
      </c>
      <c r="NG45" s="50">
        <v>0.39412000000000003</v>
      </c>
      <c r="NH45" s="44" t="s">
        <v>46</v>
      </c>
      <c r="NI45" s="50" t="s">
        <v>46</v>
      </c>
      <c r="NJ45" s="50">
        <f t="shared" si="76"/>
        <v>2.6737440000000001</v>
      </c>
      <c r="NK45" s="50">
        <v>2.6825679999999998</v>
      </c>
      <c r="NL45" s="44" t="s">
        <v>46</v>
      </c>
      <c r="NM45" s="50" t="s">
        <v>46</v>
      </c>
      <c r="NN45" s="50">
        <v>3.9817999999999999E-2</v>
      </c>
      <c r="NO45" s="44" t="s">
        <v>46</v>
      </c>
      <c r="NP45" s="50" t="s">
        <v>46</v>
      </c>
      <c r="NQ45" s="50">
        <v>0.46972399999999997</v>
      </c>
      <c r="NR45" s="44" t="s">
        <v>46</v>
      </c>
      <c r="NS45" s="50" t="s">
        <v>46</v>
      </c>
      <c r="NT45" s="50">
        <v>0.28642600000000001</v>
      </c>
      <c r="NU45" s="44" t="s">
        <v>46</v>
      </c>
      <c r="NV45" s="50" t="s">
        <v>46</v>
      </c>
      <c r="NW45" s="50">
        <v>2.0497999999999999E-2</v>
      </c>
      <c r="NX45" s="44" t="s">
        <v>46</v>
      </c>
      <c r="NY45" s="50" t="s">
        <v>46</v>
      </c>
      <c r="NZ45" s="50">
        <v>0.133381</v>
      </c>
      <c r="OA45" s="50" t="s">
        <v>46</v>
      </c>
      <c r="OB45" s="50" t="s">
        <v>46</v>
      </c>
      <c r="OC45" s="50">
        <v>0.35876599999999997</v>
      </c>
      <c r="OD45" s="50" t="s">
        <v>46</v>
      </c>
      <c r="OE45" s="50" t="s">
        <v>46</v>
      </c>
      <c r="OF45" s="50">
        <v>7.6454999999999995E-2</v>
      </c>
      <c r="OG45" s="50" t="s">
        <v>46</v>
      </c>
      <c r="OH45" s="50" t="s">
        <v>46</v>
      </c>
      <c r="OI45" s="94">
        <v>2.2879E-2</v>
      </c>
      <c r="OJ45" s="50" t="s">
        <v>46</v>
      </c>
      <c r="OK45" s="50" t="s">
        <v>46</v>
      </c>
      <c r="OL45" s="50">
        <v>5.4289999999999998E-2</v>
      </c>
      <c r="OM45" s="50" t="s">
        <v>46</v>
      </c>
      <c r="ON45" s="50" t="s">
        <v>46</v>
      </c>
      <c r="OO45" s="50">
        <v>0.18376999999999999</v>
      </c>
      <c r="OP45" s="50" t="s">
        <v>46</v>
      </c>
      <c r="OQ45" s="50" t="s">
        <v>46</v>
      </c>
      <c r="OR45" s="50">
        <v>0.23946300000000001</v>
      </c>
      <c r="OS45" s="50" t="s">
        <v>46</v>
      </c>
      <c r="OT45" s="50" t="s">
        <v>46</v>
      </c>
      <c r="OU45" s="50">
        <v>0.17486699999999999</v>
      </c>
      <c r="OV45" s="44" t="s">
        <v>46</v>
      </c>
      <c r="OW45" s="50" t="s">
        <v>46</v>
      </c>
      <c r="OX45" s="50">
        <f t="shared" si="9"/>
        <v>2.0603370000000001</v>
      </c>
      <c r="OY45" s="50">
        <v>2.0603370000000001</v>
      </c>
      <c r="OZ45" s="44" t="s">
        <v>46</v>
      </c>
      <c r="PA45" s="50" t="s">
        <v>46</v>
      </c>
      <c r="PB45" s="50">
        <v>7.0447999999999997E-2</v>
      </c>
      <c r="PC45" s="44" t="s">
        <v>46</v>
      </c>
      <c r="PD45" s="50" t="s">
        <v>46</v>
      </c>
      <c r="PE45" s="50">
        <v>0.14629400000000001</v>
      </c>
      <c r="PF45" s="44" t="s">
        <v>46</v>
      </c>
      <c r="PG45" s="50" t="s">
        <v>46</v>
      </c>
      <c r="PH45" s="50">
        <v>0.116262</v>
      </c>
      <c r="PI45" s="44" t="s">
        <v>46</v>
      </c>
      <c r="PJ45" s="50" t="s">
        <v>46</v>
      </c>
      <c r="PK45" s="50">
        <v>5.2434000000000001E-2</v>
      </c>
      <c r="PL45" s="44" t="s">
        <v>46</v>
      </c>
      <c r="PM45" s="50" t="s">
        <v>46</v>
      </c>
      <c r="PN45" s="50">
        <v>6.1414999999999997E-2</v>
      </c>
      <c r="PO45" s="44" t="s">
        <v>46</v>
      </c>
      <c r="PP45" s="50" t="s">
        <v>46</v>
      </c>
      <c r="PQ45" s="50">
        <v>0.199208</v>
      </c>
      <c r="PR45" s="44" t="s">
        <v>46</v>
      </c>
      <c r="PS45" s="50" t="s">
        <v>46</v>
      </c>
      <c r="PT45" s="50">
        <v>5.5155999999999997E-2</v>
      </c>
      <c r="PU45" s="44" t="s">
        <v>46</v>
      </c>
      <c r="PV45" s="50" t="s">
        <v>46</v>
      </c>
      <c r="PW45" s="50">
        <v>0.20688200000000001</v>
      </c>
      <c r="PX45" s="44" t="s">
        <v>46</v>
      </c>
      <c r="PY45" s="50" t="s">
        <v>46</v>
      </c>
      <c r="PZ45" s="50">
        <v>0.71752700000000003</v>
      </c>
      <c r="QA45" s="44" t="s">
        <v>46</v>
      </c>
      <c r="QB45" s="50" t="s">
        <v>46</v>
      </c>
      <c r="QC45" s="50">
        <v>0.16173100000000001</v>
      </c>
      <c r="QD45" s="44" t="s">
        <v>46</v>
      </c>
      <c r="QE45" s="50" t="s">
        <v>46</v>
      </c>
      <c r="QF45" s="50">
        <v>7.8614000000000003E-2</v>
      </c>
      <c r="QG45" s="44" t="s">
        <v>46</v>
      </c>
      <c r="QH45" s="50" t="s">
        <v>46</v>
      </c>
      <c r="QI45" s="50">
        <v>0.26579000000000003</v>
      </c>
      <c r="QJ45" s="44" t="s">
        <v>46</v>
      </c>
      <c r="QK45" s="50" t="s">
        <v>46</v>
      </c>
      <c r="QL45" s="50">
        <f t="shared" si="40"/>
        <v>2.131761</v>
      </c>
      <c r="QM45" s="50">
        <v>2.131758</v>
      </c>
      <c r="QN45" s="44" t="s">
        <v>46</v>
      </c>
      <c r="QO45" s="50" t="s">
        <v>46</v>
      </c>
      <c r="QP45" s="50">
        <v>0.18933800000000001</v>
      </c>
      <c r="QQ45" s="44" t="s">
        <v>46</v>
      </c>
      <c r="QR45" s="50" t="s">
        <v>46</v>
      </c>
      <c r="QS45" s="50">
        <v>0.31952199999999997</v>
      </c>
      <c r="QT45" s="44" t="s">
        <v>46</v>
      </c>
      <c r="QU45" s="50" t="s">
        <v>46</v>
      </c>
      <c r="QV45" s="50">
        <v>1.142164</v>
      </c>
      <c r="QW45" s="44" t="s">
        <v>46</v>
      </c>
      <c r="QX45" s="50" t="s">
        <v>46</v>
      </c>
      <c r="QY45" s="50">
        <v>7.0241999999999999E-2</v>
      </c>
      <c r="QZ45" s="44" t="s">
        <v>46</v>
      </c>
      <c r="RA45" s="50" t="s">
        <v>46</v>
      </c>
      <c r="RB45" s="50">
        <v>0.39414700000000003</v>
      </c>
      <c r="RC45" s="44" t="s">
        <v>46</v>
      </c>
      <c r="RD45" s="50" t="s">
        <v>46</v>
      </c>
      <c r="RE45" s="50">
        <v>0.32248599999999999</v>
      </c>
      <c r="RF45" s="44" t="s">
        <v>46</v>
      </c>
      <c r="RG45" s="50" t="s">
        <v>46</v>
      </c>
      <c r="RH45" s="50">
        <v>0.12984100000000001</v>
      </c>
      <c r="RI45" s="44" t="s">
        <v>46</v>
      </c>
      <c r="RJ45" s="50" t="s">
        <v>46</v>
      </c>
      <c r="RK45" s="50">
        <v>0.14384</v>
      </c>
      <c r="RL45" s="44" t="s">
        <v>46</v>
      </c>
      <c r="RM45" s="50" t="s">
        <v>46</v>
      </c>
      <c r="RN45" s="50">
        <v>0.68044800000000005</v>
      </c>
      <c r="RO45" s="44" t="s">
        <v>46</v>
      </c>
      <c r="RP45" s="50" t="s">
        <v>46</v>
      </c>
      <c r="RQ45" s="50">
        <v>7.4182999999999999E-2</v>
      </c>
      <c r="RR45" s="44" t="s">
        <v>46</v>
      </c>
      <c r="RS45" s="50" t="s">
        <v>46</v>
      </c>
      <c r="RT45" s="50">
        <v>0.112443</v>
      </c>
      <c r="RU45" s="44" t="s">
        <v>46</v>
      </c>
      <c r="RV45" s="50" t="s">
        <v>46</v>
      </c>
      <c r="RW45" s="50">
        <v>-5.4316000000000003E-2</v>
      </c>
      <c r="RX45" s="44" t="s">
        <v>46</v>
      </c>
      <c r="RY45" s="50" t="s">
        <v>46</v>
      </c>
      <c r="RZ45" s="50">
        <f t="shared" si="43"/>
        <v>3.5243380000000002</v>
      </c>
      <c r="SA45" s="50">
        <v>3.5309460000000001</v>
      </c>
      <c r="SB45" s="44" t="s">
        <v>46</v>
      </c>
      <c r="SC45" s="50" t="s">
        <v>46</v>
      </c>
      <c r="SD45" s="50">
        <v>0.202657</v>
      </c>
      <c r="SE45" s="44" t="s">
        <v>46</v>
      </c>
      <c r="SF45" s="50" t="s">
        <v>46</v>
      </c>
      <c r="SG45" s="50">
        <v>0.28018900000000002</v>
      </c>
      <c r="SH45" s="44" t="s">
        <v>46</v>
      </c>
      <c r="SI45" s="50" t="s">
        <v>46</v>
      </c>
      <c r="SJ45" s="50">
        <v>2.4898E-2</v>
      </c>
      <c r="SK45" s="44" t="s">
        <v>46</v>
      </c>
      <c r="SL45" s="50" t="s">
        <v>46</v>
      </c>
      <c r="SM45" s="50">
        <v>9.1439000000000006E-2</v>
      </c>
      <c r="SN45" s="44" t="s">
        <v>46</v>
      </c>
      <c r="SO45" s="50" t="s">
        <v>46</v>
      </c>
      <c r="SP45" s="50">
        <v>0.63209499999999996</v>
      </c>
      <c r="SQ45" s="50" t="s">
        <v>46</v>
      </c>
      <c r="SR45" s="50" t="s">
        <v>46</v>
      </c>
      <c r="SS45" s="50">
        <v>0.13159299999999999</v>
      </c>
      <c r="ST45" s="50" t="s">
        <v>46</v>
      </c>
      <c r="SU45" s="50" t="s">
        <v>46</v>
      </c>
      <c r="SV45" s="50">
        <v>0.42537000000000003</v>
      </c>
      <c r="SW45" s="50" t="s">
        <v>46</v>
      </c>
      <c r="SX45" s="50" t="s">
        <v>46</v>
      </c>
      <c r="SY45" s="50">
        <v>7.9764000000000002E-2</v>
      </c>
      <c r="SZ45" s="50" t="s">
        <v>46</v>
      </c>
      <c r="TA45" s="50" t="s">
        <v>46</v>
      </c>
      <c r="TB45" s="50">
        <v>6.5951999999999997E-2</v>
      </c>
      <c r="TC45" s="50" t="s">
        <v>46</v>
      </c>
      <c r="TD45" s="50" t="s">
        <v>46</v>
      </c>
      <c r="TE45" s="50">
        <v>0.67060600000000004</v>
      </c>
      <c r="TF45" s="50" t="s">
        <v>46</v>
      </c>
      <c r="TG45" s="50" t="s">
        <v>46</v>
      </c>
      <c r="TH45" s="50">
        <v>0.18609600000000001</v>
      </c>
      <c r="TI45" s="50" t="s">
        <v>46</v>
      </c>
      <c r="TJ45" s="50" t="s">
        <v>46</v>
      </c>
      <c r="TK45" s="50">
        <v>0.49126200000000003</v>
      </c>
      <c r="TL45" s="44" t="s">
        <v>46</v>
      </c>
      <c r="TM45" s="50" t="s">
        <v>46</v>
      </c>
      <c r="TN45" s="50">
        <f t="shared" si="47"/>
        <v>3.2819210000000001</v>
      </c>
      <c r="TO45" s="44" t="s">
        <v>46</v>
      </c>
      <c r="TP45" s="50" t="s">
        <v>46</v>
      </c>
      <c r="TQ45" s="50">
        <v>0.45011699999999999</v>
      </c>
      <c r="TR45" s="44" t="s">
        <v>46</v>
      </c>
      <c r="TS45" s="50" t="s">
        <v>46</v>
      </c>
      <c r="TT45" s="50">
        <v>6.5973000000000004E-2</v>
      </c>
      <c r="TU45" s="44" t="s">
        <v>46</v>
      </c>
      <c r="TV45" s="50" t="s">
        <v>46</v>
      </c>
      <c r="TW45" s="50">
        <v>0.18401700000000001</v>
      </c>
      <c r="TX45" s="44" t="s">
        <v>46</v>
      </c>
      <c r="TY45" s="50" t="s">
        <v>46</v>
      </c>
      <c r="TZ45" s="50">
        <v>0.20588200000000001</v>
      </c>
      <c r="UA45" s="50"/>
      <c r="UB45" s="50"/>
      <c r="UC45" s="50"/>
      <c r="UD45" s="50"/>
      <c r="UE45" s="50"/>
      <c r="UF45" s="50"/>
      <c r="UG45" s="50"/>
      <c r="UH45" s="50"/>
      <c r="UI45" s="50"/>
      <c r="UJ45" s="50"/>
      <c r="UK45" s="50"/>
      <c r="UL45" s="50"/>
      <c r="UM45" s="50"/>
      <c r="UN45" s="50"/>
      <c r="UO45" s="50"/>
      <c r="UP45" s="50"/>
      <c r="UQ45" s="50"/>
      <c r="UR45" s="50"/>
      <c r="US45" s="50"/>
      <c r="UT45" s="50"/>
      <c r="UU45" s="50"/>
      <c r="UV45" s="50"/>
      <c r="UW45" s="50"/>
      <c r="UX45" s="50"/>
      <c r="UY45" s="292" t="s">
        <v>46</v>
      </c>
      <c r="UZ45" s="276" t="s">
        <v>46</v>
      </c>
      <c r="VA45" s="276">
        <f t="shared" si="52"/>
        <v>0.59918300000000002</v>
      </c>
      <c r="VB45" s="292" t="s">
        <v>46</v>
      </c>
      <c r="VC45" s="276" t="s">
        <v>46</v>
      </c>
      <c r="VD45" s="276">
        <f t="shared" si="55"/>
        <v>0.90598900000000004</v>
      </c>
      <c r="VE45" s="277">
        <f t="shared" si="56"/>
        <v>0.30680600000000002</v>
      </c>
      <c r="VF45" s="277">
        <f t="shared" si="57"/>
        <v>51.204056189845176</v>
      </c>
    </row>
    <row r="46" spans="1:578" s="12" customFormat="1" ht="20.25" hidden="1" customHeight="1">
      <c r="A46" s="46" t="s">
        <v>158</v>
      </c>
      <c r="B46" s="13"/>
      <c r="C46" s="46" t="s">
        <v>159</v>
      </c>
      <c r="D46" s="42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9"/>
      <c r="U46" s="49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9"/>
      <c r="BA46" s="49"/>
      <c r="BB46" s="42"/>
      <c r="BC46" s="42"/>
      <c r="BD46" s="49"/>
      <c r="BE46" s="49"/>
      <c r="BF46" s="49"/>
      <c r="BG46" s="49"/>
      <c r="BH46" s="49"/>
      <c r="BI46" s="44"/>
      <c r="BJ46" s="49"/>
      <c r="BK46" s="49"/>
      <c r="BL46" s="44"/>
      <c r="BM46" s="49"/>
      <c r="BN46" s="49"/>
      <c r="BO46" s="44"/>
      <c r="BP46" s="49"/>
      <c r="BQ46" s="49"/>
      <c r="BR46" s="44"/>
      <c r="BS46" s="49"/>
      <c r="BT46" s="49"/>
      <c r="BU46" s="44"/>
      <c r="BV46" s="49"/>
      <c r="BW46" s="49"/>
      <c r="BX46" s="44"/>
      <c r="BY46" s="49"/>
      <c r="BZ46" s="49"/>
      <c r="CA46" s="44"/>
      <c r="CB46" s="49"/>
      <c r="CC46" s="49"/>
      <c r="CD46" s="44"/>
      <c r="CE46" s="49"/>
      <c r="CF46" s="49"/>
      <c r="CG46" s="44"/>
      <c r="CH46" s="49"/>
      <c r="CI46" s="49"/>
      <c r="CJ46" s="44"/>
      <c r="CK46" s="49"/>
      <c r="CL46" s="49"/>
      <c r="CM46" s="44"/>
      <c r="CN46" s="50"/>
      <c r="CO46" s="50"/>
      <c r="CP46" s="50"/>
      <c r="CQ46" s="52"/>
      <c r="CR46" s="49"/>
      <c r="CS46" s="49"/>
      <c r="CT46" s="44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4"/>
      <c r="EB46" s="49"/>
      <c r="EC46" s="49"/>
      <c r="ED46" s="44"/>
      <c r="EE46" s="140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>
        <v>1.9000000000000001E-5</v>
      </c>
      <c r="FP46" s="44">
        <f t="shared" si="25"/>
        <v>0</v>
      </c>
      <c r="FQ46" s="44">
        <f t="shared" si="26"/>
        <v>0</v>
      </c>
      <c r="FR46" s="44">
        <f t="shared" si="27"/>
        <v>1.9000000000000001E-5</v>
      </c>
      <c r="FS46" s="95"/>
      <c r="FT46" s="44"/>
      <c r="FU46" s="44"/>
      <c r="FV46" s="44">
        <v>0</v>
      </c>
      <c r="FW46" s="44"/>
      <c r="FX46" s="44"/>
      <c r="FY46" s="44">
        <v>0</v>
      </c>
      <c r="FZ46" s="44"/>
      <c r="GA46" s="44"/>
      <c r="GB46" s="44">
        <v>0</v>
      </c>
      <c r="GC46" s="44"/>
      <c r="GD46" s="44"/>
      <c r="GE46" s="44">
        <v>0</v>
      </c>
      <c r="GF46" s="44"/>
      <c r="GG46" s="44"/>
      <c r="GH46" s="44">
        <v>0</v>
      </c>
      <c r="GI46" s="44"/>
      <c r="GJ46" s="44"/>
      <c r="GK46" s="44">
        <v>0</v>
      </c>
      <c r="GL46" s="44"/>
      <c r="GM46" s="44"/>
      <c r="GN46" s="44">
        <v>0</v>
      </c>
      <c r="GO46" s="44"/>
      <c r="GP46" s="44"/>
      <c r="GQ46" s="44">
        <v>0</v>
      </c>
      <c r="GR46" s="44">
        <v>0</v>
      </c>
      <c r="GS46" s="44"/>
      <c r="GT46" s="44">
        <v>0</v>
      </c>
      <c r="GU46" s="44">
        <v>0</v>
      </c>
      <c r="GV46" s="44"/>
      <c r="GW46" s="44">
        <v>0</v>
      </c>
      <c r="GX46" s="44">
        <v>0</v>
      </c>
      <c r="GY46" s="44"/>
      <c r="GZ46" s="44">
        <v>0</v>
      </c>
      <c r="HA46" s="44">
        <v>0</v>
      </c>
      <c r="HB46" s="44"/>
      <c r="HC46" s="44">
        <v>0</v>
      </c>
      <c r="HD46" s="44">
        <f t="shared" si="28"/>
        <v>0</v>
      </c>
      <c r="HE46" s="44">
        <f t="shared" si="29"/>
        <v>0</v>
      </c>
      <c r="HF46" s="44">
        <f t="shared" si="30"/>
        <v>0</v>
      </c>
      <c r="HG46" s="44"/>
      <c r="HH46" s="44">
        <v>0</v>
      </c>
      <c r="HI46" s="44"/>
      <c r="HJ46" s="44">
        <v>0</v>
      </c>
      <c r="HK46" s="44">
        <v>0</v>
      </c>
      <c r="HL46" s="44">
        <v>0</v>
      </c>
      <c r="HM46" s="44">
        <v>0</v>
      </c>
      <c r="HN46" s="44">
        <v>0</v>
      </c>
      <c r="HO46" s="44">
        <v>0</v>
      </c>
      <c r="HP46" s="44">
        <v>0</v>
      </c>
      <c r="HQ46" s="44">
        <v>0</v>
      </c>
      <c r="HR46" s="44">
        <v>0</v>
      </c>
      <c r="HS46" s="44">
        <v>0</v>
      </c>
      <c r="HT46" s="44">
        <v>0</v>
      </c>
      <c r="HU46" s="44">
        <v>0</v>
      </c>
      <c r="HV46" s="44">
        <v>0</v>
      </c>
      <c r="HW46" s="44">
        <v>0</v>
      </c>
      <c r="HX46" s="44">
        <v>0</v>
      </c>
      <c r="HY46" s="44">
        <v>0</v>
      </c>
      <c r="HZ46" s="44">
        <v>0</v>
      </c>
      <c r="IA46" s="44">
        <v>0</v>
      </c>
      <c r="IB46" s="44">
        <v>0</v>
      </c>
      <c r="IC46" s="44">
        <v>0</v>
      </c>
      <c r="ID46" s="44">
        <v>0</v>
      </c>
      <c r="IE46" s="44">
        <v>0</v>
      </c>
      <c r="IF46" s="44">
        <v>0</v>
      </c>
      <c r="IG46" s="44">
        <v>0</v>
      </c>
      <c r="IH46" s="44">
        <v>0</v>
      </c>
      <c r="II46" s="44">
        <v>0</v>
      </c>
      <c r="IJ46" s="44">
        <v>0</v>
      </c>
      <c r="IK46" s="44">
        <v>0</v>
      </c>
      <c r="IL46" s="44">
        <v>0</v>
      </c>
      <c r="IM46" s="44">
        <v>0</v>
      </c>
      <c r="IN46" s="44">
        <v>0</v>
      </c>
      <c r="IO46" s="44">
        <v>0</v>
      </c>
      <c r="IP46" s="44">
        <v>0</v>
      </c>
      <c r="IQ46" s="44">
        <v>0</v>
      </c>
      <c r="IR46" s="44">
        <f t="shared" si="71"/>
        <v>0</v>
      </c>
      <c r="IS46" s="50">
        <f t="shared" si="72"/>
        <v>0</v>
      </c>
      <c r="IT46" s="50">
        <f t="shared" si="70"/>
        <v>0</v>
      </c>
      <c r="IU46" s="44"/>
      <c r="IV46" s="44">
        <v>0</v>
      </c>
      <c r="IW46" s="50">
        <v>0</v>
      </c>
      <c r="IX46" s="50">
        <v>0</v>
      </c>
      <c r="IY46" s="44">
        <v>0</v>
      </c>
      <c r="IZ46" s="50">
        <v>0</v>
      </c>
      <c r="JA46" s="50">
        <v>0</v>
      </c>
      <c r="JB46" s="44">
        <v>0</v>
      </c>
      <c r="JC46" s="50">
        <v>0</v>
      </c>
      <c r="JD46" s="50">
        <v>0</v>
      </c>
      <c r="JE46" s="44">
        <v>0</v>
      </c>
      <c r="JF46" s="50">
        <v>0</v>
      </c>
      <c r="JG46" s="50">
        <v>0</v>
      </c>
      <c r="JH46" s="44">
        <v>0</v>
      </c>
      <c r="JI46" s="50">
        <v>0</v>
      </c>
      <c r="JJ46" s="50">
        <v>0</v>
      </c>
      <c r="JK46" s="44">
        <v>0</v>
      </c>
      <c r="JL46" s="50">
        <v>0</v>
      </c>
      <c r="JM46" s="50">
        <v>0</v>
      </c>
      <c r="JN46" s="44">
        <v>0</v>
      </c>
      <c r="JO46" s="50">
        <v>0</v>
      </c>
      <c r="JP46" s="50">
        <v>0</v>
      </c>
      <c r="JQ46" s="44">
        <v>0</v>
      </c>
      <c r="JR46" s="50">
        <v>0</v>
      </c>
      <c r="JS46" s="50">
        <v>0</v>
      </c>
      <c r="JT46" s="44">
        <v>0</v>
      </c>
      <c r="JU46" s="50">
        <v>0</v>
      </c>
      <c r="JV46" s="50">
        <v>0</v>
      </c>
      <c r="JW46" s="44">
        <v>0</v>
      </c>
      <c r="JX46" s="50">
        <v>0</v>
      </c>
      <c r="JY46" s="50">
        <v>0</v>
      </c>
      <c r="JZ46" s="44">
        <v>0</v>
      </c>
      <c r="KA46" s="50">
        <v>0</v>
      </c>
      <c r="KB46" s="50">
        <v>0</v>
      </c>
      <c r="KC46" s="44">
        <v>0</v>
      </c>
      <c r="KD46" s="50">
        <v>0</v>
      </c>
      <c r="KE46" s="50">
        <v>0</v>
      </c>
      <c r="KF46" s="44">
        <f>IV46+IY46+JB46+JE46+JH46+JK46+JN46+JQ46+JT46+JW46+JZ46+KC46</f>
        <v>0</v>
      </c>
      <c r="KG46" s="50">
        <f>IW46+IZ46+JC46+JF46+JI46+JL46+JO46+JR46+JU46+JX46+KA46+KD46</f>
        <v>0</v>
      </c>
      <c r="KH46" s="50">
        <f t="shared" si="4"/>
        <v>0</v>
      </c>
      <c r="KI46" s="44"/>
      <c r="KJ46" s="44">
        <v>0</v>
      </c>
      <c r="KK46" s="50">
        <v>0</v>
      </c>
      <c r="KL46" s="50">
        <v>0</v>
      </c>
      <c r="KM46" s="44"/>
      <c r="KN46" s="50">
        <v>0</v>
      </c>
      <c r="KO46" s="50">
        <v>0</v>
      </c>
      <c r="KP46" s="44">
        <v>0</v>
      </c>
      <c r="KQ46" s="50">
        <v>0</v>
      </c>
      <c r="KR46" s="50">
        <v>0</v>
      </c>
      <c r="KS46" s="44">
        <v>0</v>
      </c>
      <c r="KT46" s="50">
        <v>0</v>
      </c>
      <c r="KU46" s="50">
        <v>0</v>
      </c>
      <c r="KV46" s="44"/>
      <c r="KW46" s="50">
        <v>0</v>
      </c>
      <c r="KX46" s="50">
        <v>0</v>
      </c>
      <c r="KY46" s="44"/>
      <c r="KZ46" s="50">
        <v>0</v>
      </c>
      <c r="LA46" s="50">
        <v>0</v>
      </c>
      <c r="LB46" s="44"/>
      <c r="LC46" s="50">
        <v>0</v>
      </c>
      <c r="LD46" s="50">
        <v>0</v>
      </c>
      <c r="LE46" s="44"/>
      <c r="LF46" s="44"/>
      <c r="LG46" s="44">
        <v>0</v>
      </c>
      <c r="LH46" s="44">
        <v>0</v>
      </c>
      <c r="LI46" s="50">
        <v>0</v>
      </c>
      <c r="LJ46" s="50">
        <v>0</v>
      </c>
      <c r="LK46" s="44">
        <v>0</v>
      </c>
      <c r="LL46" s="50">
        <v>0</v>
      </c>
      <c r="LM46" s="50">
        <v>0</v>
      </c>
      <c r="LN46" s="44">
        <v>0</v>
      </c>
      <c r="LO46" s="50">
        <v>0</v>
      </c>
      <c r="LP46" s="50">
        <v>0</v>
      </c>
      <c r="LQ46" s="44">
        <v>0</v>
      </c>
      <c r="LR46" s="50">
        <v>0</v>
      </c>
      <c r="LS46" s="50">
        <v>0</v>
      </c>
      <c r="LT46" s="44">
        <f t="shared" si="58"/>
        <v>0</v>
      </c>
      <c r="LU46" s="50">
        <f t="shared" si="58"/>
        <v>0</v>
      </c>
      <c r="LV46" s="50">
        <f t="shared" si="58"/>
        <v>0</v>
      </c>
      <c r="LW46" s="50"/>
      <c r="LX46" s="44">
        <v>0</v>
      </c>
      <c r="LY46" s="50">
        <v>0</v>
      </c>
      <c r="LZ46" s="50">
        <v>0</v>
      </c>
      <c r="MA46" s="44"/>
      <c r="MB46" s="50"/>
      <c r="MC46" s="50">
        <v>0</v>
      </c>
      <c r="MD46" s="44">
        <v>0</v>
      </c>
      <c r="ME46" s="50">
        <v>0</v>
      </c>
      <c r="MF46" s="50"/>
      <c r="MG46" s="44"/>
      <c r="MH46" s="50"/>
      <c r="MI46" s="50">
        <v>0</v>
      </c>
      <c r="MJ46" s="44">
        <v>0</v>
      </c>
      <c r="MK46" s="50">
        <v>0</v>
      </c>
      <c r="ML46" s="50">
        <v>0</v>
      </c>
      <c r="MM46" s="44">
        <v>0</v>
      </c>
      <c r="MN46" s="50">
        <v>0</v>
      </c>
      <c r="MO46" s="50">
        <v>0</v>
      </c>
      <c r="MP46" s="44">
        <v>0</v>
      </c>
      <c r="MQ46" s="50">
        <v>0</v>
      </c>
      <c r="MR46" s="50">
        <v>0</v>
      </c>
      <c r="MS46" s="44">
        <v>0</v>
      </c>
      <c r="MT46" s="50">
        <v>0</v>
      </c>
      <c r="MU46" s="50">
        <v>0</v>
      </c>
      <c r="MV46" s="44">
        <v>0</v>
      </c>
      <c r="MW46" s="50">
        <v>0</v>
      </c>
      <c r="MX46" s="50">
        <v>0</v>
      </c>
      <c r="MY46" s="44">
        <v>0</v>
      </c>
      <c r="MZ46" s="50">
        <v>0</v>
      </c>
      <c r="NA46" s="50">
        <v>0</v>
      </c>
      <c r="NB46" s="44">
        <v>0</v>
      </c>
      <c r="NC46" s="50">
        <v>0</v>
      </c>
      <c r="ND46" s="50">
        <v>0</v>
      </c>
      <c r="NE46" s="44">
        <v>0</v>
      </c>
      <c r="NF46" s="50">
        <v>0</v>
      </c>
      <c r="NG46" s="50"/>
      <c r="NH46" s="44">
        <f>LX46+MA46+MD46+MG46+MJ46+MM46+MP46+MS46+MV46+MY46+NB46+NE46</f>
        <v>0</v>
      </c>
      <c r="NI46" s="50">
        <f>LY46+MB46+ME46+MH46+MK46+MN46+MQ46+MT46+MW46+MZ46+NC46+NF46</f>
        <v>0</v>
      </c>
      <c r="NJ46" s="50">
        <f t="shared" si="76"/>
        <v>0</v>
      </c>
      <c r="NK46" s="50"/>
      <c r="NL46" s="50"/>
      <c r="NM46" s="50"/>
      <c r="NN46" s="50"/>
      <c r="NO46" s="50">
        <v>0</v>
      </c>
      <c r="NP46" s="50"/>
      <c r="NQ46" s="50"/>
      <c r="NR46" s="50">
        <v>0</v>
      </c>
      <c r="NS46" s="50"/>
      <c r="NT46" s="50"/>
      <c r="NU46" s="50"/>
      <c r="NV46" s="50"/>
      <c r="NW46" s="50"/>
      <c r="NX46" s="50"/>
      <c r="NY46" s="50"/>
      <c r="NZ46" s="50"/>
      <c r="OA46" s="50"/>
      <c r="OB46" s="50"/>
      <c r="OC46" s="50"/>
      <c r="OD46" s="50"/>
      <c r="OE46" s="50"/>
      <c r="OF46" s="50"/>
      <c r="OG46" s="50"/>
      <c r="OH46" s="50"/>
      <c r="OI46" s="50"/>
      <c r="OJ46" s="50"/>
      <c r="OK46" s="50"/>
      <c r="OL46" s="50"/>
      <c r="OM46" s="50">
        <v>0</v>
      </c>
      <c r="ON46" s="50"/>
      <c r="OO46" s="50"/>
      <c r="OP46" s="50">
        <v>0</v>
      </c>
      <c r="OQ46" s="50"/>
      <c r="OR46" s="50"/>
      <c r="OS46" s="50"/>
      <c r="OT46" s="50"/>
      <c r="OU46" s="50"/>
      <c r="OV46" s="44">
        <f>NL46+NO46+NR46+NU46+NX46+OA46+OD46+OG46+OJ46+OM46+OP46+OS46</f>
        <v>0</v>
      </c>
      <c r="OW46" s="50">
        <f>NM46+NP46+NS46+NV46+NY46+OB46+OE46+OH46+OK46+ON46+OQ46+OT46</f>
        <v>0</v>
      </c>
      <c r="OX46" s="50">
        <f t="shared" si="9"/>
        <v>0</v>
      </c>
      <c r="OY46" s="50"/>
      <c r="OZ46" s="50"/>
      <c r="PA46" s="50"/>
      <c r="PB46" s="50"/>
      <c r="PC46" s="50"/>
      <c r="PD46" s="50"/>
      <c r="PE46" s="50"/>
      <c r="PF46" s="50"/>
      <c r="PG46" s="50"/>
      <c r="PH46" s="50"/>
      <c r="PI46" s="50"/>
      <c r="PJ46" s="50"/>
      <c r="PK46" s="50">
        <v>1.1E-5</v>
      </c>
      <c r="PL46" s="50"/>
      <c r="PM46" s="50"/>
      <c r="PN46" s="50"/>
      <c r="PO46" s="50"/>
      <c r="PP46" s="50"/>
      <c r="PQ46" s="50"/>
      <c r="PR46" s="50"/>
      <c r="PS46" s="50"/>
      <c r="PT46" s="50"/>
      <c r="PU46" s="50"/>
      <c r="PV46" s="50"/>
      <c r="PW46" s="50"/>
      <c r="PX46" s="50"/>
      <c r="PY46" s="50"/>
      <c r="PZ46" s="50"/>
      <c r="QA46" s="50"/>
      <c r="QB46" s="50"/>
      <c r="QC46" s="50"/>
      <c r="QD46" s="50">
        <v>0</v>
      </c>
      <c r="QE46" s="50"/>
      <c r="QF46" s="50"/>
      <c r="QG46" s="50">
        <v>0</v>
      </c>
      <c r="QH46" s="50"/>
      <c r="QI46" s="50"/>
      <c r="QJ46" s="44">
        <f t="shared" si="38"/>
        <v>0</v>
      </c>
      <c r="QK46" s="50">
        <f t="shared" si="39"/>
        <v>0</v>
      </c>
      <c r="QL46" s="50">
        <f t="shared" si="40"/>
        <v>1.1E-5</v>
      </c>
      <c r="QM46" s="50"/>
      <c r="QN46" s="50"/>
      <c r="QO46" s="50"/>
      <c r="QP46" s="50"/>
      <c r="QQ46" s="50"/>
      <c r="QR46" s="50"/>
      <c r="QS46" s="50"/>
      <c r="QT46" s="50"/>
      <c r="QU46" s="50"/>
      <c r="QV46" s="50"/>
      <c r="QW46" s="50"/>
      <c r="QX46" s="50"/>
      <c r="QY46" s="50"/>
      <c r="QZ46" s="50"/>
      <c r="RA46" s="50"/>
      <c r="RB46" s="50"/>
      <c r="RC46" s="50"/>
      <c r="RD46" s="50"/>
      <c r="RE46" s="50"/>
      <c r="RF46" s="50"/>
      <c r="RG46" s="50"/>
      <c r="RH46" s="50"/>
      <c r="RI46" s="50"/>
      <c r="RJ46" s="50"/>
      <c r="RK46" s="50"/>
      <c r="RL46" s="50"/>
      <c r="RM46" s="50"/>
      <c r="RN46" s="50"/>
      <c r="RO46" s="50"/>
      <c r="RP46" s="50"/>
      <c r="RQ46" s="50"/>
      <c r="RR46" s="50"/>
      <c r="RS46" s="50"/>
      <c r="RT46" s="50"/>
      <c r="RU46" s="50"/>
      <c r="RV46" s="50"/>
      <c r="RW46" s="50"/>
      <c r="RX46" s="44">
        <f t="shared" si="41"/>
        <v>0</v>
      </c>
      <c r="RY46" s="50">
        <f t="shared" si="42"/>
        <v>0</v>
      </c>
      <c r="RZ46" s="50">
        <f t="shared" si="43"/>
        <v>0</v>
      </c>
      <c r="SA46" s="50"/>
      <c r="SB46" s="50"/>
      <c r="SC46" s="50"/>
      <c r="SD46" s="50"/>
      <c r="SE46" s="50"/>
      <c r="SF46" s="50"/>
      <c r="SG46" s="50"/>
      <c r="SH46" s="50"/>
      <c r="SI46" s="50"/>
      <c r="SJ46" s="50"/>
      <c r="SK46" s="50"/>
      <c r="SL46" s="50"/>
      <c r="SM46" s="50"/>
      <c r="SN46" s="50"/>
      <c r="SO46" s="50"/>
      <c r="SP46" s="50"/>
      <c r="SQ46" s="50"/>
      <c r="SR46" s="50"/>
      <c r="SS46" s="50"/>
      <c r="ST46" s="50"/>
      <c r="SU46" s="50"/>
      <c r="SV46" s="50"/>
      <c r="SW46" s="50"/>
      <c r="SX46" s="50"/>
      <c r="SY46" s="50"/>
      <c r="SZ46" s="50"/>
      <c r="TA46" s="50"/>
      <c r="TB46" s="50"/>
      <c r="TC46" s="50"/>
      <c r="TD46" s="50"/>
      <c r="TE46" s="50"/>
      <c r="TF46" s="50"/>
      <c r="TG46" s="50"/>
      <c r="TH46" s="50"/>
      <c r="TI46" s="50"/>
      <c r="TJ46" s="50"/>
      <c r="TK46" s="50"/>
      <c r="TL46" s="44">
        <f t="shared" si="45"/>
        <v>0</v>
      </c>
      <c r="TM46" s="50">
        <f t="shared" si="46"/>
        <v>0</v>
      </c>
      <c r="TN46" s="50">
        <f t="shared" si="47"/>
        <v>0</v>
      </c>
      <c r="TO46" s="50"/>
      <c r="TP46" s="50"/>
      <c r="TQ46" s="50"/>
      <c r="TR46" s="50"/>
      <c r="TS46" s="50"/>
      <c r="TT46" s="50"/>
      <c r="TU46" s="50">
        <v>0</v>
      </c>
      <c r="TV46" s="50"/>
      <c r="TW46" s="50"/>
      <c r="TX46" s="50">
        <f t="shared" si="49"/>
        <v>0</v>
      </c>
      <c r="TY46" s="50"/>
      <c r="TZ46" s="50"/>
      <c r="UA46" s="50"/>
      <c r="UB46" s="50"/>
      <c r="UC46" s="50"/>
      <c r="UD46" s="50"/>
      <c r="UE46" s="50"/>
      <c r="UF46" s="50"/>
      <c r="UG46" s="50"/>
      <c r="UH46" s="50"/>
      <c r="UI46" s="50"/>
      <c r="UJ46" s="50"/>
      <c r="UK46" s="50"/>
      <c r="UL46" s="50"/>
      <c r="UM46" s="50"/>
      <c r="UN46" s="50"/>
      <c r="UO46" s="50"/>
      <c r="UP46" s="50"/>
      <c r="UQ46" s="50"/>
      <c r="UR46" s="50"/>
      <c r="US46" s="50"/>
      <c r="UT46" s="50"/>
      <c r="UU46" s="50"/>
      <c r="UV46" s="50"/>
      <c r="UW46" s="50"/>
      <c r="UX46" s="50"/>
      <c r="UY46" s="292">
        <f t="shared" si="50"/>
        <v>0</v>
      </c>
      <c r="UZ46" s="276">
        <f t="shared" si="51"/>
        <v>0</v>
      </c>
      <c r="VA46" s="276">
        <f t="shared" si="52"/>
        <v>0</v>
      </c>
      <c r="VB46" s="292">
        <f t="shared" si="53"/>
        <v>0</v>
      </c>
      <c r="VC46" s="276">
        <f t="shared" si="54"/>
        <v>0</v>
      </c>
      <c r="VD46" s="276">
        <f t="shared" si="55"/>
        <v>0</v>
      </c>
      <c r="VE46" s="277">
        <f t="shared" si="56"/>
        <v>0</v>
      </c>
      <c r="VF46" s="277" t="e">
        <f t="shared" si="57"/>
        <v>#DIV/0!</v>
      </c>
    </row>
    <row r="47" spans="1:578" s="12" customFormat="1" ht="20.5">
      <c r="A47" s="42" t="s">
        <v>160</v>
      </c>
      <c r="B47" s="13" t="s">
        <v>91</v>
      </c>
      <c r="C47" s="42" t="s">
        <v>161</v>
      </c>
      <c r="D47" s="42">
        <v>522.80289810530394</v>
      </c>
      <c r="E47" s="43">
        <v>594.98934269013841</v>
      </c>
      <c r="F47" s="43">
        <v>381.4535019721003</v>
      </c>
      <c r="G47" s="43">
        <v>380.34347414072772</v>
      </c>
      <c r="H47" s="43">
        <v>20.081445182440621</v>
      </c>
      <c r="I47" s="43">
        <v>13.31383572091223</v>
      </c>
      <c r="J47" s="43">
        <v>17.731171137329898</v>
      </c>
      <c r="K47" s="43">
        <v>17.22924883751373</v>
      </c>
      <c r="L47" s="43">
        <v>30.989725442655413</v>
      </c>
      <c r="M47" s="43">
        <v>40.671107449587652</v>
      </c>
      <c r="N47" s="43">
        <v>39.303959567674625</v>
      </c>
      <c r="O47" s="43">
        <v>48.954224790980128</v>
      </c>
      <c r="P47" s="43">
        <v>63.18496906676684</v>
      </c>
      <c r="Q47" s="43">
        <v>53.094445962174376</v>
      </c>
      <c r="R47" s="43">
        <v>47.644176754827797</v>
      </c>
      <c r="S47" s="43">
        <v>82.134989271546544</v>
      </c>
      <c r="T47" s="43">
        <v>149.88401745009992</v>
      </c>
      <c r="U47" s="43">
        <v>324.44928173430998</v>
      </c>
      <c r="V47" s="43">
        <v>474.33329918440995</v>
      </c>
      <c r="W47" s="43">
        <v>474.2414713063672</v>
      </c>
      <c r="X47" s="43">
        <v>22.21687838999209</v>
      </c>
      <c r="Y47" s="43">
        <v>16.076136447715154</v>
      </c>
      <c r="Z47" s="43">
        <v>15.889582301751272</v>
      </c>
      <c r="AA47" s="43">
        <v>23.20789295450794</v>
      </c>
      <c r="AB47" s="43">
        <v>30.330692483252797</v>
      </c>
      <c r="AC47" s="43">
        <v>38.009695448517654</v>
      </c>
      <c r="AD47" s="43">
        <v>46.747741902436516</v>
      </c>
      <c r="AE47" s="43">
        <v>52.185539638362904</v>
      </c>
      <c r="AF47" s="43">
        <v>53.83846278621067</v>
      </c>
      <c r="AG47" s="43">
        <v>59.648845197238479</v>
      </c>
      <c r="AH47" s="43">
        <v>58.588982134421542</v>
      </c>
      <c r="AI47" s="43">
        <v>69.567472581260219</v>
      </c>
      <c r="AJ47" s="43">
        <v>193.92986237983843</v>
      </c>
      <c r="AK47" s="43">
        <v>292.37805988582875</v>
      </c>
      <c r="AL47" s="43">
        <v>486.30792226566717</v>
      </c>
      <c r="AM47" s="43">
        <v>485.99282588033083</v>
      </c>
      <c r="AN47" s="43">
        <v>29.395975264796444</v>
      </c>
      <c r="AO47" s="43">
        <v>21.026732915578169</v>
      </c>
      <c r="AP47" s="43">
        <v>21.74849317875254</v>
      </c>
      <c r="AQ47" s="43">
        <v>20.449862266008729</v>
      </c>
      <c r="AR47" s="43">
        <v>30.093972145861436</v>
      </c>
      <c r="AS47" s="43">
        <v>48.352815294164515</v>
      </c>
      <c r="AT47" s="43">
        <v>50.884256492564077</v>
      </c>
      <c r="AU47" s="43">
        <v>58.687294039305407</v>
      </c>
      <c r="AV47" s="43">
        <v>63.126277027450044</v>
      </c>
      <c r="AW47" s="43">
        <v>60.149964997353457</v>
      </c>
      <c r="AX47" s="43">
        <v>45.459995959044065</v>
      </c>
      <c r="AY47" s="43">
        <v>73.897082259065101</v>
      </c>
      <c r="AZ47" s="43">
        <v>230.82073664919383</v>
      </c>
      <c r="BA47" s="43">
        <v>292.45198519075024</v>
      </c>
      <c r="BB47" s="42">
        <v>523.2727218399441</v>
      </c>
      <c r="BC47" s="42">
        <v>523.28569558511344</v>
      </c>
      <c r="BD47" s="49">
        <f>BF47-BE47</f>
        <v>16.783985999999999</v>
      </c>
      <c r="BE47" s="49">
        <v>9.1437229999999996</v>
      </c>
      <c r="BF47" s="49">
        <f>BF48+BF51</f>
        <v>25.927709</v>
      </c>
      <c r="BG47" s="49">
        <f>BI47-BH47</f>
        <v>9.3827389999999991</v>
      </c>
      <c r="BH47" s="44">
        <v>10.077064999999999</v>
      </c>
      <c r="BI47" s="44">
        <f>BI48+BI51</f>
        <v>19.459803999999998</v>
      </c>
      <c r="BJ47" s="49">
        <f>BL47-BK47</f>
        <v>12.662362999999997</v>
      </c>
      <c r="BK47" s="44">
        <v>9.9310880000000008</v>
      </c>
      <c r="BL47" s="44">
        <f>BL48+BL51</f>
        <v>22.593450999999998</v>
      </c>
      <c r="BM47" s="49">
        <f>BO47-BN47</f>
        <v>13.287391</v>
      </c>
      <c r="BN47" s="44">
        <v>15.752914000000001</v>
      </c>
      <c r="BO47" s="44">
        <f>BO48+BO51</f>
        <v>29.040305</v>
      </c>
      <c r="BP47" s="49">
        <f>BR47-BQ47</f>
        <v>15.112924000000003</v>
      </c>
      <c r="BQ47" s="44">
        <v>17.826435</v>
      </c>
      <c r="BR47" s="44">
        <f>BR48+BR51</f>
        <v>32.939359000000003</v>
      </c>
      <c r="BS47" s="49">
        <f>BU47-BT47</f>
        <v>6.9998339999999999</v>
      </c>
      <c r="BT47" s="44">
        <v>37.844701000000001</v>
      </c>
      <c r="BU47" s="44">
        <f>BU48+BU51</f>
        <v>44.844535</v>
      </c>
      <c r="BV47" s="49">
        <f>BX47-BW47</f>
        <v>35.083169999999996</v>
      </c>
      <c r="BW47" s="44">
        <v>13.711313000000001</v>
      </c>
      <c r="BX47" s="44">
        <f>BX48+BX51</f>
        <v>48.794483</v>
      </c>
      <c r="BY47" s="49">
        <f>CA47-BZ47</f>
        <v>19.263077999999989</v>
      </c>
      <c r="BZ47" s="44">
        <v>26.063576000000001</v>
      </c>
      <c r="CA47" s="44">
        <f>CA48+CA51</f>
        <v>45.326653999999991</v>
      </c>
      <c r="CB47" s="49">
        <f>CD47-CC47</f>
        <v>22.472412999999996</v>
      </c>
      <c r="CC47" s="44">
        <v>24.354821000000001</v>
      </c>
      <c r="CD47" s="44">
        <f>CD48+CD51</f>
        <v>46.827233999999997</v>
      </c>
      <c r="CE47" s="49">
        <f>CG47-CF47</f>
        <v>25.327458000000004</v>
      </c>
      <c r="CF47" s="44">
        <v>23.117450000000002</v>
      </c>
      <c r="CG47" s="44">
        <f>CG48+CG51</f>
        <v>48.444908000000005</v>
      </c>
      <c r="CH47" s="49">
        <f>CJ47-CI47</f>
        <v>25.314273</v>
      </c>
      <c r="CI47" s="44">
        <v>23.081614999999999</v>
      </c>
      <c r="CJ47" s="44">
        <f>CJ48+CJ51</f>
        <v>48.395887999999999</v>
      </c>
      <c r="CK47" s="49">
        <f>CM47-CL47</f>
        <v>39.023329999999994</v>
      </c>
      <c r="CL47" s="44">
        <v>33.911807000000003</v>
      </c>
      <c r="CM47" s="44">
        <f>CM48+CM51</f>
        <v>72.935136999999997</v>
      </c>
      <c r="CN47" s="50">
        <f>BD47+BG47+BJ47+BM47+BP47+BS47+BV47+BY47+CB47+CE47+CH47+CK47</f>
        <v>240.71295899999996</v>
      </c>
      <c r="CO47" s="50">
        <f>BE47+BH47+BK47+BN47+BQ47+BT47+BW47+BZ47+CC47+CF47+CI47+CL47</f>
        <v>244.81650800000003</v>
      </c>
      <c r="CP47" s="50">
        <f t="shared" si="21"/>
        <v>485.52946699999995</v>
      </c>
      <c r="CQ47" s="52">
        <f>CQ48+CQ51</f>
        <v>485.14665899999994</v>
      </c>
      <c r="CR47" s="49">
        <f>CT47-CS47</f>
        <v>16.052084000000001</v>
      </c>
      <c r="CS47" s="44">
        <v>8.9095119999999994</v>
      </c>
      <c r="CT47" s="44">
        <f>CT48+CT51</f>
        <v>24.961596</v>
      </c>
      <c r="CU47" s="49">
        <v>11.550101000000002</v>
      </c>
      <c r="CV47" s="44">
        <v>8.3418530000000004</v>
      </c>
      <c r="CW47" s="44">
        <v>19.891954000000002</v>
      </c>
      <c r="CX47" s="49">
        <v>12.866420999999999</v>
      </c>
      <c r="CY47" s="44">
        <v>11.670832000000001</v>
      </c>
      <c r="CZ47" s="44">
        <v>24.537253</v>
      </c>
      <c r="DA47" s="49">
        <v>13.535838999999998</v>
      </c>
      <c r="DB47" s="44">
        <v>10.309924000000001</v>
      </c>
      <c r="DC47" s="44">
        <v>23.845762999999998</v>
      </c>
      <c r="DD47" s="49">
        <v>16.450178000000001</v>
      </c>
      <c r="DE47" s="44">
        <v>20.441974999999999</v>
      </c>
      <c r="DF47" s="44">
        <v>36.892153</v>
      </c>
      <c r="DG47" s="49">
        <v>16.502963000000001</v>
      </c>
      <c r="DH47" s="44">
        <v>18.968319000000001</v>
      </c>
      <c r="DI47" s="44">
        <v>35.471282000000002</v>
      </c>
      <c r="DJ47" s="49">
        <v>23.007112000000003</v>
      </c>
      <c r="DK47" s="44">
        <v>15.159572000000001</v>
      </c>
      <c r="DL47" s="44">
        <v>38.166684000000004</v>
      </c>
      <c r="DM47" s="49">
        <v>25.243758</v>
      </c>
      <c r="DN47" s="44">
        <v>15.063375000000001</v>
      </c>
      <c r="DO47" s="44">
        <v>40.307133</v>
      </c>
      <c r="DP47" s="49">
        <v>27.346998999999997</v>
      </c>
      <c r="DQ47" s="44">
        <v>7.9879720000000001</v>
      </c>
      <c r="DR47" s="44">
        <v>35.334970999999996</v>
      </c>
      <c r="DS47" s="49">
        <v>27.597495999999992</v>
      </c>
      <c r="DT47" s="44">
        <v>6.4799930000000003</v>
      </c>
      <c r="DU47" s="44">
        <v>34.077488999999993</v>
      </c>
      <c r="DV47" s="49">
        <v>25.234768000000003</v>
      </c>
      <c r="DW47" s="44">
        <v>6.1821760000000001</v>
      </c>
      <c r="DX47" s="44">
        <v>31.416944000000001</v>
      </c>
      <c r="DY47" s="49">
        <v>38.904219000000005</v>
      </c>
      <c r="DZ47" s="44">
        <v>10.947673999999999</v>
      </c>
      <c r="EA47" s="44">
        <v>49.851893000000004</v>
      </c>
      <c r="EB47" s="44">
        <f t="shared" si="22"/>
        <v>254.29193799999999</v>
      </c>
      <c r="EC47" s="44">
        <f t="shared" si="23"/>
        <v>140.463177</v>
      </c>
      <c r="ED47" s="44">
        <f t="shared" si="24"/>
        <v>394.75511500000005</v>
      </c>
      <c r="EE47" s="140">
        <f>EE48+EE51</f>
        <v>394.716295</v>
      </c>
      <c r="EF47" s="44">
        <v>9.6049590000000009</v>
      </c>
      <c r="EG47" s="44">
        <v>0.26544800000000002</v>
      </c>
      <c r="EH47" s="44">
        <v>9.8704070000000002</v>
      </c>
      <c r="EI47" s="44">
        <v>11.269333999999999</v>
      </c>
      <c r="EJ47" s="44">
        <v>0.38095699999999999</v>
      </c>
      <c r="EK47" s="44">
        <v>11.650290999999999</v>
      </c>
      <c r="EL47" s="44">
        <v>11.124101</v>
      </c>
      <c r="EM47" s="44">
        <v>0.60218000000000005</v>
      </c>
      <c r="EN47" s="44">
        <v>11.726281</v>
      </c>
      <c r="EO47" s="44">
        <v>11.869529</v>
      </c>
      <c r="EP47" s="44">
        <v>0.47863099999999997</v>
      </c>
      <c r="EQ47" s="44">
        <v>12.34816</v>
      </c>
      <c r="ER47" s="44">
        <v>19.024157000000002</v>
      </c>
      <c r="ES47" s="44">
        <v>0.49888199999999999</v>
      </c>
      <c r="ET47" s="44">
        <v>19.523039000000001</v>
      </c>
      <c r="EU47" s="44">
        <v>22.770935000000001</v>
      </c>
      <c r="EV47" s="44">
        <v>0.79464800000000002</v>
      </c>
      <c r="EW47" s="44">
        <v>23.565583</v>
      </c>
      <c r="EX47" s="44">
        <v>28.382809999999999</v>
      </c>
      <c r="EY47" s="44">
        <v>1.1968970000000001</v>
      </c>
      <c r="EZ47" s="44">
        <v>29.579706999999999</v>
      </c>
      <c r="FA47" s="44">
        <v>27.139527999999999</v>
      </c>
      <c r="FB47" s="44">
        <v>1.224051</v>
      </c>
      <c r="FC47" s="44">
        <v>28.363578999999998</v>
      </c>
      <c r="FD47" s="44">
        <v>31.901054000000006</v>
      </c>
      <c r="FE47" s="44">
        <v>1.178566</v>
      </c>
      <c r="FF47" s="44">
        <v>33.079620000000006</v>
      </c>
      <c r="FG47" s="44">
        <v>41.655288000000006</v>
      </c>
      <c r="FH47" s="44">
        <v>2.7912940000000002</v>
      </c>
      <c r="FI47" s="44">
        <v>44.446582000000006</v>
      </c>
      <c r="FJ47" s="44">
        <v>33.171123999999999</v>
      </c>
      <c r="FK47" s="44">
        <v>2.8523510000000001</v>
      </c>
      <c r="FL47" s="44">
        <v>36.023474999999998</v>
      </c>
      <c r="FM47" s="44">
        <v>48.163151000000006</v>
      </c>
      <c r="FN47" s="44">
        <v>0</v>
      </c>
      <c r="FO47" s="44">
        <v>48.163151000000006</v>
      </c>
      <c r="FP47" s="44">
        <f t="shared" si="25"/>
        <v>296.07597000000004</v>
      </c>
      <c r="FQ47" s="44">
        <f>EG47+EJ47+EM47+EP47+ES47+EV47+EY47+FB47+FE47+FH47+FK47+FN47</f>
        <v>12.263905000000001</v>
      </c>
      <c r="FR47" s="44">
        <f t="shared" si="27"/>
        <v>308.33987500000006</v>
      </c>
      <c r="FS47" s="95">
        <f>FS48+FS51</f>
        <v>309.57780600000001</v>
      </c>
      <c r="FT47" s="44">
        <v>12.07014</v>
      </c>
      <c r="FU47" s="44">
        <v>0.56837599999999999</v>
      </c>
      <c r="FV47" s="44">
        <v>12.638516000000001</v>
      </c>
      <c r="FW47" s="44">
        <v>12.875680000000003</v>
      </c>
      <c r="FX47" s="44">
        <v>4.7226679999999996</v>
      </c>
      <c r="FY47" s="44">
        <v>17.598348000000001</v>
      </c>
      <c r="FZ47" s="44">
        <v>15.332904000000001</v>
      </c>
      <c r="GA47" s="44">
        <v>2.9603359999999999</v>
      </c>
      <c r="GB47" s="44">
        <v>18.293240000000001</v>
      </c>
      <c r="GC47" s="44">
        <v>18.641272000000001</v>
      </c>
      <c r="GD47" s="50">
        <v>2.1683699999999999</v>
      </c>
      <c r="GE47" s="44">
        <v>20.809642</v>
      </c>
      <c r="GF47" s="44">
        <v>28.550913000000001</v>
      </c>
      <c r="GG47" s="44">
        <v>4.3160829999999999</v>
      </c>
      <c r="GH47" s="44">
        <v>32.866996</v>
      </c>
      <c r="GI47" s="44">
        <v>33.632291000000002</v>
      </c>
      <c r="GJ47" s="44">
        <v>6.1647939999999997</v>
      </c>
      <c r="GK47" s="44">
        <v>39.797085000000003</v>
      </c>
      <c r="GL47" s="44">
        <v>33.054310000000001</v>
      </c>
      <c r="GM47" s="44">
        <v>9.8102269999999994</v>
      </c>
      <c r="GN47" s="44">
        <v>42.864536999999999</v>
      </c>
      <c r="GO47" s="44">
        <v>44.567010999999994</v>
      </c>
      <c r="GP47" s="44">
        <v>12.169578</v>
      </c>
      <c r="GQ47" s="44">
        <v>56.736588999999995</v>
      </c>
      <c r="GR47" s="44">
        <v>40.384228</v>
      </c>
      <c r="GS47" s="44">
        <v>17.016938</v>
      </c>
      <c r="GT47" s="44">
        <v>57.401166000000003</v>
      </c>
      <c r="GU47" s="44">
        <v>37.015540000000001</v>
      </c>
      <c r="GV47" s="44">
        <v>17.402754999999999</v>
      </c>
      <c r="GW47" s="44">
        <v>54.418295000000001</v>
      </c>
      <c r="GX47" s="44">
        <v>48.120573999999998</v>
      </c>
      <c r="GY47" s="44">
        <v>17.504290999999998</v>
      </c>
      <c r="GZ47" s="44">
        <v>65.624865</v>
      </c>
      <c r="HA47" s="44">
        <v>59.179616000000003</v>
      </c>
      <c r="HB47" s="44">
        <v>32.922254000000002</v>
      </c>
      <c r="HC47" s="44">
        <v>92.101870000000005</v>
      </c>
      <c r="HD47" s="44">
        <f t="shared" si="28"/>
        <v>383.42447899999996</v>
      </c>
      <c r="HE47" s="44">
        <f t="shared" si="29"/>
        <v>127.72666999999998</v>
      </c>
      <c r="HF47" s="44">
        <f t="shared" si="30"/>
        <v>511.15114899999998</v>
      </c>
      <c r="HG47" s="44">
        <f>HG48+HG51</f>
        <v>511.40002900000002</v>
      </c>
      <c r="HH47" s="44">
        <v>16.561616999999998</v>
      </c>
      <c r="HI47" s="44">
        <v>6.2981579999999999</v>
      </c>
      <c r="HJ47" s="44">
        <v>22.859774999999999</v>
      </c>
      <c r="HK47" s="44">
        <v>18.747530999999999</v>
      </c>
      <c r="HL47" s="44">
        <v>7.7920429999999996</v>
      </c>
      <c r="HM47" s="44">
        <v>26.539574000000002</v>
      </c>
      <c r="HN47" s="44">
        <v>17.568023</v>
      </c>
      <c r="HO47" s="44">
        <v>8.0333319999999997</v>
      </c>
      <c r="HP47" s="44">
        <v>25.601355000000002</v>
      </c>
      <c r="HQ47" s="44">
        <v>21.516876</v>
      </c>
      <c r="HR47" s="44">
        <v>5.8981950000000003</v>
      </c>
      <c r="HS47" s="44">
        <v>27.415071000000001</v>
      </c>
      <c r="HT47" s="44">
        <v>23.795494000000001</v>
      </c>
      <c r="HU47" s="44">
        <v>12.974834</v>
      </c>
      <c r="HV47" s="44">
        <v>36.770327999999999</v>
      </c>
      <c r="HW47" s="44">
        <v>27.586739000000001</v>
      </c>
      <c r="HX47" s="44">
        <v>21.678892000000001</v>
      </c>
      <c r="HY47" s="44">
        <v>49.265630999999999</v>
      </c>
      <c r="HZ47" s="44">
        <v>29.699666000000001</v>
      </c>
      <c r="IA47" s="44">
        <v>28.512530999999999</v>
      </c>
      <c r="IB47" s="44">
        <v>58.212197000000003</v>
      </c>
      <c r="IC47" s="44">
        <v>35.407573999999997</v>
      </c>
      <c r="ID47" s="44">
        <v>32.651164999999999</v>
      </c>
      <c r="IE47" s="44">
        <v>68.058739000000003</v>
      </c>
      <c r="IF47" s="44">
        <v>35.958132999999997</v>
      </c>
      <c r="IG47" s="44">
        <v>37.800232000000001</v>
      </c>
      <c r="IH47" s="44">
        <v>73.758364999999998</v>
      </c>
      <c r="II47" s="44">
        <v>39.038558000000002</v>
      </c>
      <c r="IJ47" s="44">
        <v>30.725460000000002</v>
      </c>
      <c r="IK47" s="44">
        <v>69.764017999999993</v>
      </c>
      <c r="IL47" s="44">
        <v>29.627593000000001</v>
      </c>
      <c r="IM47" s="44">
        <v>51.233846999999997</v>
      </c>
      <c r="IN47" s="44">
        <v>80.861440000000002</v>
      </c>
      <c r="IO47" s="44">
        <v>86.149268000000006</v>
      </c>
      <c r="IP47" s="44">
        <v>42.126475999999997</v>
      </c>
      <c r="IQ47" s="44">
        <v>128.275744</v>
      </c>
      <c r="IR47" s="44">
        <f t="shared" si="71"/>
        <v>381.65707199999997</v>
      </c>
      <c r="IS47" s="50">
        <f t="shared" si="72"/>
        <v>285.72516499999995</v>
      </c>
      <c r="IT47" s="50">
        <f t="shared" si="70"/>
        <v>667.38223700000003</v>
      </c>
      <c r="IU47" s="44">
        <f>IU48+IU51</f>
        <v>667.33557300000007</v>
      </c>
      <c r="IV47" s="44">
        <v>18.984718000000001</v>
      </c>
      <c r="IW47" s="50">
        <v>12.023279</v>
      </c>
      <c r="IX47" s="50">
        <v>31.007997</v>
      </c>
      <c r="IY47" s="44">
        <v>11.847189999999999</v>
      </c>
      <c r="IZ47" s="50">
        <v>12.126308999999999</v>
      </c>
      <c r="JA47" s="50">
        <v>23.973499</v>
      </c>
      <c r="JB47" s="44">
        <v>15.152248</v>
      </c>
      <c r="JC47" s="50">
        <v>15.958601</v>
      </c>
      <c r="JD47" s="50">
        <v>31.110849000000002</v>
      </c>
      <c r="JE47" s="44">
        <v>16.691427000000001</v>
      </c>
      <c r="JF47" s="50">
        <v>16.491811999999999</v>
      </c>
      <c r="JG47" s="50">
        <v>33.183239</v>
      </c>
      <c r="JH47" s="44">
        <v>30.706313000000002</v>
      </c>
      <c r="JI47" s="50">
        <v>25.892443</v>
      </c>
      <c r="JJ47" s="50">
        <v>56.598756000000002</v>
      </c>
      <c r="JK47" s="44">
        <v>24.199068</v>
      </c>
      <c r="JL47" s="50">
        <v>36.185008000000003</v>
      </c>
      <c r="JM47" s="50">
        <v>60.384076</v>
      </c>
      <c r="JN47" s="44">
        <v>36.229942999999999</v>
      </c>
      <c r="JO47" s="50">
        <v>30.974337999999999</v>
      </c>
      <c r="JP47" s="50">
        <v>67.204280999999995</v>
      </c>
      <c r="JQ47" s="44">
        <v>35.565738000000003</v>
      </c>
      <c r="JR47" s="50">
        <v>34.189712</v>
      </c>
      <c r="JS47" s="50">
        <v>69.755449999999996</v>
      </c>
      <c r="JT47" s="44">
        <v>34.826538999999997</v>
      </c>
      <c r="JU47" s="50">
        <v>37.517591000000003</v>
      </c>
      <c r="JV47" s="50">
        <v>72.344130000000007</v>
      </c>
      <c r="JW47" s="44">
        <v>29.912958</v>
      </c>
      <c r="JX47" s="50">
        <v>35.322575000000001</v>
      </c>
      <c r="JY47" s="50">
        <v>65.235533000000004</v>
      </c>
      <c r="JZ47" s="44">
        <v>23.715633</v>
      </c>
      <c r="KA47" s="50">
        <v>25.02403</v>
      </c>
      <c r="KB47" s="50">
        <v>48.739663</v>
      </c>
      <c r="KC47" s="44">
        <v>61.817112999999999</v>
      </c>
      <c r="KD47" s="50">
        <v>44.070917000000001</v>
      </c>
      <c r="KE47" s="50">
        <v>105.88803</v>
      </c>
      <c r="KF47" s="44">
        <f>IV47+IY47+JB47+JE47+JH47+JK47+JN47+JQ47+JT47+JW47+JZ47+KC47</f>
        <v>339.64888800000006</v>
      </c>
      <c r="KG47" s="50">
        <f>IW47+IZ47+JC47+JF47+JI47+JL47+JO47+JR47+JU47+JX47+KA47+KD47</f>
        <v>325.77661499999999</v>
      </c>
      <c r="KH47" s="50">
        <f t="shared" si="4"/>
        <v>665.42550299999994</v>
      </c>
      <c r="KI47" s="44">
        <f>KI48+KI51</f>
        <v>664.71888000000001</v>
      </c>
      <c r="KJ47" s="44">
        <v>11.538152999999999</v>
      </c>
      <c r="KK47" s="50">
        <v>22.402296</v>
      </c>
      <c r="KL47" s="50">
        <v>33.940449000000001</v>
      </c>
      <c r="KM47" s="44">
        <v>13.464344000000001</v>
      </c>
      <c r="KN47" s="50">
        <v>14.574208</v>
      </c>
      <c r="KO47" s="50">
        <v>28.038551999999999</v>
      </c>
      <c r="KP47" s="44">
        <v>16.663813999999999</v>
      </c>
      <c r="KQ47" s="50">
        <v>17.912652000000001</v>
      </c>
      <c r="KR47" s="50">
        <v>34.576466000000003</v>
      </c>
      <c r="KS47" s="50">
        <v>13.824833</v>
      </c>
      <c r="KT47" s="50">
        <v>20.06683</v>
      </c>
      <c r="KU47" s="50">
        <v>33.891663000000001</v>
      </c>
      <c r="KV47" s="44">
        <v>19.103194999999999</v>
      </c>
      <c r="KW47" s="50">
        <v>18.426386999999998</v>
      </c>
      <c r="KX47" s="50">
        <v>37.529581999999998</v>
      </c>
      <c r="KY47" s="44">
        <v>21.954274000000002</v>
      </c>
      <c r="KZ47" s="50">
        <v>27.751681999999999</v>
      </c>
      <c r="LA47" s="50">
        <v>49.705956</v>
      </c>
      <c r="LB47" s="44">
        <v>28.210594</v>
      </c>
      <c r="LC47" s="50">
        <v>27.170919000000001</v>
      </c>
      <c r="LD47" s="50">
        <v>55.381512999999998</v>
      </c>
      <c r="LE47" s="44">
        <v>18.516307999999999</v>
      </c>
      <c r="LF47" s="44">
        <v>31.447831999999998</v>
      </c>
      <c r="LG47" s="44">
        <v>49.96414</v>
      </c>
      <c r="LH47" s="44">
        <v>28.843069</v>
      </c>
      <c r="LI47" s="50">
        <v>30.867146000000002</v>
      </c>
      <c r="LJ47" s="50">
        <v>59.710214999999998</v>
      </c>
      <c r="LK47" s="44">
        <v>39.266855999999997</v>
      </c>
      <c r="LL47" s="50">
        <v>25.570917999999999</v>
      </c>
      <c r="LM47" s="50">
        <v>64.837773999999996</v>
      </c>
      <c r="LN47" s="44">
        <v>36.932467000000003</v>
      </c>
      <c r="LO47" s="50">
        <v>26.865649999999999</v>
      </c>
      <c r="LP47" s="50">
        <v>63.798116999999998</v>
      </c>
      <c r="LQ47" s="44">
        <v>80.165619000000007</v>
      </c>
      <c r="LR47" s="50">
        <v>34.103293000000001</v>
      </c>
      <c r="LS47" s="50">
        <v>114.268912</v>
      </c>
      <c r="LT47" s="44">
        <f t="shared" si="58"/>
        <v>328.48352599999998</v>
      </c>
      <c r="LU47" s="50">
        <f t="shared" si="58"/>
        <v>297.15981300000004</v>
      </c>
      <c r="LV47" s="50">
        <f t="shared" si="58"/>
        <v>625.64333899999997</v>
      </c>
      <c r="LW47" s="44">
        <f>LW48+LW51</f>
        <v>625.70176600000002</v>
      </c>
      <c r="LX47" s="44">
        <v>12.333219</v>
      </c>
      <c r="LY47" s="50">
        <v>9.4709570000000003</v>
      </c>
      <c r="LZ47" s="50">
        <v>21.804175999999998</v>
      </c>
      <c r="MA47" s="44">
        <v>17.332732</v>
      </c>
      <c r="MB47" s="50">
        <v>15.609401</v>
      </c>
      <c r="MC47" s="50">
        <v>32.942132999999998</v>
      </c>
      <c r="MD47" s="44">
        <v>12.792851000000001</v>
      </c>
      <c r="ME47" s="50">
        <v>14.759041</v>
      </c>
      <c r="MF47" s="50">
        <v>27.551891999999999</v>
      </c>
      <c r="MG47" s="44">
        <v>17.002226</v>
      </c>
      <c r="MH47" s="50">
        <v>19.387941999999999</v>
      </c>
      <c r="MI47" s="50">
        <v>36.390168000000003</v>
      </c>
      <c r="MJ47" s="44">
        <v>23.704495999999999</v>
      </c>
      <c r="MK47" s="50">
        <v>18.066815999999999</v>
      </c>
      <c r="ML47" s="50">
        <v>41.771312000000002</v>
      </c>
      <c r="MM47" s="44">
        <v>27.86346</v>
      </c>
      <c r="MN47" s="50">
        <v>26.648118</v>
      </c>
      <c r="MO47" s="50">
        <v>54.511578</v>
      </c>
      <c r="MP47" s="44">
        <v>31.595068000000001</v>
      </c>
      <c r="MQ47" s="50">
        <v>27.50882</v>
      </c>
      <c r="MR47" s="50">
        <v>59.103887999999998</v>
      </c>
      <c r="MS47" s="44">
        <v>25.401509999999998</v>
      </c>
      <c r="MT47" s="50">
        <v>21.287399000000001</v>
      </c>
      <c r="MU47" s="50">
        <v>46.688909000000002</v>
      </c>
      <c r="MV47" s="44">
        <v>28.562602999999999</v>
      </c>
      <c r="MW47" s="50">
        <v>30.340295000000001</v>
      </c>
      <c r="MX47" s="50">
        <v>58.902898</v>
      </c>
      <c r="MY47" s="44">
        <v>29.344687</v>
      </c>
      <c r="MZ47" s="50">
        <v>24.585417</v>
      </c>
      <c r="NA47" s="50">
        <v>53.930104</v>
      </c>
      <c r="NB47" s="44">
        <v>33.379480000000001</v>
      </c>
      <c r="NC47" s="50">
        <v>33.114255999999997</v>
      </c>
      <c r="ND47" s="50">
        <v>66.493735999999998</v>
      </c>
      <c r="NE47" s="44">
        <v>83.361577999999994</v>
      </c>
      <c r="NF47" s="50">
        <v>46.936897000000002</v>
      </c>
      <c r="NG47" s="50">
        <v>130.298475</v>
      </c>
      <c r="NH47" s="44">
        <f>LX47+MA47+MD47+MG47+MJ47+MM47+MP47+MS47+MV47+MY47+NB47+NE47</f>
        <v>342.67390999999998</v>
      </c>
      <c r="NI47" s="50">
        <f>LY47+MB47+ME47+MH47+MK47+MN47+MQ47+MT47+MW47+MZ47+NC47+NF47</f>
        <v>287.71535899999998</v>
      </c>
      <c r="NJ47" s="50">
        <f t="shared" si="76"/>
        <v>630.38926900000001</v>
      </c>
      <c r="NK47" s="44">
        <f>NK48+NK51</f>
        <v>631.08889599999998</v>
      </c>
      <c r="NL47" s="50">
        <v>14.646514</v>
      </c>
      <c r="NM47" s="50">
        <v>8.6097699999999993</v>
      </c>
      <c r="NN47" s="50">
        <v>23.256284000000001</v>
      </c>
      <c r="NO47" s="50">
        <v>11.882982</v>
      </c>
      <c r="NP47" s="50">
        <v>9.6760420000000007</v>
      </c>
      <c r="NQ47" s="50">
        <v>21.559024000000001</v>
      </c>
      <c r="NR47" s="50">
        <v>12.703576999999999</v>
      </c>
      <c r="NS47" s="50">
        <v>15.687732</v>
      </c>
      <c r="NT47" s="50">
        <v>28.391309</v>
      </c>
      <c r="NU47" s="50">
        <v>12.666640000000001</v>
      </c>
      <c r="NV47" s="50">
        <v>9.3907430000000005</v>
      </c>
      <c r="NW47" s="50">
        <v>22.057383000000002</v>
      </c>
      <c r="NX47" s="50">
        <v>19.244230000000002</v>
      </c>
      <c r="NY47" s="50">
        <v>15.910432999999999</v>
      </c>
      <c r="NZ47" s="50">
        <v>35.154662999999999</v>
      </c>
      <c r="OA47" s="50">
        <v>24.679119</v>
      </c>
      <c r="OB47" s="50">
        <v>20.030985999999999</v>
      </c>
      <c r="OC47" s="50">
        <v>44.710104999999999</v>
      </c>
      <c r="OD47" s="50">
        <v>24.280347999999996</v>
      </c>
      <c r="OE47" s="50">
        <v>11.427415999999999</v>
      </c>
      <c r="OF47" s="50">
        <v>35.707763999999997</v>
      </c>
      <c r="OG47" s="50">
        <v>26.976883000000001</v>
      </c>
      <c r="OH47" s="50">
        <v>22.640146000000001</v>
      </c>
      <c r="OI47" s="94">
        <v>49.617029000000002</v>
      </c>
      <c r="OJ47" s="50">
        <v>25.040917000000004</v>
      </c>
      <c r="OK47" s="50">
        <v>31.484722999999999</v>
      </c>
      <c r="OL47" s="50">
        <v>56.525640000000003</v>
      </c>
      <c r="OM47" s="50">
        <v>50.268079</v>
      </c>
      <c r="ON47" s="50">
        <v>11.126236</v>
      </c>
      <c r="OO47" s="50">
        <v>61.394314999999999</v>
      </c>
      <c r="OP47" s="50">
        <v>41.394103999999999</v>
      </c>
      <c r="OQ47" s="50">
        <v>21.823720999999999</v>
      </c>
      <c r="OR47" s="50">
        <v>63.217824999999998</v>
      </c>
      <c r="OS47" s="50">
        <v>84.849608000000003</v>
      </c>
      <c r="OT47" s="50">
        <v>33.203091000000001</v>
      </c>
      <c r="OU47" s="50">
        <v>118.052699</v>
      </c>
      <c r="OV47" s="44">
        <f>NL47+NO47+NR47+NU47+NX47+OA47+OD47+OG47+OJ47+OM47+OP47+OS47</f>
        <v>348.63300099999998</v>
      </c>
      <c r="OW47" s="50">
        <f>NM47+NP47+NS47+NV47+NY47+OB47+OE47+OH47+OK47+ON47+OQ47+OT47</f>
        <v>211.01103900000001</v>
      </c>
      <c r="OX47" s="50">
        <f t="shared" si="9"/>
        <v>559.64404000000002</v>
      </c>
      <c r="OY47" s="44">
        <f>OY48+OY51</f>
        <v>559.619776</v>
      </c>
      <c r="OZ47" s="50">
        <v>15.395262999999998</v>
      </c>
      <c r="PA47" s="50">
        <v>8.6586890000000007</v>
      </c>
      <c r="PB47" s="50">
        <v>24.053951999999999</v>
      </c>
      <c r="PC47" s="50">
        <v>8.9706870000000016</v>
      </c>
      <c r="PD47" s="50">
        <v>9.0680779999999999</v>
      </c>
      <c r="PE47" s="50">
        <v>18.038765000000001</v>
      </c>
      <c r="PF47" s="85">
        <v>11.712606999999998</v>
      </c>
      <c r="PG47" s="50">
        <v>14.224035000000001</v>
      </c>
      <c r="PH47" s="50">
        <v>25.936641999999999</v>
      </c>
      <c r="PI47" s="85">
        <v>10.161147</v>
      </c>
      <c r="PJ47" s="50">
        <v>19.120148</v>
      </c>
      <c r="PK47" s="50">
        <v>29.281295</v>
      </c>
      <c r="PL47" s="85">
        <v>12.431583</v>
      </c>
      <c r="PM47" s="50">
        <v>18.654095999999999</v>
      </c>
      <c r="PN47" s="50">
        <v>31.085678999999999</v>
      </c>
      <c r="PO47" s="50">
        <v>24.339912999999992</v>
      </c>
      <c r="PP47" s="50">
        <v>20.217535000000002</v>
      </c>
      <c r="PQ47" s="50">
        <v>44.557447999999994</v>
      </c>
      <c r="PR47" s="50">
        <v>19.079293</v>
      </c>
      <c r="PS47" s="50">
        <v>17.835999000000001</v>
      </c>
      <c r="PT47" s="50">
        <v>36.915292000000001</v>
      </c>
      <c r="PU47" s="50">
        <v>31.960984000000003</v>
      </c>
      <c r="PV47" s="50">
        <v>40.048921999999997</v>
      </c>
      <c r="PW47" s="50">
        <v>72.009906000000001</v>
      </c>
      <c r="PX47" s="50">
        <v>27.787628999999999</v>
      </c>
      <c r="PY47" s="50">
        <v>18.333634</v>
      </c>
      <c r="PZ47" s="50">
        <v>46.121262999999999</v>
      </c>
      <c r="QA47" s="50">
        <v>31.376334999999997</v>
      </c>
      <c r="QB47" s="50">
        <v>20.373759</v>
      </c>
      <c r="QC47" s="50">
        <v>51.750093999999997</v>
      </c>
      <c r="QD47" s="50">
        <v>39.852293000000003</v>
      </c>
      <c r="QE47" s="50">
        <v>18.655775999999999</v>
      </c>
      <c r="QF47" s="50">
        <v>58.508068999999999</v>
      </c>
      <c r="QG47" s="50">
        <v>79.583373000000009</v>
      </c>
      <c r="QH47" s="50">
        <v>55.722549999999998</v>
      </c>
      <c r="QI47" s="50">
        <v>135.30592300000001</v>
      </c>
      <c r="QJ47" s="44">
        <f t="shared" si="38"/>
        <v>312.65110700000002</v>
      </c>
      <c r="QK47" s="50">
        <f t="shared" si="39"/>
        <v>260.91322100000002</v>
      </c>
      <c r="QL47" s="50">
        <f t="shared" si="40"/>
        <v>573.56432799999993</v>
      </c>
      <c r="QM47" s="44">
        <f>QM48+QM51</f>
        <v>574.69046200000003</v>
      </c>
      <c r="QN47" s="50">
        <v>16.588531</v>
      </c>
      <c r="QO47" s="50">
        <v>1.717649</v>
      </c>
      <c r="QP47" s="50">
        <v>18.306180000000001</v>
      </c>
      <c r="QQ47" s="50">
        <v>9.9381880000000002</v>
      </c>
      <c r="QR47" s="50">
        <v>1.906452</v>
      </c>
      <c r="QS47" s="50">
        <v>11.84464</v>
      </c>
      <c r="QT47" s="50">
        <v>11.918415000000001</v>
      </c>
      <c r="QU47" s="50">
        <v>4.1188260000000003</v>
      </c>
      <c r="QV47" s="50">
        <v>16.037241000000002</v>
      </c>
      <c r="QW47" s="50">
        <v>15.227808</v>
      </c>
      <c r="QX47" s="50">
        <v>5.9130649999999996</v>
      </c>
      <c r="QY47" s="50">
        <v>21.140872999999999</v>
      </c>
      <c r="QZ47" s="50">
        <v>22.539653000000001</v>
      </c>
      <c r="RA47" s="50">
        <v>3.533061</v>
      </c>
      <c r="RB47" s="50">
        <v>26.072714000000001</v>
      </c>
      <c r="RC47" s="50">
        <v>24.907328999999997</v>
      </c>
      <c r="RD47" s="50">
        <v>6.2097860000000003</v>
      </c>
      <c r="RE47" s="50">
        <v>31.117114999999998</v>
      </c>
      <c r="RF47" s="50">
        <v>29.217638000000001</v>
      </c>
      <c r="RG47" s="50">
        <v>9.5479839999999996</v>
      </c>
      <c r="RH47" s="50">
        <v>38.765622</v>
      </c>
      <c r="RI47" s="50">
        <v>46.072502</v>
      </c>
      <c r="RJ47" s="50">
        <v>7.3180399999999999</v>
      </c>
      <c r="RK47" s="50">
        <v>53.390542000000003</v>
      </c>
      <c r="RL47" s="50">
        <v>34.455531000000001</v>
      </c>
      <c r="RM47" s="50">
        <v>8.4528160000000003</v>
      </c>
      <c r="RN47" s="50">
        <v>42.908346999999999</v>
      </c>
      <c r="RO47" s="50">
        <v>38.707909999999998</v>
      </c>
      <c r="RP47" s="50">
        <v>11.902677000000001</v>
      </c>
      <c r="RQ47" s="50">
        <v>50.364035999999999</v>
      </c>
      <c r="RR47" s="50">
        <v>56.267402000000004</v>
      </c>
      <c r="RS47" s="50">
        <v>10.447283000000001</v>
      </c>
      <c r="RT47" s="50">
        <v>66.714685000000003</v>
      </c>
      <c r="RU47" s="50">
        <v>80.145668999999998</v>
      </c>
      <c r="RV47" s="50">
        <v>30.467333</v>
      </c>
      <c r="RW47" s="50">
        <v>110.61300199999999</v>
      </c>
      <c r="RX47" s="44">
        <f t="shared" si="41"/>
        <v>385.98657600000001</v>
      </c>
      <c r="RY47" s="50">
        <f t="shared" si="42"/>
        <v>101.534972</v>
      </c>
      <c r="RZ47" s="50">
        <f t="shared" si="43"/>
        <v>487.27499700000004</v>
      </c>
      <c r="SA47" s="44">
        <f>SA48+SA51</f>
        <v>487.29759200000001</v>
      </c>
      <c r="SB47" s="50">
        <v>16.264127999999999</v>
      </c>
      <c r="SC47" s="50">
        <v>11.587972000000001</v>
      </c>
      <c r="SD47" s="50">
        <v>27.8521</v>
      </c>
      <c r="SE47" s="50">
        <v>12.71246</v>
      </c>
      <c r="SF47" s="50">
        <v>6.4003620000000003</v>
      </c>
      <c r="SG47" s="50">
        <v>19.112822000000001</v>
      </c>
      <c r="SH47" s="50">
        <v>17.260810999999997</v>
      </c>
      <c r="SI47" s="50">
        <v>10.614140000000001</v>
      </c>
      <c r="SJ47" s="50">
        <v>27.874950999999999</v>
      </c>
      <c r="SK47" s="50">
        <v>24.037218000000003</v>
      </c>
      <c r="SL47" s="50">
        <v>16.510466999999998</v>
      </c>
      <c r="SM47" s="50">
        <v>40.547685000000001</v>
      </c>
      <c r="SN47" s="50">
        <f t="shared" ref="SN47" si="77">SP47-SO47</f>
        <v>24.889204000000003</v>
      </c>
      <c r="SO47" s="50">
        <v>24.977056999999999</v>
      </c>
      <c r="SP47" s="50">
        <v>49.866261000000002</v>
      </c>
      <c r="SQ47" s="50">
        <v>23.918062000000003</v>
      </c>
      <c r="SR47" s="50">
        <v>21.938039</v>
      </c>
      <c r="SS47" s="50">
        <v>45.856101000000002</v>
      </c>
      <c r="ST47" s="50">
        <v>29.288412999999998</v>
      </c>
      <c r="SU47" s="50">
        <v>34.685121000000002</v>
      </c>
      <c r="SV47" s="50">
        <v>63.973534000000001</v>
      </c>
      <c r="SW47" s="50">
        <v>31.265150000000002</v>
      </c>
      <c r="SX47" s="50">
        <v>31.726434000000001</v>
      </c>
      <c r="SY47" s="50">
        <v>62.991584000000003</v>
      </c>
      <c r="SZ47" s="50">
        <v>40.600372999999998</v>
      </c>
      <c r="TA47" s="50">
        <v>35.896639999999998</v>
      </c>
      <c r="TB47" s="50">
        <v>76.497012999999995</v>
      </c>
      <c r="TC47" s="50">
        <v>36.295487000000008</v>
      </c>
      <c r="TD47" s="50">
        <v>36.859116999999998</v>
      </c>
      <c r="TE47" s="50">
        <v>73.154604000000006</v>
      </c>
      <c r="TF47" s="50">
        <v>34.260542999999998</v>
      </c>
      <c r="TG47" s="50">
        <v>26.949788000000002</v>
      </c>
      <c r="TH47" s="50">
        <v>61.210330999999996</v>
      </c>
      <c r="TI47" s="50">
        <v>68.036915999999991</v>
      </c>
      <c r="TJ47" s="50">
        <v>53.954231999999998</v>
      </c>
      <c r="TK47" s="50">
        <v>121.991148</v>
      </c>
      <c r="TL47" s="44">
        <f t="shared" si="45"/>
        <v>358.82876499999998</v>
      </c>
      <c r="TM47" s="50">
        <f t="shared" si="46"/>
        <v>312.09936899999997</v>
      </c>
      <c r="TN47" s="50">
        <f t="shared" si="47"/>
        <v>670.92813399999989</v>
      </c>
      <c r="TO47" s="50">
        <v>19.146353000000001</v>
      </c>
      <c r="TP47" s="50">
        <v>16.460547999999999</v>
      </c>
      <c r="TQ47" s="50">
        <v>35.606901000000001</v>
      </c>
      <c r="TR47" s="50">
        <f>TT47-TS47</f>
        <v>8.8293079999999975</v>
      </c>
      <c r="TS47" s="50">
        <v>19.174222</v>
      </c>
      <c r="TT47" s="50">
        <v>28.003529999999998</v>
      </c>
      <c r="TU47" s="50">
        <v>12.04217100000001</v>
      </c>
      <c r="TV47" s="50">
        <v>22.411203</v>
      </c>
      <c r="TW47" s="50">
        <v>34.453374000000011</v>
      </c>
      <c r="TX47" s="50">
        <f t="shared" si="49"/>
        <v>13.640309999999999</v>
      </c>
      <c r="TY47" s="50">
        <v>14.704643000000001</v>
      </c>
      <c r="TZ47" s="50">
        <v>28.344953</v>
      </c>
      <c r="UA47" s="50"/>
      <c r="UB47" s="50"/>
      <c r="UC47" s="50"/>
      <c r="UD47" s="50"/>
      <c r="UE47" s="50"/>
      <c r="UF47" s="50"/>
      <c r="UG47" s="50"/>
      <c r="UH47" s="50"/>
      <c r="UI47" s="50"/>
      <c r="UJ47" s="50"/>
      <c r="UK47" s="50"/>
      <c r="UL47" s="50"/>
      <c r="UM47" s="50"/>
      <c r="UN47" s="50"/>
      <c r="UO47" s="50"/>
      <c r="UP47" s="50"/>
      <c r="UQ47" s="50"/>
      <c r="UR47" s="50"/>
      <c r="US47" s="50"/>
      <c r="UT47" s="50"/>
      <c r="UU47" s="50"/>
      <c r="UV47" s="50"/>
      <c r="UW47" s="50"/>
      <c r="UX47" s="50"/>
      <c r="UY47" s="292">
        <f t="shared" si="50"/>
        <v>70.274617000000006</v>
      </c>
      <c r="UZ47" s="276">
        <f t="shared" si="51"/>
        <v>45.112940999999999</v>
      </c>
      <c r="VA47" s="276">
        <f t="shared" si="52"/>
        <v>115.387558</v>
      </c>
      <c r="VB47" s="292">
        <f t="shared" si="53"/>
        <v>53.658141999999998</v>
      </c>
      <c r="VC47" s="276">
        <f t="shared" si="54"/>
        <v>72.750615999999994</v>
      </c>
      <c r="VD47" s="276">
        <f t="shared" si="55"/>
        <v>126.40875800000001</v>
      </c>
      <c r="VE47" s="277">
        <f t="shared" si="56"/>
        <v>11.021200000000007</v>
      </c>
      <c r="VF47" s="277">
        <f t="shared" si="57"/>
        <v>9.5514630788875934</v>
      </c>
    </row>
    <row r="48" spans="1:578" s="12" customFormat="1" ht="20.5">
      <c r="A48" s="46" t="s">
        <v>216</v>
      </c>
      <c r="B48" s="13" t="s">
        <v>163</v>
      </c>
      <c r="C48" s="46" t="s">
        <v>164</v>
      </c>
      <c r="D48" s="42">
        <v>522.79829796074011</v>
      </c>
      <c r="E48" s="42">
        <v>594.86030671424749</v>
      </c>
      <c r="F48" s="42">
        <v>380.57184506633422</v>
      </c>
      <c r="G48" s="42">
        <v>379.20767098650549</v>
      </c>
      <c r="H48" s="42">
        <v>20.043569757713385</v>
      </c>
      <c r="I48" s="42">
        <v>13.31383572091223</v>
      </c>
      <c r="J48" s="42">
        <v>17.024063608061425</v>
      </c>
      <c r="K48" s="42">
        <v>17.22924883751373</v>
      </c>
      <c r="L48" s="42">
        <v>30.93580144677605</v>
      </c>
      <c r="M48" s="42">
        <v>40.576439519410819</v>
      </c>
      <c r="N48" s="42">
        <v>39.301776882317121</v>
      </c>
      <c r="O48" s="42">
        <v>48.947705192343804</v>
      </c>
      <c r="P48" s="42">
        <v>63.120924183698442</v>
      </c>
      <c r="Q48" s="42">
        <v>50.021671760547747</v>
      </c>
      <c r="R48" s="42">
        <v>47.621718146168774</v>
      </c>
      <c r="S48" s="42">
        <v>81.502182685357511</v>
      </c>
      <c r="T48" s="44" t="s">
        <v>46</v>
      </c>
      <c r="U48" s="44" t="s">
        <v>46</v>
      </c>
      <c r="V48" s="42">
        <v>469.63893774082112</v>
      </c>
      <c r="W48" s="42">
        <v>469.7956499963006</v>
      </c>
      <c r="X48" s="42">
        <v>21.549938531937784</v>
      </c>
      <c r="Y48" s="42">
        <v>16.026925003272606</v>
      </c>
      <c r="Z48" s="42">
        <v>15.573047393014271</v>
      </c>
      <c r="AA48" s="42">
        <v>23.161925657793638</v>
      </c>
      <c r="AB48" s="42">
        <v>30.305553184102536</v>
      </c>
      <c r="AC48" s="42">
        <v>37.796387043898442</v>
      </c>
      <c r="AD48" s="42">
        <v>46.027704737024827</v>
      </c>
      <c r="AE48" s="42">
        <v>52.185464226156938</v>
      </c>
      <c r="AF48" s="42">
        <v>52.87537208097848</v>
      </c>
      <c r="AG48" s="42">
        <v>56.894449946215438</v>
      </c>
      <c r="AH48" s="42">
        <v>58.35524413634527</v>
      </c>
      <c r="AI48" s="42">
        <v>69.558700576547665</v>
      </c>
      <c r="AJ48" s="42">
        <v>0</v>
      </c>
      <c r="AK48" s="42">
        <v>0</v>
      </c>
      <c r="AL48" s="42">
        <v>480.31071251728787</v>
      </c>
      <c r="AM48" s="42">
        <v>479.92146885902758</v>
      </c>
      <c r="AN48" s="42">
        <v>29.201764645619548</v>
      </c>
      <c r="AO48" s="42">
        <v>21.0096484937479</v>
      </c>
      <c r="AP48" s="42">
        <v>21.747303657918849</v>
      </c>
      <c r="AQ48" s="42">
        <v>20.448722545688415</v>
      </c>
      <c r="AR48" s="42">
        <v>30.075661208530406</v>
      </c>
      <c r="AS48" s="42">
        <v>48.352815294164515</v>
      </c>
      <c r="AT48" s="42">
        <v>50.853972088946563</v>
      </c>
      <c r="AU48" s="42">
        <v>58.610793336406736</v>
      </c>
      <c r="AV48" s="42">
        <v>63.119653559171553</v>
      </c>
      <c r="AW48" s="42">
        <v>59.948492040455086</v>
      </c>
      <c r="AX48" s="42">
        <v>45.389514003904367</v>
      </c>
      <c r="AY48" s="42">
        <v>73.879109965224998</v>
      </c>
      <c r="AZ48" s="44" t="s">
        <v>46</v>
      </c>
      <c r="BA48" s="44" t="s">
        <v>46</v>
      </c>
      <c r="BB48" s="42">
        <v>522.63745083977892</v>
      </c>
      <c r="BC48" s="42">
        <v>522.66483400777463</v>
      </c>
      <c r="BD48" s="49" t="s">
        <v>46</v>
      </c>
      <c r="BE48" s="49" t="s">
        <v>46</v>
      </c>
      <c r="BF48" s="49">
        <f>BF49+BF50</f>
        <v>25.551463999999999</v>
      </c>
      <c r="BG48" s="49" t="s">
        <v>46</v>
      </c>
      <c r="BH48" s="49" t="s">
        <v>46</v>
      </c>
      <c r="BI48" s="44">
        <f>BI49+BI50</f>
        <v>19.283061999999997</v>
      </c>
      <c r="BJ48" s="49" t="s">
        <v>46</v>
      </c>
      <c r="BK48" s="49" t="s">
        <v>46</v>
      </c>
      <c r="BL48" s="44">
        <f>BL49+BL50</f>
        <v>22.453244999999999</v>
      </c>
      <c r="BM48" s="49" t="s">
        <v>46</v>
      </c>
      <c r="BN48" s="49" t="s">
        <v>46</v>
      </c>
      <c r="BO48" s="44">
        <f>BO49+BO50</f>
        <v>28.970392</v>
      </c>
      <c r="BP48" s="49" t="s">
        <v>46</v>
      </c>
      <c r="BQ48" s="49" t="s">
        <v>46</v>
      </c>
      <c r="BR48" s="44">
        <f>BR49+BR50</f>
        <v>32.903933000000002</v>
      </c>
      <c r="BS48" s="49" t="s">
        <v>46</v>
      </c>
      <c r="BT48" s="49" t="s">
        <v>46</v>
      </c>
      <c r="BU48" s="44">
        <f>BU49+BU50</f>
        <v>44.645955999999998</v>
      </c>
      <c r="BV48" s="49" t="s">
        <v>46</v>
      </c>
      <c r="BW48" s="49" t="s">
        <v>46</v>
      </c>
      <c r="BX48" s="44">
        <f>BX49+BX50</f>
        <v>48.759749999999997</v>
      </c>
      <c r="BY48" s="49" t="s">
        <v>46</v>
      </c>
      <c r="BZ48" s="49" t="s">
        <v>46</v>
      </c>
      <c r="CA48" s="44">
        <f>CA49+CA50</f>
        <v>45.272454999999994</v>
      </c>
      <c r="CB48" s="49" t="s">
        <v>46</v>
      </c>
      <c r="CC48" s="49" t="s">
        <v>46</v>
      </c>
      <c r="CD48" s="44">
        <f>CD49+CD50</f>
        <v>46.670038999999996</v>
      </c>
      <c r="CE48" s="49" t="s">
        <v>46</v>
      </c>
      <c r="CF48" s="49" t="s">
        <v>46</v>
      </c>
      <c r="CG48" s="44">
        <f>CG49+CG50</f>
        <v>48.254074000000003</v>
      </c>
      <c r="CH48" s="49" t="s">
        <v>46</v>
      </c>
      <c r="CI48" s="49" t="s">
        <v>46</v>
      </c>
      <c r="CJ48" s="44">
        <f>CJ49+CJ50</f>
        <v>48.341664999999999</v>
      </c>
      <c r="CK48" s="49" t="s">
        <v>46</v>
      </c>
      <c r="CL48" s="49" t="s">
        <v>46</v>
      </c>
      <c r="CM48" s="44">
        <f>CM49+CM50</f>
        <v>72.733124000000004</v>
      </c>
      <c r="CN48" s="50"/>
      <c r="CO48" s="50"/>
      <c r="CP48" s="50">
        <f t="shared" si="21"/>
        <v>483.83915899999988</v>
      </c>
      <c r="CQ48" s="52">
        <f>CQ49+CQ50</f>
        <v>483.46284099999997</v>
      </c>
      <c r="CR48" s="49" t="s">
        <v>46</v>
      </c>
      <c r="CS48" s="49" t="s">
        <v>46</v>
      </c>
      <c r="CT48" s="44">
        <f>CT49+CT50</f>
        <v>24.882567999999999</v>
      </c>
      <c r="CU48" s="49" t="s">
        <v>46</v>
      </c>
      <c r="CV48" s="49" t="s">
        <v>46</v>
      </c>
      <c r="CW48" s="44">
        <v>19.881464000000001</v>
      </c>
      <c r="CX48" s="49" t="s">
        <v>46</v>
      </c>
      <c r="CY48" s="49" t="s">
        <v>46</v>
      </c>
      <c r="CZ48" s="44">
        <v>24.495305999999999</v>
      </c>
      <c r="DA48" s="49" t="s">
        <v>46</v>
      </c>
      <c r="DB48" s="49" t="s">
        <v>46</v>
      </c>
      <c r="DC48" s="44">
        <v>23.802413999999999</v>
      </c>
      <c r="DD48" s="49" t="s">
        <v>46</v>
      </c>
      <c r="DE48" s="49" t="s">
        <v>46</v>
      </c>
      <c r="DF48" s="44">
        <v>36.850974000000001</v>
      </c>
      <c r="DG48" s="49" t="s">
        <v>46</v>
      </c>
      <c r="DH48" s="49" t="s">
        <v>46</v>
      </c>
      <c r="DI48" s="44">
        <v>35.471223999999999</v>
      </c>
      <c r="DJ48" s="49" t="s">
        <v>46</v>
      </c>
      <c r="DK48" s="49" t="s">
        <v>46</v>
      </c>
      <c r="DL48" s="44">
        <v>38.146425000000001</v>
      </c>
      <c r="DM48" s="49" t="s">
        <v>46</v>
      </c>
      <c r="DN48" s="49" t="s">
        <v>46</v>
      </c>
      <c r="DO48" s="44">
        <v>40.307133</v>
      </c>
      <c r="DP48" s="49" t="s">
        <v>46</v>
      </c>
      <c r="DQ48" s="49" t="s">
        <v>46</v>
      </c>
      <c r="DR48" s="44">
        <v>35.236727999999999</v>
      </c>
      <c r="DS48" s="49" t="s">
        <v>46</v>
      </c>
      <c r="DT48" s="49" t="s">
        <v>46</v>
      </c>
      <c r="DU48" s="44">
        <v>33.886601999999996</v>
      </c>
      <c r="DV48" s="49" t="s">
        <v>46</v>
      </c>
      <c r="DW48" s="49" t="s">
        <v>46</v>
      </c>
      <c r="DX48" s="44">
        <v>31.328673999999999</v>
      </c>
      <c r="DY48" s="49" t="s">
        <v>46</v>
      </c>
      <c r="DZ48" s="49" t="s">
        <v>46</v>
      </c>
      <c r="EA48" s="44">
        <v>49.076190000000004</v>
      </c>
      <c r="EB48" s="49" t="s">
        <v>46</v>
      </c>
      <c r="EC48" s="49" t="s">
        <v>46</v>
      </c>
      <c r="ED48" s="44">
        <f t="shared" si="24"/>
        <v>393.36570199999994</v>
      </c>
      <c r="EE48" s="140">
        <f>EE49+EE50</f>
        <v>393.326503</v>
      </c>
      <c r="EF48" s="44" t="s">
        <v>46</v>
      </c>
      <c r="EG48" s="44" t="s">
        <v>46</v>
      </c>
      <c r="EH48" s="44">
        <v>9.8702190000000005</v>
      </c>
      <c r="EI48" s="44" t="s">
        <v>46</v>
      </c>
      <c r="EJ48" s="44" t="s">
        <v>46</v>
      </c>
      <c r="EK48" s="44">
        <v>11.648662999999999</v>
      </c>
      <c r="EL48" s="44" t="s">
        <v>46</v>
      </c>
      <c r="EM48" s="44" t="s">
        <v>46</v>
      </c>
      <c r="EN48" s="44">
        <v>11.589732</v>
      </c>
      <c r="EO48" s="44" t="s">
        <v>46</v>
      </c>
      <c r="EP48" s="44" t="s">
        <v>46</v>
      </c>
      <c r="EQ48" s="44">
        <v>12.233466</v>
      </c>
      <c r="ER48" s="44" t="s">
        <v>46</v>
      </c>
      <c r="ES48" s="44" t="s">
        <v>46</v>
      </c>
      <c r="ET48" s="44">
        <v>19.522930000000002</v>
      </c>
      <c r="EU48" s="44" t="s">
        <v>46</v>
      </c>
      <c r="EV48" s="44" t="s">
        <v>46</v>
      </c>
      <c r="EW48" s="44">
        <v>23.565387999999999</v>
      </c>
      <c r="EX48" s="44" t="s">
        <v>46</v>
      </c>
      <c r="EY48" s="44" t="s">
        <v>46</v>
      </c>
      <c r="EZ48" s="44">
        <v>29.579706999999999</v>
      </c>
      <c r="FA48" s="44" t="s">
        <v>46</v>
      </c>
      <c r="FB48" s="44" t="s">
        <v>46</v>
      </c>
      <c r="FC48" s="44">
        <v>28.363578999999998</v>
      </c>
      <c r="FD48" s="44" t="s">
        <v>46</v>
      </c>
      <c r="FE48" s="44" t="s">
        <v>46</v>
      </c>
      <c r="FF48" s="44">
        <v>33.078729000000003</v>
      </c>
      <c r="FG48" s="44" t="s">
        <v>46</v>
      </c>
      <c r="FH48" s="44" t="s">
        <v>46</v>
      </c>
      <c r="FI48" s="44">
        <v>44.445322000000004</v>
      </c>
      <c r="FJ48" s="44" t="s">
        <v>46</v>
      </c>
      <c r="FK48" s="44" t="s">
        <v>46</v>
      </c>
      <c r="FL48" s="44">
        <v>36.023474999999998</v>
      </c>
      <c r="FM48" s="44" t="s">
        <v>46</v>
      </c>
      <c r="FN48" s="44" t="s">
        <v>46</v>
      </c>
      <c r="FO48" s="44">
        <v>48.163132000000004</v>
      </c>
      <c r="FP48" s="44" t="s">
        <v>46</v>
      </c>
      <c r="FQ48" s="44" t="s">
        <v>46</v>
      </c>
      <c r="FR48" s="44">
        <f t="shared" si="27"/>
        <v>308.08434200000005</v>
      </c>
      <c r="FS48" s="95">
        <f>FS49+FS50</f>
        <v>309.321911</v>
      </c>
      <c r="FT48" s="44" t="s">
        <v>46</v>
      </c>
      <c r="FU48" s="44" t="s">
        <v>46</v>
      </c>
      <c r="FV48" s="44">
        <v>12.588116000000001</v>
      </c>
      <c r="FW48" s="44" t="s">
        <v>46</v>
      </c>
      <c r="FX48" s="44" t="s">
        <v>46</v>
      </c>
      <c r="FY48" s="44">
        <v>17.592781000000002</v>
      </c>
      <c r="FZ48" s="44" t="s">
        <v>46</v>
      </c>
      <c r="GA48" s="44" t="s">
        <v>46</v>
      </c>
      <c r="GB48" s="44">
        <v>18.293240000000001</v>
      </c>
      <c r="GC48" s="44" t="s">
        <v>46</v>
      </c>
      <c r="GD48" s="44" t="s">
        <v>46</v>
      </c>
      <c r="GE48" s="44">
        <v>20.803142000000001</v>
      </c>
      <c r="GF48" s="44" t="s">
        <v>46</v>
      </c>
      <c r="GG48" s="44" t="s">
        <v>46</v>
      </c>
      <c r="GH48" s="44">
        <v>32.866996</v>
      </c>
      <c r="GI48" s="44" t="s">
        <v>46</v>
      </c>
      <c r="GJ48" s="44" t="s">
        <v>46</v>
      </c>
      <c r="GK48" s="44">
        <v>39.791004000000001</v>
      </c>
      <c r="GL48" s="44" t="s">
        <v>46</v>
      </c>
      <c r="GM48" s="44" t="s">
        <v>46</v>
      </c>
      <c r="GN48" s="44">
        <v>42.861036999999996</v>
      </c>
      <c r="GO48" s="44" t="s">
        <v>46</v>
      </c>
      <c r="GP48" s="44">
        <v>0</v>
      </c>
      <c r="GQ48" s="44">
        <v>56.736588999999995</v>
      </c>
      <c r="GR48" s="44" t="s">
        <v>46</v>
      </c>
      <c r="GS48" s="44" t="s">
        <v>46</v>
      </c>
      <c r="GT48" s="44">
        <v>57.401166000000003</v>
      </c>
      <c r="GU48" s="44" t="s">
        <v>46</v>
      </c>
      <c r="GV48" s="44" t="s">
        <v>46</v>
      </c>
      <c r="GW48" s="44">
        <v>54.414794999999998</v>
      </c>
      <c r="GX48" s="44" t="s">
        <v>46</v>
      </c>
      <c r="GY48" s="44" t="s">
        <v>46</v>
      </c>
      <c r="GZ48" s="44">
        <v>65.624865</v>
      </c>
      <c r="HA48" s="44" t="s">
        <v>46</v>
      </c>
      <c r="HB48" s="44" t="s">
        <v>46</v>
      </c>
      <c r="HC48" s="44">
        <v>92.031423000000004</v>
      </c>
      <c r="HD48" s="44" t="s">
        <v>46</v>
      </c>
      <c r="HE48" s="44" t="s">
        <v>46</v>
      </c>
      <c r="HF48" s="44">
        <f t="shared" si="30"/>
        <v>511.00515399999995</v>
      </c>
      <c r="HG48" s="44">
        <f>HG49+HG50</f>
        <v>511.25403399999999</v>
      </c>
      <c r="HH48" s="44" t="s">
        <v>46</v>
      </c>
      <c r="HI48" s="44" t="s">
        <v>46</v>
      </c>
      <c r="HJ48" s="44">
        <v>22.851483000000002</v>
      </c>
      <c r="HK48" s="44" t="s">
        <v>46</v>
      </c>
      <c r="HL48" s="44" t="s">
        <v>46</v>
      </c>
      <c r="HM48" s="44">
        <v>26.538074000000002</v>
      </c>
      <c r="HN48" s="44" t="s">
        <v>46</v>
      </c>
      <c r="HO48" s="44" t="s">
        <v>46</v>
      </c>
      <c r="HP48" s="44">
        <v>25.601355000000002</v>
      </c>
      <c r="HQ48" s="44" t="s">
        <v>46</v>
      </c>
      <c r="HR48" s="44" t="s">
        <v>46</v>
      </c>
      <c r="HS48" s="44">
        <v>27.408581000000002</v>
      </c>
      <c r="HT48" s="44" t="s">
        <v>46</v>
      </c>
      <c r="HU48" s="44" t="s">
        <v>46</v>
      </c>
      <c r="HV48" s="44">
        <v>36.770327999999999</v>
      </c>
      <c r="HW48" s="44" t="s">
        <v>46</v>
      </c>
      <c r="HX48" s="44" t="s">
        <v>46</v>
      </c>
      <c r="HY48" s="44">
        <v>49.265630999999999</v>
      </c>
      <c r="HZ48" s="44" t="s">
        <v>46</v>
      </c>
      <c r="IA48" s="44" t="s">
        <v>46</v>
      </c>
      <c r="IB48" s="44">
        <v>58.180987999999999</v>
      </c>
      <c r="IC48" s="44" t="s">
        <v>46</v>
      </c>
      <c r="ID48" s="44" t="s">
        <v>46</v>
      </c>
      <c r="IE48" s="44">
        <v>68.058739000000003</v>
      </c>
      <c r="IF48" s="44" t="s">
        <v>46</v>
      </c>
      <c r="IG48" s="44" t="s">
        <v>46</v>
      </c>
      <c r="IH48" s="44">
        <v>73.758364999999998</v>
      </c>
      <c r="II48" s="44" t="s">
        <v>46</v>
      </c>
      <c r="IJ48" s="44" t="s">
        <v>46</v>
      </c>
      <c r="IK48" s="44">
        <v>69.760518000000005</v>
      </c>
      <c r="IL48" s="44" t="s">
        <v>46</v>
      </c>
      <c r="IM48" s="44" t="s">
        <v>46</v>
      </c>
      <c r="IN48" s="44">
        <v>80.861440000000002</v>
      </c>
      <c r="IO48" s="44" t="s">
        <v>46</v>
      </c>
      <c r="IP48" s="44" t="s">
        <v>46</v>
      </c>
      <c r="IQ48" s="44">
        <v>128.24194399999999</v>
      </c>
      <c r="IR48" s="44" t="s">
        <v>46</v>
      </c>
      <c r="IS48" s="44" t="s">
        <v>46</v>
      </c>
      <c r="IT48" s="50">
        <f t="shared" si="70"/>
        <v>667.29744599999992</v>
      </c>
      <c r="IU48" s="44">
        <f>IU49+IU50</f>
        <v>667.24344000000008</v>
      </c>
      <c r="IV48" s="44" t="s">
        <v>46</v>
      </c>
      <c r="IW48" s="44" t="s">
        <v>46</v>
      </c>
      <c r="IX48" s="50">
        <v>30.997959999999999</v>
      </c>
      <c r="IY48" s="44" t="s">
        <v>46</v>
      </c>
      <c r="IZ48" s="44" t="s">
        <v>46</v>
      </c>
      <c r="JA48" s="50">
        <v>23.972318999999999</v>
      </c>
      <c r="JB48" s="44" t="s">
        <v>46</v>
      </c>
      <c r="JC48" s="44" t="s">
        <v>46</v>
      </c>
      <c r="JD48" s="50">
        <v>31.006487</v>
      </c>
      <c r="JE48" s="44" t="s">
        <v>46</v>
      </c>
      <c r="JF48" s="44" t="s">
        <v>46</v>
      </c>
      <c r="JG48" s="50">
        <v>33.179738999999998</v>
      </c>
      <c r="JH48" s="44" t="s">
        <v>46</v>
      </c>
      <c r="JI48" s="44" t="s">
        <v>46</v>
      </c>
      <c r="JJ48" s="50">
        <v>56.597940000000001</v>
      </c>
      <c r="JK48" s="44" t="s">
        <v>46</v>
      </c>
      <c r="JL48" s="44" t="s">
        <v>46</v>
      </c>
      <c r="JM48" s="50">
        <v>59.937551999999997</v>
      </c>
      <c r="JN48" s="44" t="s">
        <v>46</v>
      </c>
      <c r="JO48" s="44" t="s">
        <v>46</v>
      </c>
      <c r="JP48" s="50">
        <v>67.152015000000006</v>
      </c>
      <c r="JQ48" s="44" t="s">
        <v>46</v>
      </c>
      <c r="JR48" s="44" t="s">
        <v>46</v>
      </c>
      <c r="JS48" s="50">
        <v>69.755449999999996</v>
      </c>
      <c r="JT48" s="44" t="s">
        <v>46</v>
      </c>
      <c r="JU48" s="44" t="s">
        <v>46</v>
      </c>
      <c r="JV48" s="50">
        <v>72.344130000000007</v>
      </c>
      <c r="JW48" s="44" t="s">
        <v>46</v>
      </c>
      <c r="JX48" s="44" t="s">
        <v>46</v>
      </c>
      <c r="JY48" s="50">
        <v>65.201244000000003</v>
      </c>
      <c r="JZ48" s="44" t="s">
        <v>46</v>
      </c>
      <c r="KA48" s="44" t="s">
        <v>46</v>
      </c>
      <c r="KB48" s="50">
        <v>48.739663</v>
      </c>
      <c r="KC48" s="44" t="s">
        <v>46</v>
      </c>
      <c r="KD48" s="44" t="s">
        <v>46</v>
      </c>
      <c r="KE48" s="50">
        <v>105.204227</v>
      </c>
      <c r="KF48" s="44" t="s">
        <v>46</v>
      </c>
      <c r="KG48" s="44" t="s">
        <v>46</v>
      </c>
      <c r="KH48" s="50">
        <f t="shared" si="4"/>
        <v>664.08872599999995</v>
      </c>
      <c r="KI48" s="44">
        <f>KI49+KI50</f>
        <v>663.37679900000001</v>
      </c>
      <c r="KJ48" s="44" t="s">
        <v>46</v>
      </c>
      <c r="KK48" s="44" t="s">
        <v>46</v>
      </c>
      <c r="KL48" s="50">
        <v>33.935381</v>
      </c>
      <c r="KM48" s="44" t="s">
        <v>46</v>
      </c>
      <c r="KN48" s="44" t="s">
        <v>46</v>
      </c>
      <c r="KO48" s="50">
        <v>28.028752000000001</v>
      </c>
      <c r="KP48" s="44" t="s">
        <v>46</v>
      </c>
      <c r="KQ48" s="44" t="s">
        <v>46</v>
      </c>
      <c r="KR48" s="50">
        <v>34.576466000000003</v>
      </c>
      <c r="KS48" s="44" t="s">
        <v>46</v>
      </c>
      <c r="KT48" s="44" t="s">
        <v>46</v>
      </c>
      <c r="KU48" s="50">
        <v>33.888162999999999</v>
      </c>
      <c r="KV48" s="44" t="s">
        <v>46</v>
      </c>
      <c r="KW48" s="44" t="s">
        <v>46</v>
      </c>
      <c r="KX48" s="50">
        <v>37.497616000000001</v>
      </c>
      <c r="KY48" s="44" t="s">
        <v>46</v>
      </c>
      <c r="KZ48" s="44" t="s">
        <v>46</v>
      </c>
      <c r="LA48" s="50">
        <v>49.705956</v>
      </c>
      <c r="LB48" s="44" t="s">
        <v>46</v>
      </c>
      <c r="LC48" s="44" t="s">
        <v>46</v>
      </c>
      <c r="LD48" s="50">
        <v>55.309201999999999</v>
      </c>
      <c r="LE48" s="44"/>
      <c r="LF48" s="44"/>
      <c r="LG48" s="44">
        <v>50.021140000000003</v>
      </c>
      <c r="LH48" s="44" t="s">
        <v>46</v>
      </c>
      <c r="LI48" s="44" t="s">
        <v>46</v>
      </c>
      <c r="LJ48" s="50">
        <v>59.710214999999998</v>
      </c>
      <c r="LK48" s="44" t="s">
        <v>46</v>
      </c>
      <c r="LL48" s="44" t="s">
        <v>46</v>
      </c>
      <c r="LM48" s="50">
        <v>64.832426999999996</v>
      </c>
      <c r="LN48" s="44" t="s">
        <v>46</v>
      </c>
      <c r="LO48" s="44" t="s">
        <v>46</v>
      </c>
      <c r="LP48" s="50">
        <v>63.767372999999999</v>
      </c>
      <c r="LQ48" s="44" t="s">
        <v>46</v>
      </c>
      <c r="LR48" s="44" t="s">
        <v>46</v>
      </c>
      <c r="LS48" s="50">
        <v>114.105592</v>
      </c>
      <c r="LT48" s="44" t="s">
        <v>46</v>
      </c>
      <c r="LU48" s="50" t="s">
        <v>46</v>
      </c>
      <c r="LV48" s="50">
        <f t="shared" si="58"/>
        <v>625.37828300000001</v>
      </c>
      <c r="LW48" s="44">
        <f>LW49+LW50</f>
        <v>625.43433300000004</v>
      </c>
      <c r="LX48" s="44" t="s">
        <v>46</v>
      </c>
      <c r="LY48" s="44" t="s">
        <v>46</v>
      </c>
      <c r="LZ48" s="50">
        <v>21.787533</v>
      </c>
      <c r="MA48" s="44" t="s">
        <v>46</v>
      </c>
      <c r="MB48" s="44" t="s">
        <v>46</v>
      </c>
      <c r="MC48" s="50">
        <v>32.411231000000001</v>
      </c>
      <c r="MD48" s="44" t="s">
        <v>46</v>
      </c>
      <c r="ME48" s="44" t="s">
        <v>46</v>
      </c>
      <c r="MF48" s="50">
        <v>27.551891999999999</v>
      </c>
      <c r="MG48" s="44" t="s">
        <v>46</v>
      </c>
      <c r="MH48" s="44" t="s">
        <v>46</v>
      </c>
      <c r="MI48" s="50">
        <v>36.386668</v>
      </c>
      <c r="MJ48" s="44" t="s">
        <v>46</v>
      </c>
      <c r="MK48" s="44" t="s">
        <v>46</v>
      </c>
      <c r="ML48" s="50">
        <v>41.561580999999997</v>
      </c>
      <c r="MM48" s="44" t="s">
        <v>46</v>
      </c>
      <c r="MN48" s="44" t="s">
        <v>46</v>
      </c>
      <c r="MO48" s="50">
        <v>54.348441999999999</v>
      </c>
      <c r="MP48" s="44" t="s">
        <v>46</v>
      </c>
      <c r="MQ48" s="44" t="s">
        <v>46</v>
      </c>
      <c r="MR48" s="50">
        <v>59.783810000000003</v>
      </c>
      <c r="MS48" s="44" t="s">
        <v>46</v>
      </c>
      <c r="MT48" s="44" t="s">
        <v>46</v>
      </c>
      <c r="MU48" s="50">
        <v>46.640045000000001</v>
      </c>
      <c r="MV48" s="44" t="s">
        <v>46</v>
      </c>
      <c r="MW48" s="44" t="s">
        <v>46</v>
      </c>
      <c r="MX48" s="50">
        <v>41.561580999999997</v>
      </c>
      <c r="MY48" s="44" t="s">
        <v>46</v>
      </c>
      <c r="MZ48" s="44" t="s">
        <v>46</v>
      </c>
      <c r="NA48" s="50">
        <v>53.926603999999998</v>
      </c>
      <c r="NB48" s="44" t="s">
        <v>46</v>
      </c>
      <c r="NC48" s="44" t="s">
        <v>46</v>
      </c>
      <c r="ND48" s="50">
        <v>66.492939000000007</v>
      </c>
      <c r="NE48" s="44" t="s">
        <v>46</v>
      </c>
      <c r="NF48" s="44" t="s">
        <v>46</v>
      </c>
      <c r="NG48" s="50">
        <v>130.298475</v>
      </c>
      <c r="NH48" s="44" t="s">
        <v>46</v>
      </c>
      <c r="NI48" s="50" t="s">
        <v>46</v>
      </c>
      <c r="NJ48" s="50">
        <f t="shared" si="76"/>
        <v>612.75080099999991</v>
      </c>
      <c r="NK48" s="44">
        <f>NK49+NK50</f>
        <v>629.93821800000001</v>
      </c>
      <c r="NL48" s="44" t="s">
        <v>46</v>
      </c>
      <c r="NM48" s="50" t="s">
        <v>46</v>
      </c>
      <c r="NN48" s="50">
        <v>23.228434</v>
      </c>
      <c r="NO48" s="44" t="s">
        <v>46</v>
      </c>
      <c r="NP48" s="50" t="s">
        <v>46</v>
      </c>
      <c r="NQ48" s="50">
        <v>21.557911000000001</v>
      </c>
      <c r="NR48" s="44" t="s">
        <v>46</v>
      </c>
      <c r="NS48" s="50" t="s">
        <v>46</v>
      </c>
      <c r="NT48" s="50">
        <v>28.391309</v>
      </c>
      <c r="NU48" s="44" t="s">
        <v>46</v>
      </c>
      <c r="NV48" s="50" t="s">
        <v>46</v>
      </c>
      <c r="NW48" s="50">
        <v>22.053882999999999</v>
      </c>
      <c r="NX48" s="44" t="s">
        <v>46</v>
      </c>
      <c r="NY48" s="50" t="s">
        <v>46</v>
      </c>
      <c r="NZ48" s="50">
        <v>35.125883999999999</v>
      </c>
      <c r="OA48" s="50" t="s">
        <v>46</v>
      </c>
      <c r="OB48" s="50" t="s">
        <v>46</v>
      </c>
      <c r="OC48" s="50">
        <v>44.541001999999999</v>
      </c>
      <c r="OD48" s="50" t="s">
        <v>46</v>
      </c>
      <c r="OE48" s="50" t="s">
        <v>46</v>
      </c>
      <c r="OF48" s="50">
        <v>35.704264000000002</v>
      </c>
      <c r="OG48" s="50" t="s">
        <v>46</v>
      </c>
      <c r="OH48" s="50" t="s">
        <v>46</v>
      </c>
      <c r="OI48" s="94">
        <v>49.617029000000002</v>
      </c>
      <c r="OJ48" s="50" t="s">
        <v>46</v>
      </c>
      <c r="OK48" s="50" t="s">
        <v>46</v>
      </c>
      <c r="OL48" s="50">
        <v>56.503511000000003</v>
      </c>
      <c r="OM48" s="50" t="s">
        <v>46</v>
      </c>
      <c r="ON48" s="50" t="s">
        <v>46</v>
      </c>
      <c r="OO48" s="50">
        <v>60.744315</v>
      </c>
      <c r="OP48" s="50" t="s">
        <v>46</v>
      </c>
      <c r="OQ48" s="50" t="s">
        <v>46</v>
      </c>
      <c r="OR48" s="50">
        <v>63.217824999999998</v>
      </c>
      <c r="OS48" s="50" t="s">
        <v>46</v>
      </c>
      <c r="OT48" s="50" t="s">
        <v>46</v>
      </c>
      <c r="OU48" s="50">
        <v>117.955753</v>
      </c>
      <c r="OV48" s="44" t="s">
        <v>46</v>
      </c>
      <c r="OW48" s="50" t="s">
        <v>46</v>
      </c>
      <c r="OX48" s="50">
        <f t="shared" si="9"/>
        <v>558.64112</v>
      </c>
      <c r="OY48" s="44">
        <f>OY49+OY50</f>
        <v>558.61818200000005</v>
      </c>
      <c r="OZ48" s="44" t="s">
        <v>46</v>
      </c>
      <c r="PA48" s="50" t="s">
        <v>46</v>
      </c>
      <c r="PB48" s="50">
        <v>24.050442</v>
      </c>
      <c r="PC48" s="44" t="s">
        <v>46</v>
      </c>
      <c r="PD48" s="50" t="s">
        <v>46</v>
      </c>
      <c r="PE48" s="50">
        <v>17.941236</v>
      </c>
      <c r="PF48" s="44" t="s">
        <v>46</v>
      </c>
      <c r="PG48" s="50" t="s">
        <v>46</v>
      </c>
      <c r="PH48" s="50">
        <v>25.853601999999999</v>
      </c>
      <c r="PI48" s="44" t="s">
        <v>46</v>
      </c>
      <c r="PJ48" s="50" t="s">
        <v>46</v>
      </c>
      <c r="PK48" s="50">
        <v>29.246524000000001</v>
      </c>
      <c r="PL48" s="44" t="s">
        <v>46</v>
      </c>
      <c r="PM48" s="50" t="s">
        <v>46</v>
      </c>
      <c r="PN48" s="50">
        <v>30.932352999999999</v>
      </c>
      <c r="PO48" s="44" t="s">
        <v>46</v>
      </c>
      <c r="PP48" s="50" t="s">
        <v>46</v>
      </c>
      <c r="PQ48" s="50">
        <v>44.522447999999997</v>
      </c>
      <c r="PR48" s="44" t="s">
        <v>46</v>
      </c>
      <c r="PS48" s="50" t="s">
        <v>46</v>
      </c>
      <c r="PT48" s="50">
        <v>36.904139999999998</v>
      </c>
      <c r="PU48" s="44" t="s">
        <v>46</v>
      </c>
      <c r="PV48" s="50" t="s">
        <v>46</v>
      </c>
      <c r="PW48" s="50">
        <v>50.109543000000002</v>
      </c>
      <c r="PX48" s="44" t="s">
        <v>46</v>
      </c>
      <c r="PY48" s="50" t="s">
        <v>46</v>
      </c>
      <c r="PZ48" s="50">
        <v>46.121262999999999</v>
      </c>
      <c r="QA48" s="44" t="s">
        <v>46</v>
      </c>
      <c r="QB48" s="50" t="s">
        <v>46</v>
      </c>
      <c r="QC48" s="50">
        <v>50.031407000000002</v>
      </c>
      <c r="QD48" s="44" t="s">
        <v>46</v>
      </c>
      <c r="QE48" s="50" t="s">
        <v>46</v>
      </c>
      <c r="QF48" s="50">
        <v>58.354678999999997</v>
      </c>
      <c r="QG48" s="44" t="s">
        <v>46</v>
      </c>
      <c r="QH48" s="50" t="s">
        <v>46</v>
      </c>
      <c r="QI48" s="50">
        <v>134.60271299999999</v>
      </c>
      <c r="QJ48" s="44" t="s">
        <v>46</v>
      </c>
      <c r="QK48" s="50" t="s">
        <v>46</v>
      </c>
      <c r="QL48" s="50">
        <f t="shared" si="40"/>
        <v>548.67034999999998</v>
      </c>
      <c r="QM48" s="44">
        <f>QM49+QM50</f>
        <v>549.79648400000008</v>
      </c>
      <c r="QN48" s="44" t="s">
        <v>46</v>
      </c>
      <c r="QO48" s="50" t="s">
        <v>46</v>
      </c>
      <c r="QP48" s="50">
        <v>18.302679999999999</v>
      </c>
      <c r="QQ48" s="44" t="s">
        <v>46</v>
      </c>
      <c r="QR48" s="50" t="s">
        <v>46</v>
      </c>
      <c r="QS48" s="50">
        <v>11.747111</v>
      </c>
      <c r="QT48" s="44" t="s">
        <v>46</v>
      </c>
      <c r="QU48" s="50" t="s">
        <v>46</v>
      </c>
      <c r="QV48" s="50">
        <v>15.948987000000001</v>
      </c>
      <c r="QW48" s="44" t="s">
        <v>46</v>
      </c>
      <c r="QX48" s="50" t="s">
        <v>46</v>
      </c>
      <c r="QY48" s="50">
        <v>18.861250999999999</v>
      </c>
      <c r="QZ48" s="44" t="s">
        <v>46</v>
      </c>
      <c r="RA48" s="50" t="s">
        <v>46</v>
      </c>
      <c r="RB48" s="50">
        <v>25.705883</v>
      </c>
      <c r="RC48" s="44" t="s">
        <v>46</v>
      </c>
      <c r="RD48" s="50" t="s">
        <v>46</v>
      </c>
      <c r="RE48" s="50">
        <v>30.894704000000001</v>
      </c>
      <c r="RF48" s="44" t="s">
        <v>46</v>
      </c>
      <c r="RG48" s="50" t="s">
        <v>46</v>
      </c>
      <c r="RH48" s="50">
        <v>38.762121999999998</v>
      </c>
      <c r="RI48" s="44" t="s">
        <v>46</v>
      </c>
      <c r="RJ48" s="50" t="s">
        <v>46</v>
      </c>
      <c r="RK48" s="50">
        <v>53.327734</v>
      </c>
      <c r="RL48" s="44" t="s">
        <v>46</v>
      </c>
      <c r="RM48" s="50" t="s">
        <v>46</v>
      </c>
      <c r="RN48" s="50">
        <v>42.908346999999999</v>
      </c>
      <c r="RO48" s="44" t="s">
        <v>46</v>
      </c>
      <c r="RP48" s="50" t="s">
        <v>46</v>
      </c>
      <c r="RQ48" s="50">
        <v>50.115178</v>
      </c>
      <c r="RR48" s="44" t="s">
        <v>46</v>
      </c>
      <c r="RS48" s="50" t="s">
        <v>46</v>
      </c>
      <c r="RT48" s="50">
        <v>66.714544000000004</v>
      </c>
      <c r="RU48" s="44" t="s">
        <v>46</v>
      </c>
      <c r="RV48" s="50" t="s">
        <v>46</v>
      </c>
      <c r="RW48" s="50">
        <v>109.63640100000001</v>
      </c>
      <c r="RX48" s="44" t="s">
        <v>46</v>
      </c>
      <c r="RY48" s="50" t="s">
        <v>46</v>
      </c>
      <c r="RZ48" s="50">
        <f t="shared" si="43"/>
        <v>482.92494199999999</v>
      </c>
      <c r="SA48" s="44">
        <f>SA49+SA50</f>
        <v>482.94753600000001</v>
      </c>
      <c r="SB48" s="44" t="s">
        <v>46</v>
      </c>
      <c r="SC48" s="50" t="s">
        <v>46</v>
      </c>
      <c r="SD48" s="50">
        <v>27.833261</v>
      </c>
      <c r="SE48" s="44" t="s">
        <v>46</v>
      </c>
      <c r="SF48" s="50" t="s">
        <v>46</v>
      </c>
      <c r="SG48" s="50">
        <v>18.954387000000001</v>
      </c>
      <c r="SH48" s="44" t="s">
        <v>46</v>
      </c>
      <c r="SI48" s="50" t="s">
        <v>46</v>
      </c>
      <c r="SJ48" s="50">
        <v>27.851292999999998</v>
      </c>
      <c r="SK48" s="44" t="s">
        <v>46</v>
      </c>
      <c r="SL48" s="50" t="s">
        <v>46</v>
      </c>
      <c r="SM48" s="50">
        <v>40.227459000000003</v>
      </c>
      <c r="SN48" s="44" t="s">
        <v>46</v>
      </c>
      <c r="SO48" s="50" t="s">
        <v>46</v>
      </c>
      <c r="SP48" s="50">
        <v>49.866261000000002</v>
      </c>
      <c r="SQ48" s="50" t="s">
        <v>46</v>
      </c>
      <c r="SR48" s="50" t="s">
        <v>46</v>
      </c>
      <c r="SS48" s="50">
        <v>45.836100999999999</v>
      </c>
      <c r="ST48" s="50" t="s">
        <v>46</v>
      </c>
      <c r="SU48" s="50" t="s">
        <v>46</v>
      </c>
      <c r="SV48" s="50">
        <v>63.970033999999998</v>
      </c>
      <c r="SW48" s="50" t="s">
        <v>46</v>
      </c>
      <c r="SX48" s="50" t="s">
        <v>46</v>
      </c>
      <c r="SY48" s="50">
        <v>62.963107999999998</v>
      </c>
      <c r="SZ48" s="50" t="s">
        <v>46</v>
      </c>
      <c r="TA48" s="50" t="s">
        <v>46</v>
      </c>
      <c r="TB48" s="50">
        <v>76.497012999999995</v>
      </c>
      <c r="TC48" s="50" t="s">
        <v>46</v>
      </c>
      <c r="TD48" s="50" t="s">
        <v>46</v>
      </c>
      <c r="TE48" s="50">
        <v>72.794877999999997</v>
      </c>
      <c r="TF48" s="50" t="s">
        <v>46</v>
      </c>
      <c r="TG48" s="50" t="s">
        <v>46</v>
      </c>
      <c r="TH48" s="50">
        <v>60.979466000000002</v>
      </c>
      <c r="TI48" s="50" t="s">
        <v>46</v>
      </c>
      <c r="TJ48" s="50" t="s">
        <v>46</v>
      </c>
      <c r="TK48" s="50">
        <v>121.88818000000001</v>
      </c>
      <c r="TL48" s="44" t="s">
        <v>46</v>
      </c>
      <c r="TM48" s="50" t="s">
        <v>46</v>
      </c>
      <c r="TN48" s="50">
        <f t="shared" si="47"/>
        <v>669.66144099999997</v>
      </c>
      <c r="TO48" s="44" t="s">
        <v>46</v>
      </c>
      <c r="TP48" s="50" t="s">
        <v>46</v>
      </c>
      <c r="TQ48" s="50">
        <v>35.570934000000001</v>
      </c>
      <c r="TR48" s="44" t="s">
        <v>46</v>
      </c>
      <c r="TS48" s="50" t="s">
        <v>46</v>
      </c>
      <c r="TT48" s="50">
        <v>27.980481999999999</v>
      </c>
      <c r="TU48" s="44" t="s">
        <v>46</v>
      </c>
      <c r="TV48" s="50" t="s">
        <v>46</v>
      </c>
      <c r="TW48" s="50">
        <v>34.24849900000001</v>
      </c>
      <c r="TX48" s="44" t="s">
        <v>46</v>
      </c>
      <c r="TY48" s="50" t="s">
        <v>46</v>
      </c>
      <c r="TZ48" s="50">
        <v>26.192392999999999</v>
      </c>
      <c r="UA48" s="50"/>
      <c r="UB48" s="50"/>
      <c r="UC48" s="50"/>
      <c r="UD48" s="50"/>
      <c r="UE48" s="50"/>
      <c r="UF48" s="50"/>
      <c r="UG48" s="50"/>
      <c r="UH48" s="50"/>
      <c r="UI48" s="50"/>
      <c r="UJ48" s="50"/>
      <c r="UK48" s="50"/>
      <c r="UL48" s="50"/>
      <c r="UM48" s="50"/>
      <c r="UN48" s="50"/>
      <c r="UO48" s="50"/>
      <c r="UP48" s="50"/>
      <c r="UQ48" s="50"/>
      <c r="UR48" s="50"/>
      <c r="US48" s="50"/>
      <c r="UT48" s="50"/>
      <c r="UU48" s="50"/>
      <c r="UV48" s="50"/>
      <c r="UW48" s="50"/>
      <c r="UX48" s="50"/>
      <c r="UY48" s="292" t="s">
        <v>46</v>
      </c>
      <c r="UZ48" s="276" t="s">
        <v>46</v>
      </c>
      <c r="VA48" s="276">
        <f t="shared" si="52"/>
        <v>114.8664</v>
      </c>
      <c r="VB48" s="292" t="s">
        <v>46</v>
      </c>
      <c r="VC48" s="276" t="s">
        <v>46</v>
      </c>
      <c r="VD48" s="276">
        <f t="shared" si="55"/>
        <v>123.99230799999999</v>
      </c>
      <c r="VE48" s="277">
        <f t="shared" si="56"/>
        <v>9.1259079999999955</v>
      </c>
      <c r="VF48" s="277">
        <f t="shared" si="57"/>
        <v>7.9448019612349725</v>
      </c>
    </row>
    <row r="49" spans="1:578" s="12" customFormat="1" ht="20.5">
      <c r="A49" s="47" t="s">
        <v>165</v>
      </c>
      <c r="B49" s="13">
        <v>5100</v>
      </c>
      <c r="C49" s="47" t="s">
        <v>166</v>
      </c>
      <c r="D49" s="44" t="s">
        <v>46</v>
      </c>
      <c r="E49" s="44" t="s">
        <v>46</v>
      </c>
      <c r="F49" s="44">
        <v>4.2012225314596963</v>
      </c>
      <c r="G49" s="44">
        <v>3.267622267374688</v>
      </c>
      <c r="H49" s="44">
        <v>4.838333304875897E-2</v>
      </c>
      <c r="I49" s="44">
        <v>8.8775818009003929E-2</v>
      </c>
      <c r="J49" s="44">
        <v>0.23186407590167385</v>
      </c>
      <c r="K49" s="44">
        <v>0.25861691168519246</v>
      </c>
      <c r="L49" s="44">
        <v>0.27957723632762477</v>
      </c>
      <c r="M49" s="44">
        <v>0.25835368040022538</v>
      </c>
      <c r="N49" s="44">
        <v>0.28879602278871491</v>
      </c>
      <c r="O49" s="44">
        <v>0.3725491033061849</v>
      </c>
      <c r="P49" s="44">
        <v>0.10096271506707419</v>
      </c>
      <c r="Q49" s="44">
        <v>0.18068053112958948</v>
      </c>
      <c r="R49" s="44">
        <v>0.15201535563258037</v>
      </c>
      <c r="S49" s="44">
        <v>0.71611857644521093</v>
      </c>
      <c r="T49" s="44" t="s">
        <v>46</v>
      </c>
      <c r="U49" s="44" t="s">
        <v>46</v>
      </c>
      <c r="V49" s="44">
        <v>2.9766933597418346</v>
      </c>
      <c r="W49" s="44">
        <v>2.9237056135138673</v>
      </c>
      <c r="X49" s="44">
        <v>0.14408142241649166</v>
      </c>
      <c r="Y49" s="44">
        <v>0.14861753774878914</v>
      </c>
      <c r="Z49" s="44">
        <v>0.21683428096595922</v>
      </c>
      <c r="AA49" s="44">
        <v>0.1490572051382747</v>
      </c>
      <c r="AB49" s="44">
        <v>0.24888019988503193</v>
      </c>
      <c r="AC49" s="44">
        <v>0.23672460600679568</v>
      </c>
      <c r="AD49" s="44">
        <v>0.28524168900575408</v>
      </c>
      <c r="AE49" s="44">
        <v>0.1960005919146732</v>
      </c>
      <c r="AF49" s="44">
        <v>0.26327112537777253</v>
      </c>
      <c r="AG49" s="44">
        <v>0.38668106612939024</v>
      </c>
      <c r="AH49" s="44">
        <v>0.35276691652295661</v>
      </c>
      <c r="AI49" s="44">
        <v>1.2420077290396754</v>
      </c>
      <c r="AJ49" s="44">
        <v>0</v>
      </c>
      <c r="AK49" s="44">
        <v>0</v>
      </c>
      <c r="AL49" s="44">
        <v>3.8701643701515644</v>
      </c>
      <c r="AM49" s="44">
        <v>3.7841218888907862</v>
      </c>
      <c r="AN49" s="44">
        <v>0.39203817849642292</v>
      </c>
      <c r="AO49" s="44">
        <v>0.16771532319110308</v>
      </c>
      <c r="AP49" s="44">
        <v>0.24005554891548711</v>
      </c>
      <c r="AQ49" s="44">
        <v>0.23527754537538204</v>
      </c>
      <c r="AR49" s="44">
        <v>0.31303748982646656</v>
      </c>
      <c r="AS49" s="44">
        <v>0.34983295484943172</v>
      </c>
      <c r="AT49" s="44">
        <v>0.3733387971610862</v>
      </c>
      <c r="AU49" s="44">
        <v>0.380117358466941</v>
      </c>
      <c r="AV49" s="44">
        <v>0.21333686205542368</v>
      </c>
      <c r="AW49" s="44">
        <v>0.36726028878606271</v>
      </c>
      <c r="AX49" s="44">
        <v>0.28786261888093978</v>
      </c>
      <c r="AY49" s="44">
        <v>0.50481642107899216</v>
      </c>
      <c r="AZ49" s="44" t="s">
        <v>46</v>
      </c>
      <c r="BA49" s="44" t="s">
        <v>46</v>
      </c>
      <c r="BB49" s="44">
        <v>3.8246893870837386</v>
      </c>
      <c r="BC49" s="44">
        <v>3.7972635329337909</v>
      </c>
      <c r="BD49" s="49" t="s">
        <v>46</v>
      </c>
      <c r="BE49" s="49" t="s">
        <v>46</v>
      </c>
      <c r="BF49" s="49">
        <v>0.96589199999999997</v>
      </c>
      <c r="BG49" s="49" t="s">
        <v>46</v>
      </c>
      <c r="BH49" s="49" t="s">
        <v>46</v>
      </c>
      <c r="BI49" s="44">
        <v>0.165663</v>
      </c>
      <c r="BJ49" s="49" t="s">
        <v>46</v>
      </c>
      <c r="BK49" s="49" t="s">
        <v>46</v>
      </c>
      <c r="BL49" s="44">
        <v>0.15767300000000001</v>
      </c>
      <c r="BM49" s="49" t="s">
        <v>46</v>
      </c>
      <c r="BN49" s="49" t="s">
        <v>46</v>
      </c>
      <c r="BO49" s="44">
        <v>0.23294999999999999</v>
      </c>
      <c r="BP49" s="49" t="s">
        <v>46</v>
      </c>
      <c r="BQ49" s="49" t="s">
        <v>46</v>
      </c>
      <c r="BR49" s="44">
        <v>0.19697600000000001</v>
      </c>
      <c r="BS49" s="49" t="s">
        <v>46</v>
      </c>
      <c r="BT49" s="49" t="s">
        <v>46</v>
      </c>
      <c r="BU49" s="44">
        <v>0.18040800000000001</v>
      </c>
      <c r="BV49" s="49" t="s">
        <v>46</v>
      </c>
      <c r="BW49" s="49" t="s">
        <v>46</v>
      </c>
      <c r="BX49" s="44">
        <v>0.58273299999999995</v>
      </c>
      <c r="BY49" s="49" t="s">
        <v>46</v>
      </c>
      <c r="BZ49" s="49" t="s">
        <v>46</v>
      </c>
      <c r="CA49" s="44">
        <v>0.45447100000000001</v>
      </c>
      <c r="CB49" s="49" t="s">
        <v>46</v>
      </c>
      <c r="CC49" s="49" t="s">
        <v>46</v>
      </c>
      <c r="CD49" s="44">
        <v>0.20027800000000001</v>
      </c>
      <c r="CE49" s="49" t="s">
        <v>46</v>
      </c>
      <c r="CF49" s="49" t="s">
        <v>46</v>
      </c>
      <c r="CG49" s="44">
        <v>0.36471799999999999</v>
      </c>
      <c r="CH49" s="49" t="s">
        <v>46</v>
      </c>
      <c r="CI49" s="49" t="s">
        <v>46</v>
      </c>
      <c r="CJ49" s="44">
        <v>0.18912499999999999</v>
      </c>
      <c r="CK49" s="49" t="s">
        <v>46</v>
      </c>
      <c r="CL49" s="49" t="s">
        <v>46</v>
      </c>
      <c r="CM49" s="44">
        <v>1.602023</v>
      </c>
      <c r="CN49" s="50"/>
      <c r="CO49" s="50"/>
      <c r="CP49" s="50">
        <f t="shared" si="21"/>
        <v>5.2929099999999991</v>
      </c>
      <c r="CQ49" s="52">
        <v>4.534408</v>
      </c>
      <c r="CR49" s="49" t="s">
        <v>46</v>
      </c>
      <c r="CS49" s="49" t="s">
        <v>46</v>
      </c>
      <c r="CT49" s="44">
        <v>7.0670999999999998E-2</v>
      </c>
      <c r="CU49" s="49" t="s">
        <v>46</v>
      </c>
      <c r="CV49" s="49" t="s">
        <v>46</v>
      </c>
      <c r="CW49" s="49">
        <v>0.23316600000000001</v>
      </c>
      <c r="CX49" s="49" t="s">
        <v>46</v>
      </c>
      <c r="CY49" s="49" t="s">
        <v>46</v>
      </c>
      <c r="CZ49" s="49">
        <v>0.56512300000000004</v>
      </c>
      <c r="DA49" s="49" t="s">
        <v>46</v>
      </c>
      <c r="DB49" s="49" t="s">
        <v>46</v>
      </c>
      <c r="DC49" s="49">
        <v>0.24610799999999999</v>
      </c>
      <c r="DD49" s="49" t="s">
        <v>46</v>
      </c>
      <c r="DE49" s="49" t="s">
        <v>46</v>
      </c>
      <c r="DF49" s="49">
        <v>0.14405000000000001</v>
      </c>
      <c r="DG49" s="49" t="s">
        <v>46</v>
      </c>
      <c r="DH49" s="49" t="s">
        <v>46</v>
      </c>
      <c r="DI49" s="49">
        <v>0.184728</v>
      </c>
      <c r="DJ49" s="49" t="s">
        <v>46</v>
      </c>
      <c r="DK49" s="49" t="s">
        <v>46</v>
      </c>
      <c r="DL49" s="49">
        <v>0.169463</v>
      </c>
      <c r="DM49" s="49" t="s">
        <v>46</v>
      </c>
      <c r="DN49" s="49" t="s">
        <v>46</v>
      </c>
      <c r="DO49" s="49">
        <v>0.163105</v>
      </c>
      <c r="DP49" s="49" t="s">
        <v>46</v>
      </c>
      <c r="DQ49" s="49" t="s">
        <v>46</v>
      </c>
      <c r="DR49" s="49">
        <v>0.198465</v>
      </c>
      <c r="DS49" s="49" t="s">
        <v>46</v>
      </c>
      <c r="DT49" s="49" t="s">
        <v>46</v>
      </c>
      <c r="DU49" s="49">
        <v>0.43015500000000001</v>
      </c>
      <c r="DV49" s="49" t="s">
        <v>46</v>
      </c>
      <c r="DW49" s="49" t="s">
        <v>46</v>
      </c>
      <c r="DX49" s="49">
        <v>0.39169199999999998</v>
      </c>
      <c r="DY49" s="49" t="s">
        <v>46</v>
      </c>
      <c r="DZ49" s="49" t="s">
        <v>46</v>
      </c>
      <c r="EA49" s="44">
        <v>0.73268599999999995</v>
      </c>
      <c r="EB49" s="49" t="s">
        <v>46</v>
      </c>
      <c r="EC49" s="49" t="s">
        <v>46</v>
      </c>
      <c r="ED49" s="44">
        <f t="shared" si="24"/>
        <v>3.5294119999999998</v>
      </c>
      <c r="EE49" s="140">
        <v>3.4271820000000002</v>
      </c>
      <c r="EF49" s="44" t="s">
        <v>46</v>
      </c>
      <c r="EG49" s="44" t="s">
        <v>46</v>
      </c>
      <c r="EH49" s="44">
        <v>0.110987</v>
      </c>
      <c r="EI49" s="44" t="s">
        <v>46</v>
      </c>
      <c r="EJ49" s="44" t="s">
        <v>46</v>
      </c>
      <c r="EK49" s="44">
        <v>0.164269</v>
      </c>
      <c r="EL49" s="44" t="s">
        <v>46</v>
      </c>
      <c r="EM49" s="44" t="s">
        <v>46</v>
      </c>
      <c r="EN49" s="44">
        <v>0.23619000000000001</v>
      </c>
      <c r="EO49" s="44" t="s">
        <v>46</v>
      </c>
      <c r="EP49" s="44" t="s">
        <v>46</v>
      </c>
      <c r="EQ49" s="44">
        <v>0.29019400000000001</v>
      </c>
      <c r="ER49" s="44" t="s">
        <v>46</v>
      </c>
      <c r="ES49" s="44" t="s">
        <v>46</v>
      </c>
      <c r="ET49" s="44">
        <v>0.554535</v>
      </c>
      <c r="EU49" s="44" t="s">
        <v>46</v>
      </c>
      <c r="EV49" s="44" t="s">
        <v>46</v>
      </c>
      <c r="EW49" s="44">
        <v>0.45280300000000001</v>
      </c>
      <c r="EX49" s="44" t="s">
        <v>46</v>
      </c>
      <c r="EY49" s="44" t="s">
        <v>46</v>
      </c>
      <c r="EZ49" s="44">
        <v>0.19545999999999999</v>
      </c>
      <c r="FA49" s="44" t="s">
        <v>46</v>
      </c>
      <c r="FB49" s="44" t="s">
        <v>46</v>
      </c>
      <c r="FC49" s="44">
        <v>0.19806099999999999</v>
      </c>
      <c r="FD49" s="44" t="s">
        <v>46</v>
      </c>
      <c r="FE49" s="44" t="s">
        <v>46</v>
      </c>
      <c r="FF49" s="44">
        <v>0.33443099999999998</v>
      </c>
      <c r="FG49" s="44" t="s">
        <v>46</v>
      </c>
      <c r="FH49" s="44" t="s">
        <v>46</v>
      </c>
      <c r="FI49" s="44">
        <v>0.40354499999999999</v>
      </c>
      <c r="FJ49" s="44" t="s">
        <v>46</v>
      </c>
      <c r="FK49" s="44" t="s">
        <v>46</v>
      </c>
      <c r="FL49" s="44">
        <v>0.24387400000000001</v>
      </c>
      <c r="FM49" s="44" t="s">
        <v>46</v>
      </c>
      <c r="FN49" s="44" t="s">
        <v>46</v>
      </c>
      <c r="FO49" s="44">
        <v>48.162804000000001</v>
      </c>
      <c r="FP49" s="44" t="s">
        <v>46</v>
      </c>
      <c r="FQ49" s="44" t="s">
        <v>46</v>
      </c>
      <c r="FR49" s="44">
        <f t="shared" si="27"/>
        <v>51.347152999999999</v>
      </c>
      <c r="FS49" s="95">
        <f>4.712312+0.033242+0.002064</f>
        <v>4.7476180000000001</v>
      </c>
      <c r="FT49" s="44" t="s">
        <v>46</v>
      </c>
      <c r="FU49" s="44" t="s">
        <v>46</v>
      </c>
      <c r="FV49" s="44">
        <v>0.120266</v>
      </c>
      <c r="FW49" s="44" t="s">
        <v>46</v>
      </c>
      <c r="FX49" s="44" t="s">
        <v>46</v>
      </c>
      <c r="FY49" s="44">
        <v>7.1103E-2</v>
      </c>
      <c r="FZ49" s="44" t="s">
        <v>46</v>
      </c>
      <c r="GA49" s="44" t="s">
        <v>46</v>
      </c>
      <c r="GB49" s="44">
        <v>0.16822500000000001</v>
      </c>
      <c r="GC49" s="44" t="s">
        <v>46</v>
      </c>
      <c r="GD49" s="44" t="s">
        <v>46</v>
      </c>
      <c r="GE49" s="44">
        <v>0.22690099999999999</v>
      </c>
      <c r="GF49" s="44" t="s">
        <v>46</v>
      </c>
      <c r="GG49" s="44" t="s">
        <v>46</v>
      </c>
      <c r="GH49" s="44">
        <v>0.296462</v>
      </c>
      <c r="GI49" s="44" t="s">
        <v>46</v>
      </c>
      <c r="GJ49" s="44" t="s">
        <v>46</v>
      </c>
      <c r="GK49" s="44">
        <v>0.25042300000000001</v>
      </c>
      <c r="GL49" s="44" t="s">
        <v>46</v>
      </c>
      <c r="GM49" s="44" t="s">
        <v>46</v>
      </c>
      <c r="GN49" s="44">
        <v>0.31167</v>
      </c>
      <c r="GO49" s="44" t="s">
        <v>46</v>
      </c>
      <c r="GP49" s="44">
        <v>0</v>
      </c>
      <c r="GQ49" s="44">
        <v>0.39145600000000003</v>
      </c>
      <c r="GR49" s="44" t="s">
        <v>46</v>
      </c>
      <c r="GS49" s="44" t="s">
        <v>46</v>
      </c>
      <c r="GT49" s="44">
        <v>0.31617299999999998</v>
      </c>
      <c r="GU49" s="44" t="s">
        <v>46</v>
      </c>
      <c r="GV49" s="44" t="s">
        <v>46</v>
      </c>
      <c r="GW49" s="44">
        <v>0.157667</v>
      </c>
      <c r="GX49" s="44" t="s">
        <v>46</v>
      </c>
      <c r="GY49" s="44" t="s">
        <v>46</v>
      </c>
      <c r="GZ49" s="44">
        <v>0.266129</v>
      </c>
      <c r="HA49" s="44" t="s">
        <v>46</v>
      </c>
      <c r="HB49" s="44" t="s">
        <v>46</v>
      </c>
      <c r="HC49" s="44">
        <v>2.0714640000000002</v>
      </c>
      <c r="HD49" s="44" t="s">
        <v>46</v>
      </c>
      <c r="HE49" s="44" t="s">
        <v>46</v>
      </c>
      <c r="HF49" s="44">
        <f t="shared" si="30"/>
        <v>4.647939</v>
      </c>
      <c r="HG49" s="44">
        <v>4.6730739999999997</v>
      </c>
      <c r="HH49" s="44" t="s">
        <v>46</v>
      </c>
      <c r="HI49" s="44" t="s">
        <v>46</v>
      </c>
      <c r="HJ49" s="44">
        <v>0.374915</v>
      </c>
      <c r="HK49" s="44" t="s">
        <v>46</v>
      </c>
      <c r="HL49" s="44" t="s">
        <v>46</v>
      </c>
      <c r="HM49" s="44">
        <v>0.20177899999999999</v>
      </c>
      <c r="HN49" s="44" t="s">
        <v>46</v>
      </c>
      <c r="HO49" s="44" t="s">
        <v>46</v>
      </c>
      <c r="HP49" s="44">
        <v>0.27707399999999999</v>
      </c>
      <c r="HQ49" s="44" t="s">
        <v>46</v>
      </c>
      <c r="HR49" s="44" t="s">
        <v>46</v>
      </c>
      <c r="HS49" s="44">
        <v>0.41714000000000001</v>
      </c>
      <c r="HT49" s="44" t="s">
        <v>46</v>
      </c>
      <c r="HU49" s="44" t="s">
        <v>46</v>
      </c>
      <c r="HV49" s="44">
        <v>0.218805</v>
      </c>
      <c r="HW49" s="44" t="s">
        <v>46</v>
      </c>
      <c r="HX49" s="44" t="s">
        <v>46</v>
      </c>
      <c r="HY49" s="44">
        <v>0.34574300000000002</v>
      </c>
      <c r="HZ49" s="44" t="s">
        <v>46</v>
      </c>
      <c r="IA49" s="44" t="s">
        <v>46</v>
      </c>
      <c r="IB49" s="44">
        <v>0.40999200000000002</v>
      </c>
      <c r="IC49" s="44" t="s">
        <v>46</v>
      </c>
      <c r="ID49" s="44" t="s">
        <v>46</v>
      </c>
      <c r="IE49" s="44">
        <v>0.451847</v>
      </c>
      <c r="IF49" s="44" t="s">
        <v>46</v>
      </c>
      <c r="IG49" s="44" t="s">
        <v>46</v>
      </c>
      <c r="IH49" s="44">
        <v>0.50204199999999999</v>
      </c>
      <c r="II49" s="44" t="s">
        <v>46</v>
      </c>
      <c r="IJ49" s="44" t="s">
        <v>46</v>
      </c>
      <c r="IK49" s="44">
        <v>0.77864999999999995</v>
      </c>
      <c r="IL49" s="44" t="s">
        <v>46</v>
      </c>
      <c r="IM49" s="44" t="s">
        <v>46</v>
      </c>
      <c r="IN49" s="44">
        <v>2.933036</v>
      </c>
      <c r="IO49" s="44" t="s">
        <v>46</v>
      </c>
      <c r="IP49" s="44" t="s">
        <v>46</v>
      </c>
      <c r="IQ49" s="44">
        <v>2.1628940000000001</v>
      </c>
      <c r="IR49" s="44" t="s">
        <v>46</v>
      </c>
      <c r="IS49" s="44" t="s">
        <v>46</v>
      </c>
      <c r="IT49" s="50">
        <f t="shared" si="70"/>
        <v>9.0739169999999998</v>
      </c>
      <c r="IU49" s="44">
        <v>8.9844969999999993</v>
      </c>
      <c r="IV49" s="44" t="s">
        <v>46</v>
      </c>
      <c r="IW49" s="44" t="s">
        <v>46</v>
      </c>
      <c r="IX49" s="50">
        <v>0.51074299999999995</v>
      </c>
      <c r="IY49" s="44" t="s">
        <v>46</v>
      </c>
      <c r="IZ49" s="44" t="s">
        <v>46</v>
      </c>
      <c r="JA49" s="50">
        <v>0.16899500000000001</v>
      </c>
      <c r="JB49" s="44" t="s">
        <v>46</v>
      </c>
      <c r="JC49" s="44" t="s">
        <v>46</v>
      </c>
      <c r="JD49" s="50">
        <v>0.321025</v>
      </c>
      <c r="JE49" s="44" t="s">
        <v>46</v>
      </c>
      <c r="JF49" s="44" t="s">
        <v>46</v>
      </c>
      <c r="JG49" s="50">
        <v>0.21223500000000001</v>
      </c>
      <c r="JH49" s="44" t="s">
        <v>46</v>
      </c>
      <c r="JI49" s="44" t="s">
        <v>46</v>
      </c>
      <c r="JJ49" s="50">
        <v>0.23914099999999999</v>
      </c>
      <c r="JK49" s="44" t="s">
        <v>46</v>
      </c>
      <c r="JL49" s="44" t="s">
        <v>46</v>
      </c>
      <c r="JM49" s="50">
        <v>0.29160900000000001</v>
      </c>
      <c r="JN49" s="44" t="s">
        <v>46</v>
      </c>
      <c r="JO49" s="44" t="s">
        <v>46</v>
      </c>
      <c r="JP49" s="50">
        <v>0.19516700000000001</v>
      </c>
      <c r="JQ49" s="44" t="s">
        <v>46</v>
      </c>
      <c r="JR49" s="44" t="s">
        <v>46</v>
      </c>
      <c r="JS49" s="50">
        <v>0.56821600000000005</v>
      </c>
      <c r="JT49" s="44" t="s">
        <v>46</v>
      </c>
      <c r="JU49" s="44" t="s">
        <v>46</v>
      </c>
      <c r="JV49" s="50">
        <v>0.29786000000000001</v>
      </c>
      <c r="JW49" s="44" t="s">
        <v>46</v>
      </c>
      <c r="JX49" s="44" t="s">
        <v>46</v>
      </c>
      <c r="JY49" s="50">
        <v>0.81895899999999999</v>
      </c>
      <c r="JZ49" s="44" t="s">
        <v>46</v>
      </c>
      <c r="KA49" s="44" t="s">
        <v>46</v>
      </c>
      <c r="KB49" s="50">
        <v>1.359632</v>
      </c>
      <c r="KC49" s="44" t="s">
        <v>46</v>
      </c>
      <c r="KD49" s="44" t="s">
        <v>46</v>
      </c>
      <c r="KE49" s="50">
        <v>3.3992800000000001</v>
      </c>
      <c r="KF49" s="44" t="s">
        <v>46</v>
      </c>
      <c r="KG49" s="44" t="s">
        <v>46</v>
      </c>
      <c r="KH49" s="50">
        <f>IX49+JA49+JD49+JG49+JJ49+JM49+JP49+JS49+JV49+JY49+KB49+KE49</f>
        <v>8.3828619999999994</v>
      </c>
      <c r="KI49" s="44">
        <v>7.6518490000000003</v>
      </c>
      <c r="KJ49" s="44" t="s">
        <v>46</v>
      </c>
      <c r="KK49" s="44" t="s">
        <v>46</v>
      </c>
      <c r="KL49" s="50">
        <v>0.209815</v>
      </c>
      <c r="KM49" s="44" t="s">
        <v>46</v>
      </c>
      <c r="KN49" s="44" t="s">
        <v>46</v>
      </c>
      <c r="KO49" s="50">
        <v>0.35906399999999999</v>
      </c>
      <c r="KP49" s="44" t="s">
        <v>46</v>
      </c>
      <c r="KQ49" s="44" t="s">
        <v>46</v>
      </c>
      <c r="KR49" s="50">
        <v>0.39349000000000001</v>
      </c>
      <c r="KS49" s="44" t="s">
        <v>46</v>
      </c>
      <c r="KT49" s="44" t="s">
        <v>46</v>
      </c>
      <c r="KU49" s="50">
        <v>1.2075309999999999</v>
      </c>
      <c r="KV49" s="44" t="s">
        <v>46</v>
      </c>
      <c r="KW49" s="44" t="s">
        <v>46</v>
      </c>
      <c r="KX49" s="50">
        <v>0.37831900000000002</v>
      </c>
      <c r="KY49" s="44" t="s">
        <v>46</v>
      </c>
      <c r="KZ49" s="44" t="s">
        <v>46</v>
      </c>
      <c r="LA49" s="50">
        <v>0.92769599999999997</v>
      </c>
      <c r="LB49" s="44" t="s">
        <v>46</v>
      </c>
      <c r="LC49" s="44" t="s">
        <v>46</v>
      </c>
      <c r="LD49" s="50">
        <v>0.88979200000000003</v>
      </c>
      <c r="LE49" s="44"/>
      <c r="LF49" s="44"/>
      <c r="LG49" s="44">
        <v>0.72423000000000004</v>
      </c>
      <c r="LH49" s="44" t="s">
        <v>46</v>
      </c>
      <c r="LI49" s="44" t="s">
        <v>46</v>
      </c>
      <c r="LJ49" s="50">
        <v>0.65184900000000001</v>
      </c>
      <c r="LK49" s="44" t="s">
        <v>46</v>
      </c>
      <c r="LL49" s="44" t="s">
        <v>46</v>
      </c>
      <c r="LM49" s="50">
        <v>0.43770399999999998</v>
      </c>
      <c r="LN49" s="44" t="s">
        <v>46</v>
      </c>
      <c r="LO49" s="44" t="s">
        <v>46</v>
      </c>
      <c r="LP49" s="50">
        <v>0.58870500000000003</v>
      </c>
      <c r="LQ49" s="44" t="s">
        <v>46</v>
      </c>
      <c r="LR49" s="44" t="s">
        <v>46</v>
      </c>
      <c r="LS49" s="50">
        <v>3.3783310000000002</v>
      </c>
      <c r="LT49" s="44" t="s">
        <v>46</v>
      </c>
      <c r="LU49" s="50" t="s">
        <v>46</v>
      </c>
      <c r="LV49" s="50">
        <f t="shared" si="58"/>
        <v>10.146526000000001</v>
      </c>
      <c r="LW49" s="50">
        <v>10.133366000000001</v>
      </c>
      <c r="LX49" s="44" t="s">
        <v>46</v>
      </c>
      <c r="LY49" s="44" t="s">
        <v>46</v>
      </c>
      <c r="LZ49" s="50">
        <v>0.47466199999999997</v>
      </c>
      <c r="MA49" s="44" t="s">
        <v>46</v>
      </c>
      <c r="MB49" s="44" t="s">
        <v>46</v>
      </c>
      <c r="MC49" s="50">
        <v>1.4775720000000001</v>
      </c>
      <c r="MD49" s="44" t="s">
        <v>46</v>
      </c>
      <c r="ME49" s="44" t="s">
        <v>46</v>
      </c>
      <c r="MF49" s="50">
        <v>0.20011399999999999</v>
      </c>
      <c r="MG49" s="44" t="s">
        <v>46</v>
      </c>
      <c r="MH49" s="44" t="s">
        <v>46</v>
      </c>
      <c r="MI49" s="50">
        <v>0.69053799999999999</v>
      </c>
      <c r="MJ49" s="44" t="s">
        <v>46</v>
      </c>
      <c r="MK49" s="44" t="s">
        <v>46</v>
      </c>
      <c r="ML49" s="50">
        <v>0.59381700000000004</v>
      </c>
      <c r="MM49" s="44" t="s">
        <v>46</v>
      </c>
      <c r="MN49" s="44" t="s">
        <v>46</v>
      </c>
      <c r="MO49" s="50">
        <v>1.9290929999999999</v>
      </c>
      <c r="MP49" s="44" t="s">
        <v>46</v>
      </c>
      <c r="MQ49" s="44" t="s">
        <v>46</v>
      </c>
      <c r="MR49" s="50">
        <v>3.3173439999999998</v>
      </c>
      <c r="MS49" s="44" t="s">
        <v>46</v>
      </c>
      <c r="MT49" s="44" t="s">
        <v>46</v>
      </c>
      <c r="MU49" s="50">
        <v>0.76215200000000005</v>
      </c>
      <c r="MV49" s="44" t="s">
        <v>46</v>
      </c>
      <c r="MW49" s="44" t="s">
        <v>46</v>
      </c>
      <c r="MX49" s="50">
        <v>0.59381700000000004</v>
      </c>
      <c r="MY49" s="44" t="s">
        <v>46</v>
      </c>
      <c r="MZ49" s="44" t="s">
        <v>46</v>
      </c>
      <c r="NA49" s="50">
        <v>0.47704099999999999</v>
      </c>
      <c r="NB49" s="44" t="s">
        <v>46</v>
      </c>
      <c r="NC49" s="44" t="s">
        <v>46</v>
      </c>
      <c r="ND49" s="50">
        <v>0.66974299999999998</v>
      </c>
      <c r="NE49" s="44" t="s">
        <v>46</v>
      </c>
      <c r="NF49" s="44" t="s">
        <v>46</v>
      </c>
      <c r="NG49" s="50">
        <v>1.976451</v>
      </c>
      <c r="NH49" s="44" t="s">
        <v>46</v>
      </c>
      <c r="NI49" s="50" t="s">
        <v>46</v>
      </c>
      <c r="NJ49" s="50">
        <f t="shared" si="76"/>
        <v>13.162344000000001</v>
      </c>
      <c r="NK49" s="50">
        <v>12.896203999999999</v>
      </c>
      <c r="NL49" s="44" t="s">
        <v>46</v>
      </c>
      <c r="NM49" s="50" t="s">
        <v>46</v>
      </c>
      <c r="NN49" s="50">
        <v>0.33225100000000002</v>
      </c>
      <c r="NO49" s="44" t="s">
        <v>46</v>
      </c>
      <c r="NP49" s="50" t="s">
        <v>46</v>
      </c>
      <c r="NQ49" s="50">
        <v>0.21259400000000001</v>
      </c>
      <c r="NR49" s="44" t="s">
        <v>46</v>
      </c>
      <c r="NS49" s="50" t="s">
        <v>46</v>
      </c>
      <c r="NT49" s="50">
        <v>0.44875900000000002</v>
      </c>
      <c r="NU49" s="44" t="s">
        <v>46</v>
      </c>
      <c r="NV49" s="50" t="s">
        <v>46</v>
      </c>
      <c r="NW49" s="50">
        <v>0.71442899999999998</v>
      </c>
      <c r="NX49" s="44" t="s">
        <v>46</v>
      </c>
      <c r="NY49" s="50" t="s">
        <v>46</v>
      </c>
      <c r="NZ49" s="50">
        <v>0.49026599999999998</v>
      </c>
      <c r="OA49" s="50" t="s">
        <v>46</v>
      </c>
      <c r="OB49" s="50" t="s">
        <v>46</v>
      </c>
      <c r="OC49" s="50">
        <v>0.45402999999999999</v>
      </c>
      <c r="OD49" s="50" t="s">
        <v>46</v>
      </c>
      <c r="OE49" s="50" t="s">
        <v>46</v>
      </c>
      <c r="OF49" s="50">
        <v>0.50111099999999997</v>
      </c>
      <c r="OG49" s="50" t="s">
        <v>46</v>
      </c>
      <c r="OH49" s="50" t="s">
        <v>46</v>
      </c>
      <c r="OI49" s="94">
        <v>0.29626599999999997</v>
      </c>
      <c r="OJ49" s="50" t="s">
        <v>46</v>
      </c>
      <c r="OK49" s="50" t="s">
        <v>46</v>
      </c>
      <c r="OL49" s="50">
        <v>0.46317799999999998</v>
      </c>
      <c r="OM49" s="50" t="s">
        <v>46</v>
      </c>
      <c r="ON49" s="50" t="s">
        <v>46</v>
      </c>
      <c r="OO49" s="50">
        <v>0.38950499999999999</v>
      </c>
      <c r="OP49" s="50" t="s">
        <v>46</v>
      </c>
      <c r="OQ49" s="50" t="s">
        <v>46</v>
      </c>
      <c r="OR49" s="50">
        <v>0.80472200000000005</v>
      </c>
      <c r="OS49" s="50" t="s">
        <v>46</v>
      </c>
      <c r="OT49" s="50" t="s">
        <v>46</v>
      </c>
      <c r="OU49" s="50">
        <v>2.0267400000000002</v>
      </c>
      <c r="OV49" s="44" t="s">
        <v>46</v>
      </c>
      <c r="OW49" s="50" t="s">
        <v>46</v>
      </c>
      <c r="OX49" s="50">
        <f t="shared" si="9"/>
        <v>7.1338509999999999</v>
      </c>
      <c r="OY49" s="50">
        <v>7.1586220000000003</v>
      </c>
      <c r="OZ49" s="44" t="s">
        <v>46</v>
      </c>
      <c r="PA49" s="50" t="s">
        <v>46</v>
      </c>
      <c r="PB49" s="50">
        <v>0.26721600000000001</v>
      </c>
      <c r="PC49" s="44" t="s">
        <v>46</v>
      </c>
      <c r="PD49" s="50" t="s">
        <v>46</v>
      </c>
      <c r="PE49" s="50">
        <v>0.15279200000000001</v>
      </c>
      <c r="PF49" s="44" t="s">
        <v>46</v>
      </c>
      <c r="PG49" s="50" t="s">
        <v>46</v>
      </c>
      <c r="PH49" s="50">
        <v>0.35788300000000001</v>
      </c>
      <c r="PI49" s="44" t="s">
        <v>46</v>
      </c>
      <c r="PJ49" s="50" t="s">
        <v>46</v>
      </c>
      <c r="PK49" s="50">
        <v>0.24865599999999999</v>
      </c>
      <c r="PL49" s="44" t="s">
        <v>46</v>
      </c>
      <c r="PM49" s="50" t="s">
        <v>46</v>
      </c>
      <c r="PN49" s="50">
        <v>0.61919400000000002</v>
      </c>
      <c r="PO49" s="44" t="s">
        <v>46</v>
      </c>
      <c r="PP49" s="50" t="s">
        <v>46</v>
      </c>
      <c r="PQ49" s="50">
        <v>0.91503999999999996</v>
      </c>
      <c r="PR49" s="44" t="s">
        <v>46</v>
      </c>
      <c r="PS49" s="50" t="s">
        <v>46</v>
      </c>
      <c r="PT49" s="50">
        <v>0.45456800000000003</v>
      </c>
      <c r="PU49" s="44" t="s">
        <v>46</v>
      </c>
      <c r="PV49" s="50" t="s">
        <v>46</v>
      </c>
      <c r="PW49" s="50">
        <v>0.59117200000000003</v>
      </c>
      <c r="PX49" s="44" t="s">
        <v>46</v>
      </c>
      <c r="PY49" s="50" t="s">
        <v>46</v>
      </c>
      <c r="PZ49" s="50">
        <v>0.55478799999999995</v>
      </c>
      <c r="QA49" s="44" t="s">
        <v>46</v>
      </c>
      <c r="QB49" s="50" t="s">
        <v>46</v>
      </c>
      <c r="QC49" s="50">
        <v>0.60257099999999997</v>
      </c>
      <c r="QD49" s="44" t="s">
        <v>46</v>
      </c>
      <c r="QE49" s="50" t="s">
        <v>46</v>
      </c>
      <c r="QF49" s="50">
        <v>0.96306000000000003</v>
      </c>
      <c r="QG49" s="44" t="s">
        <v>46</v>
      </c>
      <c r="QH49" s="50" t="s">
        <v>46</v>
      </c>
      <c r="QI49" s="50">
        <v>3.3562280000000002</v>
      </c>
      <c r="QJ49" s="44" t="s">
        <v>46</v>
      </c>
      <c r="QK49" s="50" t="s">
        <v>46</v>
      </c>
      <c r="QL49" s="50">
        <f t="shared" si="40"/>
        <v>9.0831680000000006</v>
      </c>
      <c r="QM49" s="50">
        <v>9.0819399999999995</v>
      </c>
      <c r="QN49" s="44" t="s">
        <v>46</v>
      </c>
      <c r="QO49" s="50" t="s">
        <v>46</v>
      </c>
      <c r="QP49" s="50">
        <v>0.53054000000000001</v>
      </c>
      <c r="QQ49" s="44" t="s">
        <v>46</v>
      </c>
      <c r="QR49" s="50" t="s">
        <v>46</v>
      </c>
      <c r="QS49" s="50">
        <v>0.33566200000000002</v>
      </c>
      <c r="QT49" s="44" t="s">
        <v>46</v>
      </c>
      <c r="QU49" s="50" t="s">
        <v>46</v>
      </c>
      <c r="QV49" s="50">
        <v>0.20786099999999999</v>
      </c>
      <c r="QW49" s="44" t="s">
        <v>46</v>
      </c>
      <c r="QX49" s="50" t="s">
        <v>46</v>
      </c>
      <c r="QY49" s="50">
        <v>0.35874899999999998</v>
      </c>
      <c r="QZ49" s="44" t="s">
        <v>46</v>
      </c>
      <c r="RA49" s="50" t="s">
        <v>46</v>
      </c>
      <c r="RB49" s="50">
        <v>0.20955799999999999</v>
      </c>
      <c r="RC49" s="44" t="s">
        <v>46</v>
      </c>
      <c r="RD49" s="50" t="s">
        <v>46</v>
      </c>
      <c r="RE49" s="50">
        <v>0.29925800000000002</v>
      </c>
      <c r="RF49" s="44" t="s">
        <v>46</v>
      </c>
      <c r="RG49" s="50" t="s">
        <v>46</v>
      </c>
      <c r="RH49" s="50">
        <v>0.35265099999999999</v>
      </c>
      <c r="RI49" s="44" t="s">
        <v>46</v>
      </c>
      <c r="RJ49" s="50" t="s">
        <v>46</v>
      </c>
      <c r="RK49" s="50">
        <v>0.562998</v>
      </c>
      <c r="RL49" s="44" t="s">
        <v>46</v>
      </c>
      <c r="RM49" s="50" t="s">
        <v>46</v>
      </c>
      <c r="RN49" s="50">
        <v>0.41372599999999998</v>
      </c>
      <c r="RO49" s="44" t="s">
        <v>46</v>
      </c>
      <c r="RP49" s="50" t="s">
        <v>46</v>
      </c>
      <c r="RQ49" s="50">
        <v>0.940635</v>
      </c>
      <c r="RR49" s="44" t="s">
        <v>46</v>
      </c>
      <c r="RS49" s="50" t="s">
        <v>46</v>
      </c>
      <c r="RT49" s="50">
        <v>0.658389</v>
      </c>
      <c r="RU49" s="44" t="s">
        <v>46</v>
      </c>
      <c r="RV49" s="50" t="s">
        <v>46</v>
      </c>
      <c r="RW49" s="50">
        <v>2.9381490000000001</v>
      </c>
      <c r="RX49" s="44" t="s">
        <v>46</v>
      </c>
      <c r="RY49" s="50" t="s">
        <v>46</v>
      </c>
      <c r="RZ49" s="50">
        <f t="shared" si="43"/>
        <v>7.8081759999999996</v>
      </c>
      <c r="SA49" s="50">
        <v>7.8095400000000001</v>
      </c>
      <c r="SB49" s="44" t="s">
        <v>46</v>
      </c>
      <c r="SC49" s="50" t="s">
        <v>46</v>
      </c>
      <c r="SD49" s="50">
        <v>9.6726000000000006E-2</v>
      </c>
      <c r="SE49" s="44" t="s">
        <v>46</v>
      </c>
      <c r="SF49" s="50" t="s">
        <v>46</v>
      </c>
      <c r="SG49" s="50">
        <v>0.332513</v>
      </c>
      <c r="SH49" s="44" t="s">
        <v>46</v>
      </c>
      <c r="SI49" s="50" t="s">
        <v>46</v>
      </c>
      <c r="SJ49" s="50">
        <v>0.59099400000000002</v>
      </c>
      <c r="SK49" s="44" t="s">
        <v>46</v>
      </c>
      <c r="SL49" s="50" t="s">
        <v>46</v>
      </c>
      <c r="SM49" s="50">
        <v>0.64156400000000002</v>
      </c>
      <c r="SN49" s="44" t="s">
        <v>46</v>
      </c>
      <c r="SO49" s="50" t="s">
        <v>46</v>
      </c>
      <c r="SP49" s="50">
        <v>1.3103910000000001</v>
      </c>
      <c r="SQ49" s="50" t="s">
        <v>46</v>
      </c>
      <c r="SR49" s="50" t="s">
        <v>46</v>
      </c>
      <c r="SS49" s="50">
        <v>0.45966000000000001</v>
      </c>
      <c r="ST49" s="50" t="s">
        <v>46</v>
      </c>
      <c r="SU49" s="50" t="s">
        <v>46</v>
      </c>
      <c r="SV49" s="50">
        <v>0.64982300000000004</v>
      </c>
      <c r="SW49" s="50" t="s">
        <v>46</v>
      </c>
      <c r="SX49" s="50" t="s">
        <v>46</v>
      </c>
      <c r="SY49" s="50">
        <v>3.4550380000000001</v>
      </c>
      <c r="SZ49" s="50" t="s">
        <v>46</v>
      </c>
      <c r="TA49" s="50" t="s">
        <v>46</v>
      </c>
      <c r="TB49" s="50">
        <v>0.54180700000000004</v>
      </c>
      <c r="TC49" s="50" t="s">
        <v>46</v>
      </c>
      <c r="TD49" s="50" t="s">
        <v>46</v>
      </c>
      <c r="TE49" s="50">
        <v>0.881104</v>
      </c>
      <c r="TF49" s="50" t="s">
        <v>46</v>
      </c>
      <c r="TG49" s="50" t="s">
        <v>46</v>
      </c>
      <c r="TH49" s="50">
        <v>1.3590549999999999</v>
      </c>
      <c r="TI49" s="50" t="s">
        <v>46</v>
      </c>
      <c r="TJ49" s="50" t="s">
        <v>46</v>
      </c>
      <c r="TK49" s="50">
        <v>2.8411789999999999</v>
      </c>
      <c r="TL49" s="44" t="s">
        <v>46</v>
      </c>
      <c r="TM49" s="50" t="s">
        <v>46</v>
      </c>
      <c r="TN49" s="50">
        <f t="shared" si="47"/>
        <v>13.159854000000001</v>
      </c>
      <c r="TO49" s="44" t="s">
        <v>46</v>
      </c>
      <c r="TP49" s="50" t="s">
        <v>46</v>
      </c>
      <c r="TQ49" s="50">
        <v>1.1445669999999999</v>
      </c>
      <c r="TR49" s="44" t="s">
        <v>46</v>
      </c>
      <c r="TS49" s="50" t="s">
        <v>46</v>
      </c>
      <c r="TT49" s="50">
        <v>0.44022300000000003</v>
      </c>
      <c r="TU49" s="44" t="s">
        <v>46</v>
      </c>
      <c r="TV49" s="50" t="s">
        <v>46</v>
      </c>
      <c r="TW49" s="50">
        <v>1.4435600000000002</v>
      </c>
      <c r="TX49" s="44" t="s">
        <v>46</v>
      </c>
      <c r="TY49" s="50" t="s">
        <v>46</v>
      </c>
      <c r="TZ49" s="50">
        <v>0.92432400000000003</v>
      </c>
      <c r="UA49" s="50"/>
      <c r="UB49" s="50"/>
      <c r="UC49" s="50"/>
      <c r="UD49" s="50"/>
      <c r="UE49" s="50"/>
      <c r="UF49" s="50"/>
      <c r="UG49" s="50"/>
      <c r="UH49" s="50"/>
      <c r="UI49" s="50"/>
      <c r="UJ49" s="50"/>
      <c r="UK49" s="50"/>
      <c r="UL49" s="50"/>
      <c r="UM49" s="50"/>
      <c r="UN49" s="50"/>
      <c r="UO49" s="50"/>
      <c r="UP49" s="50"/>
      <c r="UQ49" s="50"/>
      <c r="UR49" s="50"/>
      <c r="US49" s="50"/>
      <c r="UT49" s="50"/>
      <c r="UU49" s="50"/>
      <c r="UV49" s="50"/>
      <c r="UW49" s="50"/>
      <c r="UX49" s="50"/>
      <c r="UY49" s="292" t="s">
        <v>46</v>
      </c>
      <c r="UZ49" s="276" t="s">
        <v>46</v>
      </c>
      <c r="VA49" s="276">
        <f t="shared" si="52"/>
        <v>1.661797</v>
      </c>
      <c r="VB49" s="292" t="s">
        <v>46</v>
      </c>
      <c r="VC49" s="276" t="s">
        <v>46</v>
      </c>
      <c r="VD49" s="276">
        <f t="shared" si="55"/>
        <v>3.952674</v>
      </c>
      <c r="VE49" s="277">
        <f t="shared" si="56"/>
        <v>2.2908770000000001</v>
      </c>
      <c r="VF49" s="277">
        <f>VD49/VA49*100-100</f>
        <v>137.85540592503179</v>
      </c>
    </row>
    <row r="50" spans="1:578" s="12" customFormat="1" ht="20.5">
      <c r="A50" s="47" t="s">
        <v>167</v>
      </c>
      <c r="B50" s="13">
        <v>5200</v>
      </c>
      <c r="C50" s="47" t="s">
        <v>243</v>
      </c>
      <c r="D50" s="44" t="s">
        <v>46</v>
      </c>
      <c r="E50" s="50" t="s">
        <v>46</v>
      </c>
      <c r="F50" s="50">
        <v>376.37062253487454</v>
      </c>
      <c r="G50" s="50">
        <v>375.9400487191308</v>
      </c>
      <c r="H50" s="50">
        <v>19.995186424664627</v>
      </c>
      <c r="I50" s="50">
        <v>13.225059902903228</v>
      </c>
      <c r="J50" s="50">
        <v>16.792199532159749</v>
      </c>
      <c r="K50" s="50">
        <v>16.970631925828538</v>
      </c>
      <c r="L50" s="50">
        <v>30.656224210448428</v>
      </c>
      <c r="M50" s="50">
        <v>40.318085839010593</v>
      </c>
      <c r="N50" s="50">
        <v>39.012980859528405</v>
      </c>
      <c r="O50" s="50">
        <v>48.57515608903762</v>
      </c>
      <c r="P50" s="50">
        <v>63.019961468631365</v>
      </c>
      <c r="Q50" s="50">
        <v>49.840991229418158</v>
      </c>
      <c r="R50" s="50">
        <v>47.469702790536196</v>
      </c>
      <c r="S50" s="50">
        <v>80.786064108912299</v>
      </c>
      <c r="T50" s="44" t="s">
        <v>46</v>
      </c>
      <c r="U50" s="44" t="s">
        <v>46</v>
      </c>
      <c r="V50" s="50">
        <v>466.66224438107929</v>
      </c>
      <c r="W50" s="50">
        <v>466.87194438278675</v>
      </c>
      <c r="X50" s="50">
        <v>21.405857109521293</v>
      </c>
      <c r="Y50" s="50">
        <v>15.878307465523816</v>
      </c>
      <c r="Z50" s="50">
        <v>15.356213112048311</v>
      </c>
      <c r="AA50" s="50">
        <v>23.012868452655361</v>
      </c>
      <c r="AB50" s="50">
        <v>30.056672984217503</v>
      </c>
      <c r="AC50" s="50">
        <v>37.559662437891646</v>
      </c>
      <c r="AD50" s="50">
        <v>45.742463048019076</v>
      </c>
      <c r="AE50" s="50">
        <v>51.98946363424227</v>
      </c>
      <c r="AF50" s="50">
        <v>52.612100955600702</v>
      </c>
      <c r="AG50" s="50">
        <v>56.507768880086047</v>
      </c>
      <c r="AH50" s="50">
        <v>58.00247721982231</v>
      </c>
      <c r="AI50" s="50">
        <v>68.31669284750798</v>
      </c>
      <c r="AJ50" s="50">
        <v>0</v>
      </c>
      <c r="AK50" s="50">
        <v>0</v>
      </c>
      <c r="AL50" s="50">
        <v>476.44054814713633</v>
      </c>
      <c r="AM50" s="50">
        <v>476.13734697013678</v>
      </c>
      <c r="AN50" s="50">
        <v>28.809726467123124</v>
      </c>
      <c r="AO50" s="50">
        <v>20.841933170556796</v>
      </c>
      <c r="AP50" s="50">
        <v>21.507248109003363</v>
      </c>
      <c r="AQ50" s="50">
        <v>20.213445000313033</v>
      </c>
      <c r="AR50" s="50">
        <v>29.762623718703939</v>
      </c>
      <c r="AS50" s="50">
        <v>48.002982339315089</v>
      </c>
      <c r="AT50" s="50">
        <v>50.48063329178548</v>
      </c>
      <c r="AU50" s="50">
        <v>58.230675977939796</v>
      </c>
      <c r="AV50" s="50">
        <v>62.906316697116125</v>
      </c>
      <c r="AW50" s="50">
        <v>59.58123175166903</v>
      </c>
      <c r="AX50" s="50">
        <v>45.101651385023423</v>
      </c>
      <c r="AY50" s="50">
        <v>73.374293544146013</v>
      </c>
      <c r="AZ50" s="44" t="s">
        <v>46</v>
      </c>
      <c r="BA50" s="44" t="s">
        <v>46</v>
      </c>
      <c r="BB50" s="44">
        <v>518.81276145269521</v>
      </c>
      <c r="BC50" s="44">
        <v>518.8675704748407</v>
      </c>
      <c r="BD50" s="44" t="s">
        <v>46</v>
      </c>
      <c r="BE50" s="52" t="s">
        <v>46</v>
      </c>
      <c r="BF50" s="49">
        <v>24.585571999999999</v>
      </c>
      <c r="BG50" s="44" t="s">
        <v>46</v>
      </c>
      <c r="BH50" s="52" t="s">
        <v>46</v>
      </c>
      <c r="BI50" s="44">
        <f>(20.894824-1.990856)--0.213431</f>
        <v>19.117398999999999</v>
      </c>
      <c r="BJ50" s="44" t="s">
        <v>46</v>
      </c>
      <c r="BK50" s="52" t="s">
        <v>46</v>
      </c>
      <c r="BL50" s="44">
        <v>22.295572</v>
      </c>
      <c r="BM50" s="44" t="s">
        <v>46</v>
      </c>
      <c r="BN50" s="52" t="s">
        <v>46</v>
      </c>
      <c r="BO50" s="44">
        <v>28.737442000000001</v>
      </c>
      <c r="BP50" s="44" t="s">
        <v>46</v>
      </c>
      <c r="BQ50" s="52" t="s">
        <v>46</v>
      </c>
      <c r="BR50" s="44">
        <v>32.706957000000003</v>
      </c>
      <c r="BS50" s="44" t="s">
        <v>46</v>
      </c>
      <c r="BT50" s="52" t="s">
        <v>46</v>
      </c>
      <c r="BU50" s="44">
        <v>44.465547999999998</v>
      </c>
      <c r="BV50" s="44" t="s">
        <v>46</v>
      </c>
      <c r="BW50" s="52" t="s">
        <v>46</v>
      </c>
      <c r="BX50" s="44">
        <v>48.177016999999999</v>
      </c>
      <c r="BY50" s="44" t="s">
        <v>46</v>
      </c>
      <c r="BZ50" s="52" t="s">
        <v>46</v>
      </c>
      <c r="CA50" s="44">
        <v>44.817983999999996</v>
      </c>
      <c r="CB50" s="44" t="s">
        <v>46</v>
      </c>
      <c r="CC50" s="52" t="s">
        <v>46</v>
      </c>
      <c r="CD50" s="44">
        <v>46.469760999999998</v>
      </c>
      <c r="CE50" s="44" t="s">
        <v>46</v>
      </c>
      <c r="CF50" s="52" t="s">
        <v>46</v>
      </c>
      <c r="CG50" s="44">
        <v>47.889355999999999</v>
      </c>
      <c r="CH50" s="44" t="s">
        <v>46</v>
      </c>
      <c r="CI50" s="52" t="s">
        <v>46</v>
      </c>
      <c r="CJ50" s="44">
        <v>48.152540000000002</v>
      </c>
      <c r="CK50" s="44" t="s">
        <v>46</v>
      </c>
      <c r="CL50" s="52" t="s">
        <v>46</v>
      </c>
      <c r="CM50" s="44">
        <v>71.131101000000001</v>
      </c>
      <c r="CN50" s="50"/>
      <c r="CO50" s="50"/>
      <c r="CP50" s="50">
        <f>BF50+BI50+BL50+BO50+BR50+BU50+BX50+CA50+CD50+CG50+CJ50+CM50</f>
        <v>478.54624900000005</v>
      </c>
      <c r="CQ50" s="50">
        <v>478.92843299999998</v>
      </c>
      <c r="CR50" s="44" t="s">
        <v>46</v>
      </c>
      <c r="CS50" s="52" t="s">
        <v>46</v>
      </c>
      <c r="CT50" s="44">
        <v>24.811896999999998</v>
      </c>
      <c r="CU50" s="44" t="s">
        <v>46</v>
      </c>
      <c r="CV50" s="52" t="s">
        <v>46</v>
      </c>
      <c r="CW50" s="49">
        <v>19.648298</v>
      </c>
      <c r="CX50" s="44" t="s">
        <v>46</v>
      </c>
      <c r="CY50" s="52" t="s">
        <v>46</v>
      </c>
      <c r="CZ50" s="49">
        <v>23.930183</v>
      </c>
      <c r="DA50" s="44" t="s">
        <v>46</v>
      </c>
      <c r="DB50" s="52" t="s">
        <v>46</v>
      </c>
      <c r="DC50" s="49">
        <v>23.556305999999999</v>
      </c>
      <c r="DD50" s="44" t="s">
        <v>46</v>
      </c>
      <c r="DE50" s="52" t="s">
        <v>46</v>
      </c>
      <c r="DF50" s="49">
        <v>36.706924000000001</v>
      </c>
      <c r="DG50" s="44" t="s">
        <v>46</v>
      </c>
      <c r="DH50" s="52" t="s">
        <v>46</v>
      </c>
      <c r="DI50" s="49">
        <v>35.286496</v>
      </c>
      <c r="DJ50" s="44" t="s">
        <v>46</v>
      </c>
      <c r="DK50" s="52" t="s">
        <v>46</v>
      </c>
      <c r="DL50" s="49">
        <v>37.976962</v>
      </c>
      <c r="DM50" s="44" t="s">
        <v>46</v>
      </c>
      <c r="DN50" s="52" t="s">
        <v>46</v>
      </c>
      <c r="DO50" s="49">
        <v>40.144027999999999</v>
      </c>
      <c r="DP50" s="44" t="s">
        <v>46</v>
      </c>
      <c r="DQ50" s="52" t="s">
        <v>46</v>
      </c>
      <c r="DR50" s="49">
        <v>35.038263000000001</v>
      </c>
      <c r="DS50" s="44" t="s">
        <v>46</v>
      </c>
      <c r="DT50" s="52" t="s">
        <v>46</v>
      </c>
      <c r="DU50" s="49">
        <v>33.456446999999997</v>
      </c>
      <c r="DV50" s="44" t="s">
        <v>46</v>
      </c>
      <c r="DW50" s="52" t="s">
        <v>46</v>
      </c>
      <c r="DX50" s="49">
        <v>30.936982</v>
      </c>
      <c r="DY50" s="44" t="s">
        <v>46</v>
      </c>
      <c r="DZ50" s="52" t="s">
        <v>46</v>
      </c>
      <c r="EA50" s="44">
        <v>48.343504000000003</v>
      </c>
      <c r="EB50" s="44" t="s">
        <v>46</v>
      </c>
      <c r="EC50" s="52" t="s">
        <v>46</v>
      </c>
      <c r="ED50" s="44">
        <f>CT50+CW50+CZ50+DC50+DF50+DI50+DL50+DO50+DR50+DU50+DX50+EA50</f>
        <v>389.83629000000008</v>
      </c>
      <c r="EE50" s="140">
        <v>389.89932099999999</v>
      </c>
      <c r="EF50" s="44" t="s">
        <v>46</v>
      </c>
      <c r="EG50" s="44" t="s">
        <v>46</v>
      </c>
      <c r="EH50" s="44">
        <v>9.7592320000000008</v>
      </c>
      <c r="EI50" s="44" t="s">
        <v>46</v>
      </c>
      <c r="EJ50" s="44" t="s">
        <v>46</v>
      </c>
      <c r="EK50" s="44">
        <v>11.484394</v>
      </c>
      <c r="EL50" s="44" t="s">
        <v>46</v>
      </c>
      <c r="EM50" s="44" t="s">
        <v>46</v>
      </c>
      <c r="EN50" s="44">
        <v>11.353541999999999</v>
      </c>
      <c r="EO50" s="44" t="s">
        <v>46</v>
      </c>
      <c r="EP50" s="44" t="s">
        <v>46</v>
      </c>
      <c r="EQ50" s="44">
        <v>11.943272</v>
      </c>
      <c r="ER50" s="44" t="s">
        <v>46</v>
      </c>
      <c r="ES50" s="44" t="s">
        <v>46</v>
      </c>
      <c r="ET50" s="44">
        <v>18.968395000000001</v>
      </c>
      <c r="EU50" s="44" t="s">
        <v>46</v>
      </c>
      <c r="EV50" s="44" t="s">
        <v>46</v>
      </c>
      <c r="EW50" s="44">
        <v>23.112584999999999</v>
      </c>
      <c r="EX50" s="44" t="s">
        <v>46</v>
      </c>
      <c r="EY50" s="44" t="s">
        <v>46</v>
      </c>
      <c r="EZ50" s="44">
        <v>29.384246999999998</v>
      </c>
      <c r="FA50" s="44" t="s">
        <v>46</v>
      </c>
      <c r="FB50" s="44" t="s">
        <v>46</v>
      </c>
      <c r="FC50" s="44">
        <v>28.165517999999999</v>
      </c>
      <c r="FD50" s="44" t="s">
        <v>46</v>
      </c>
      <c r="FE50" s="44" t="s">
        <v>46</v>
      </c>
      <c r="FF50" s="44">
        <v>32.744298000000001</v>
      </c>
      <c r="FG50" s="44" t="s">
        <v>46</v>
      </c>
      <c r="FH50" s="44" t="s">
        <v>46</v>
      </c>
      <c r="FI50" s="44">
        <v>44.041777000000003</v>
      </c>
      <c r="FJ50" s="44" t="s">
        <v>46</v>
      </c>
      <c r="FK50" s="44" t="s">
        <v>46</v>
      </c>
      <c r="FL50" s="44">
        <v>35.779601</v>
      </c>
      <c r="FM50" s="44" t="s">
        <v>46</v>
      </c>
      <c r="FN50" s="44" t="s">
        <v>46</v>
      </c>
      <c r="FO50" s="44">
        <v>3.28E-4</v>
      </c>
      <c r="FP50" s="44" t="s">
        <v>46</v>
      </c>
      <c r="FQ50" s="44" t="s">
        <v>46</v>
      </c>
      <c r="FR50" s="44">
        <f>EH50+EK50+EN50+EQ50+ET50+EW50+EZ50+FC50+FF50+FI50+FL50+FO50</f>
        <v>256.737189</v>
      </c>
      <c r="FS50" s="95">
        <f>294.033654+10.035214+0.505425</f>
        <v>304.57429300000001</v>
      </c>
      <c r="FT50" s="44" t="s">
        <v>46</v>
      </c>
      <c r="FU50" s="44" t="s">
        <v>46</v>
      </c>
      <c r="FV50" s="44">
        <v>12.46785</v>
      </c>
      <c r="FW50" s="44" t="s">
        <v>46</v>
      </c>
      <c r="FX50" s="44" t="s">
        <v>46</v>
      </c>
      <c r="FY50" s="44">
        <v>17.521678000000001</v>
      </c>
      <c r="FZ50" s="44" t="s">
        <v>46</v>
      </c>
      <c r="GA50" s="44" t="s">
        <v>46</v>
      </c>
      <c r="GB50" s="44">
        <v>18.125015000000001</v>
      </c>
      <c r="GC50" s="44" t="s">
        <v>46</v>
      </c>
      <c r="GD50" s="44" t="s">
        <v>46</v>
      </c>
      <c r="GE50" s="44">
        <v>20.576241</v>
      </c>
      <c r="GF50" s="44" t="s">
        <v>46</v>
      </c>
      <c r="GG50" s="44" t="s">
        <v>46</v>
      </c>
      <c r="GH50" s="44">
        <v>32.570534000000002</v>
      </c>
      <c r="GI50" s="44" t="s">
        <v>46</v>
      </c>
      <c r="GJ50" s="44" t="s">
        <v>46</v>
      </c>
      <c r="GK50" s="44">
        <v>39.540581000000003</v>
      </c>
      <c r="GL50" s="44" t="s">
        <v>46</v>
      </c>
      <c r="GM50" s="44" t="s">
        <v>46</v>
      </c>
      <c r="GN50" s="44">
        <v>42.549366999999997</v>
      </c>
      <c r="GO50" s="44" t="s">
        <v>46</v>
      </c>
      <c r="GP50" s="44">
        <v>0</v>
      </c>
      <c r="GQ50" s="44">
        <v>56.345132999999997</v>
      </c>
      <c r="GR50" s="44" t="s">
        <v>46</v>
      </c>
      <c r="GS50" s="44" t="s">
        <v>46</v>
      </c>
      <c r="GT50" s="44">
        <v>57.084992999999997</v>
      </c>
      <c r="GU50" s="44" t="s">
        <v>46</v>
      </c>
      <c r="GV50" s="44" t="s">
        <v>46</v>
      </c>
      <c r="GW50" s="44">
        <v>54.257128000000002</v>
      </c>
      <c r="GX50" s="44" t="s">
        <v>46</v>
      </c>
      <c r="GY50" s="44" t="s">
        <v>46</v>
      </c>
      <c r="GZ50" s="44">
        <v>65.358735999999993</v>
      </c>
      <c r="HA50" s="44" t="s">
        <v>46</v>
      </c>
      <c r="HB50" s="44" t="s">
        <v>46</v>
      </c>
      <c r="HC50" s="44">
        <v>89.959958999999998</v>
      </c>
      <c r="HD50" s="44" t="s">
        <v>46</v>
      </c>
      <c r="HE50" s="44" t="s">
        <v>46</v>
      </c>
      <c r="HF50" s="44">
        <f t="shared" si="30"/>
        <v>506.357215</v>
      </c>
      <c r="HG50" s="44">
        <v>506.58096</v>
      </c>
      <c r="HH50" s="44" t="s">
        <v>46</v>
      </c>
      <c r="HI50" s="44" t="s">
        <v>46</v>
      </c>
      <c r="HJ50" s="44">
        <v>22.476568</v>
      </c>
      <c r="HK50" s="44" t="s">
        <v>46</v>
      </c>
      <c r="HL50" s="44" t="s">
        <v>46</v>
      </c>
      <c r="HM50" s="44">
        <v>26.336295</v>
      </c>
      <c r="HN50" s="44" t="s">
        <v>46</v>
      </c>
      <c r="HO50" s="44" t="s">
        <v>46</v>
      </c>
      <c r="HP50" s="44">
        <v>25.324280999999999</v>
      </c>
      <c r="HQ50" s="44" t="s">
        <v>46</v>
      </c>
      <c r="HR50" s="44" t="s">
        <v>46</v>
      </c>
      <c r="HS50" s="44">
        <v>26.991440999999998</v>
      </c>
      <c r="HT50" s="44" t="s">
        <v>46</v>
      </c>
      <c r="HU50" s="44" t="s">
        <v>46</v>
      </c>
      <c r="HV50" s="44">
        <v>36.551523000000003</v>
      </c>
      <c r="HW50" s="44" t="s">
        <v>46</v>
      </c>
      <c r="HX50" s="44" t="s">
        <v>46</v>
      </c>
      <c r="HY50" s="44">
        <v>48.919888</v>
      </c>
      <c r="HZ50" s="44" t="s">
        <v>46</v>
      </c>
      <c r="IA50" s="44" t="s">
        <v>46</v>
      </c>
      <c r="IB50" s="44">
        <v>57.770995999999997</v>
      </c>
      <c r="IC50" s="44" t="s">
        <v>46</v>
      </c>
      <c r="ID50" s="44" t="s">
        <v>46</v>
      </c>
      <c r="IE50" s="44">
        <v>67.606892000000002</v>
      </c>
      <c r="IF50" s="44" t="s">
        <v>46</v>
      </c>
      <c r="IG50" s="44" t="s">
        <v>46</v>
      </c>
      <c r="IH50" s="44">
        <v>73.256322999999995</v>
      </c>
      <c r="II50" s="44" t="s">
        <v>46</v>
      </c>
      <c r="IJ50" s="44" t="s">
        <v>46</v>
      </c>
      <c r="IK50" s="44">
        <v>68.981868000000006</v>
      </c>
      <c r="IL50" s="44" t="s">
        <v>46</v>
      </c>
      <c r="IM50" s="44" t="s">
        <v>46</v>
      </c>
      <c r="IN50" s="44">
        <v>77.928404</v>
      </c>
      <c r="IO50" s="44" t="s">
        <v>46</v>
      </c>
      <c r="IP50" s="44" t="s">
        <v>46</v>
      </c>
      <c r="IQ50" s="44">
        <v>126.07905</v>
      </c>
      <c r="IR50" s="44" t="s">
        <v>46</v>
      </c>
      <c r="IS50" s="44" t="s">
        <v>46</v>
      </c>
      <c r="IT50" s="50">
        <f t="shared" si="70"/>
        <v>658.2235290000001</v>
      </c>
      <c r="IU50" s="44">
        <v>658.25894300000004</v>
      </c>
      <c r="IV50" s="44" t="s">
        <v>46</v>
      </c>
      <c r="IW50" s="44" t="s">
        <v>46</v>
      </c>
      <c r="IX50" s="50">
        <v>30.487217000000001</v>
      </c>
      <c r="IY50" s="44" t="s">
        <v>46</v>
      </c>
      <c r="IZ50" s="44" t="s">
        <v>46</v>
      </c>
      <c r="JA50" s="50">
        <v>23.803324</v>
      </c>
      <c r="JB50" s="44" t="s">
        <v>46</v>
      </c>
      <c r="JC50" s="44" t="s">
        <v>46</v>
      </c>
      <c r="JD50" s="50">
        <v>30.685462000000001</v>
      </c>
      <c r="JE50" s="44" t="s">
        <v>46</v>
      </c>
      <c r="JF50" s="44" t="s">
        <v>46</v>
      </c>
      <c r="JG50" s="50">
        <v>32.967503999999998</v>
      </c>
      <c r="JH50" s="44" t="s">
        <v>46</v>
      </c>
      <c r="JI50" s="44" t="s">
        <v>46</v>
      </c>
      <c r="JJ50" s="50">
        <v>56.358798999999998</v>
      </c>
      <c r="JK50" s="44" t="s">
        <v>46</v>
      </c>
      <c r="JL50" s="44" t="s">
        <v>46</v>
      </c>
      <c r="JM50" s="50">
        <v>59.645943000000003</v>
      </c>
      <c r="JN50" s="44" t="s">
        <v>46</v>
      </c>
      <c r="JO50" s="44" t="s">
        <v>46</v>
      </c>
      <c r="JP50" s="50">
        <v>66.956847999999994</v>
      </c>
      <c r="JQ50" s="44" t="s">
        <v>46</v>
      </c>
      <c r="JR50" s="44" t="s">
        <v>46</v>
      </c>
      <c r="JS50" s="50">
        <v>69.187234000000004</v>
      </c>
      <c r="JT50" s="44" t="s">
        <v>46</v>
      </c>
      <c r="JU50" s="44" t="s">
        <v>46</v>
      </c>
      <c r="JV50" s="50">
        <v>72.046270000000007</v>
      </c>
      <c r="JW50" s="44" t="s">
        <v>46</v>
      </c>
      <c r="JX50" s="44" t="s">
        <v>46</v>
      </c>
      <c r="JY50" s="50">
        <v>64.382284999999996</v>
      </c>
      <c r="JZ50" s="44" t="s">
        <v>46</v>
      </c>
      <c r="KA50" s="44" t="s">
        <v>46</v>
      </c>
      <c r="KB50" s="50">
        <v>47.380031000000002</v>
      </c>
      <c r="KC50" s="44" t="s">
        <v>46</v>
      </c>
      <c r="KD50" s="44" t="s">
        <v>46</v>
      </c>
      <c r="KE50" s="50">
        <v>101.804947</v>
      </c>
      <c r="KF50" s="44" t="s">
        <v>46</v>
      </c>
      <c r="KG50" s="44" t="s">
        <v>46</v>
      </c>
      <c r="KH50" s="50">
        <f t="shared" si="4"/>
        <v>655.70586400000002</v>
      </c>
      <c r="KI50" s="44">
        <v>655.72495000000004</v>
      </c>
      <c r="KJ50" s="44" t="s">
        <v>46</v>
      </c>
      <c r="KK50" s="44" t="s">
        <v>46</v>
      </c>
      <c r="KL50" s="50">
        <v>33.725566000000001</v>
      </c>
      <c r="KM50" s="44" t="s">
        <v>46</v>
      </c>
      <c r="KN50" s="44" t="s">
        <v>46</v>
      </c>
      <c r="KO50" s="50">
        <v>27.669688000000001</v>
      </c>
      <c r="KP50" s="44" t="s">
        <v>46</v>
      </c>
      <c r="KQ50" s="44" t="s">
        <v>46</v>
      </c>
      <c r="KR50" s="50">
        <v>34.182975999999996</v>
      </c>
      <c r="KS50" s="44" t="s">
        <v>46</v>
      </c>
      <c r="KT50" s="44" t="s">
        <v>46</v>
      </c>
      <c r="KU50" s="50">
        <v>32.680632000000003</v>
      </c>
      <c r="KV50" s="44" t="s">
        <v>46</v>
      </c>
      <c r="KW50" s="44" t="s">
        <v>46</v>
      </c>
      <c r="KX50" s="50">
        <v>37.119297000000003</v>
      </c>
      <c r="KY50" s="44" t="s">
        <v>46</v>
      </c>
      <c r="KZ50" s="44" t="s">
        <v>46</v>
      </c>
      <c r="LA50" s="50">
        <v>48.778260000000003</v>
      </c>
      <c r="LB50" s="44" t="s">
        <v>46</v>
      </c>
      <c r="LC50" s="44" t="s">
        <v>46</v>
      </c>
      <c r="LD50" s="50">
        <v>54.419409999999999</v>
      </c>
      <c r="LE50" s="44"/>
      <c r="LF50" s="44"/>
      <c r="LG50" s="44">
        <v>49.296909999999997</v>
      </c>
      <c r="LH50" s="44" t="s">
        <v>46</v>
      </c>
      <c r="LI50" s="44" t="s">
        <v>46</v>
      </c>
      <c r="LJ50" s="50">
        <v>59.058365999999999</v>
      </c>
      <c r="LK50" s="44" t="s">
        <v>46</v>
      </c>
      <c r="LL50" s="44" t="s">
        <v>46</v>
      </c>
      <c r="LM50" s="50">
        <v>64.394722999999999</v>
      </c>
      <c r="LN50" s="44" t="s">
        <v>46</v>
      </c>
      <c r="LO50" s="44" t="s">
        <v>46</v>
      </c>
      <c r="LP50" s="50">
        <v>63.178668000000002</v>
      </c>
      <c r="LQ50" s="44" t="s">
        <v>46</v>
      </c>
      <c r="LR50" s="44" t="s">
        <v>46</v>
      </c>
      <c r="LS50" s="50">
        <v>110.727261</v>
      </c>
      <c r="LT50" s="44" t="s">
        <v>46</v>
      </c>
      <c r="LU50" s="50" t="s">
        <v>46</v>
      </c>
      <c r="LV50" s="50">
        <f t="shared" si="58"/>
        <v>615.23175700000002</v>
      </c>
      <c r="LW50" s="50">
        <v>615.30096700000001</v>
      </c>
      <c r="LX50" s="44" t="s">
        <v>46</v>
      </c>
      <c r="LY50" s="44" t="s">
        <v>46</v>
      </c>
      <c r="LZ50" s="50">
        <v>21.312871000000001</v>
      </c>
      <c r="MA50" s="44" t="s">
        <v>46</v>
      </c>
      <c r="MB50" s="44" t="s">
        <v>46</v>
      </c>
      <c r="MC50" s="50">
        <v>30.933658999999999</v>
      </c>
      <c r="MD50" s="44" t="s">
        <v>46</v>
      </c>
      <c r="ME50" s="44" t="s">
        <v>46</v>
      </c>
      <c r="MF50" s="50">
        <v>27.351777999999999</v>
      </c>
      <c r="MG50" s="44" t="s">
        <v>46</v>
      </c>
      <c r="MH50" s="44" t="s">
        <v>46</v>
      </c>
      <c r="MI50" s="50">
        <v>35.696129999999997</v>
      </c>
      <c r="MJ50" s="44" t="s">
        <v>46</v>
      </c>
      <c r="MK50" s="44" t="s">
        <v>46</v>
      </c>
      <c r="ML50" s="50">
        <v>40.967764000000003</v>
      </c>
      <c r="MM50" s="44" t="s">
        <v>46</v>
      </c>
      <c r="MN50" s="44" t="s">
        <v>46</v>
      </c>
      <c r="MO50" s="50">
        <v>52.419348999999997</v>
      </c>
      <c r="MP50" s="44" t="s">
        <v>46</v>
      </c>
      <c r="MQ50" s="44" t="s">
        <v>46</v>
      </c>
      <c r="MR50" s="50">
        <v>56.466465999999997</v>
      </c>
      <c r="MS50" s="44" t="s">
        <v>46</v>
      </c>
      <c r="MT50" s="44" t="s">
        <v>46</v>
      </c>
      <c r="MU50" s="50">
        <v>45.877893</v>
      </c>
      <c r="MV50" s="44" t="s">
        <v>46</v>
      </c>
      <c r="MW50" s="44" t="s">
        <v>46</v>
      </c>
      <c r="MX50" s="50">
        <v>40.967764000000003</v>
      </c>
      <c r="MY50" s="44" t="s">
        <v>46</v>
      </c>
      <c r="MZ50" s="44" t="s">
        <v>46</v>
      </c>
      <c r="NA50" s="50">
        <v>53.449562999999998</v>
      </c>
      <c r="NB50" s="44" t="s">
        <v>46</v>
      </c>
      <c r="NC50" s="44" t="s">
        <v>46</v>
      </c>
      <c r="ND50" s="50">
        <v>65.823195999999996</v>
      </c>
      <c r="NE50" s="44" t="s">
        <v>46</v>
      </c>
      <c r="NF50" s="44" t="s">
        <v>46</v>
      </c>
      <c r="NG50" s="50">
        <v>128.322024</v>
      </c>
      <c r="NH50" s="44" t="s">
        <v>46</v>
      </c>
      <c r="NI50" s="50" t="s">
        <v>46</v>
      </c>
      <c r="NJ50" s="50">
        <f t="shared" si="76"/>
        <v>599.58845699999995</v>
      </c>
      <c r="NK50" s="50">
        <v>617.04201399999999</v>
      </c>
      <c r="NL50" s="44" t="s">
        <v>46</v>
      </c>
      <c r="NM50" s="50" t="s">
        <v>46</v>
      </c>
      <c r="NN50" s="50">
        <v>22.896183000000001</v>
      </c>
      <c r="NO50" s="44" t="s">
        <v>46</v>
      </c>
      <c r="NP50" s="50" t="s">
        <v>46</v>
      </c>
      <c r="NQ50" s="50">
        <v>21.345317000000001</v>
      </c>
      <c r="NR50" s="44" t="s">
        <v>46</v>
      </c>
      <c r="NS50" s="50" t="s">
        <v>46</v>
      </c>
      <c r="NT50" s="50">
        <v>27.942550000000001</v>
      </c>
      <c r="NU50" s="44" t="s">
        <v>46</v>
      </c>
      <c r="NV50" s="50" t="s">
        <v>46</v>
      </c>
      <c r="NW50" s="50">
        <v>21.339454</v>
      </c>
      <c r="NX50" s="44" t="s">
        <v>46</v>
      </c>
      <c r="NY50" s="50" t="s">
        <v>46</v>
      </c>
      <c r="NZ50" s="50">
        <v>34.635618000000001</v>
      </c>
      <c r="OA50" s="50" t="s">
        <v>46</v>
      </c>
      <c r="OB50" s="50" t="s">
        <v>46</v>
      </c>
      <c r="OC50" s="50">
        <v>44.086972000000003</v>
      </c>
      <c r="OD50" s="50" t="s">
        <v>46</v>
      </c>
      <c r="OE50" s="50" t="s">
        <v>46</v>
      </c>
      <c r="OF50" s="50">
        <v>35.203153</v>
      </c>
      <c r="OG50" s="50" t="s">
        <v>46</v>
      </c>
      <c r="OH50" s="50" t="s">
        <v>46</v>
      </c>
      <c r="OI50" s="94">
        <v>49.320762999999999</v>
      </c>
      <c r="OJ50" s="50" t="s">
        <v>46</v>
      </c>
      <c r="OK50" s="50" t="s">
        <v>46</v>
      </c>
      <c r="OL50" s="50">
        <v>56.040332999999997</v>
      </c>
      <c r="OM50" s="50" t="s">
        <v>46</v>
      </c>
      <c r="ON50" s="50" t="s">
        <v>46</v>
      </c>
      <c r="OO50" s="50">
        <v>60.354810000000001</v>
      </c>
      <c r="OP50" s="50" t="s">
        <v>46</v>
      </c>
      <c r="OQ50" s="50" t="s">
        <v>46</v>
      </c>
      <c r="OR50" s="50">
        <v>62.413103</v>
      </c>
      <c r="OS50" s="50" t="s">
        <v>46</v>
      </c>
      <c r="OT50" s="50" t="s">
        <v>46</v>
      </c>
      <c r="OU50" s="50">
        <v>115.929013</v>
      </c>
      <c r="OV50" s="44" t="s">
        <v>46</v>
      </c>
      <c r="OW50" s="50" t="s">
        <v>46</v>
      </c>
      <c r="OX50" s="50">
        <f t="shared" si="9"/>
        <v>551.50726899999995</v>
      </c>
      <c r="OY50" s="50">
        <v>551.45956000000001</v>
      </c>
      <c r="OZ50" s="44" t="s">
        <v>46</v>
      </c>
      <c r="PA50" s="50" t="s">
        <v>46</v>
      </c>
      <c r="PB50" s="50">
        <v>23.783225999999999</v>
      </c>
      <c r="PC50" s="44" t="s">
        <v>46</v>
      </c>
      <c r="PD50" s="50" t="s">
        <v>46</v>
      </c>
      <c r="PE50" s="50">
        <v>17.788443999999998</v>
      </c>
      <c r="PF50" s="44" t="s">
        <v>46</v>
      </c>
      <c r="PG50" s="50" t="s">
        <v>46</v>
      </c>
      <c r="PH50" s="50">
        <v>25.495719000000001</v>
      </c>
      <c r="PI50" s="44" t="s">
        <v>46</v>
      </c>
      <c r="PJ50" s="50" t="s">
        <v>46</v>
      </c>
      <c r="PK50" s="50">
        <v>28.997868</v>
      </c>
      <c r="PL50" s="44" t="s">
        <v>46</v>
      </c>
      <c r="PM50" s="50" t="s">
        <v>46</v>
      </c>
      <c r="PN50" s="50">
        <v>30.313158999999999</v>
      </c>
      <c r="PO50" s="44" t="s">
        <v>46</v>
      </c>
      <c r="PP50" s="50" t="s">
        <v>46</v>
      </c>
      <c r="PQ50" s="50">
        <v>43.607408</v>
      </c>
      <c r="PR50" s="44" t="s">
        <v>46</v>
      </c>
      <c r="PS50" s="50" t="s">
        <v>46</v>
      </c>
      <c r="PT50" s="50">
        <v>36.449572000000003</v>
      </c>
      <c r="PU50" s="44" t="s">
        <v>46</v>
      </c>
      <c r="PV50" s="50" t="s">
        <v>46</v>
      </c>
      <c r="PW50" s="50">
        <v>49.518371000000002</v>
      </c>
      <c r="PX50" s="44" t="s">
        <v>46</v>
      </c>
      <c r="PY50" s="50" t="s">
        <v>46</v>
      </c>
      <c r="PZ50" s="50">
        <v>45.566474999999997</v>
      </c>
      <c r="QA50" s="44" t="s">
        <v>46</v>
      </c>
      <c r="QB50" s="50" t="s">
        <v>46</v>
      </c>
      <c r="QC50" s="50">
        <v>49.428835999999997</v>
      </c>
      <c r="QD50" s="44" t="s">
        <v>46</v>
      </c>
      <c r="QE50" s="50" t="s">
        <v>46</v>
      </c>
      <c r="QF50" s="50">
        <v>57.391618999999999</v>
      </c>
      <c r="QG50" s="44" t="s">
        <v>46</v>
      </c>
      <c r="QH50" s="50" t="s">
        <v>46</v>
      </c>
      <c r="QI50" s="50">
        <v>131.24648500000001</v>
      </c>
      <c r="QJ50" s="44" t="s">
        <v>46</v>
      </c>
      <c r="QK50" s="50" t="s">
        <v>46</v>
      </c>
      <c r="QL50" s="50">
        <f t="shared" si="40"/>
        <v>539.58718199999998</v>
      </c>
      <c r="QM50" s="50">
        <v>540.71454400000005</v>
      </c>
      <c r="QN50" s="44" t="s">
        <v>46</v>
      </c>
      <c r="QO50" s="50" t="s">
        <v>46</v>
      </c>
      <c r="QP50" s="50">
        <v>17.77214</v>
      </c>
      <c r="QQ50" s="44" t="s">
        <v>46</v>
      </c>
      <c r="QR50" s="50" t="s">
        <v>46</v>
      </c>
      <c r="QS50" s="50">
        <v>11.411448999999999</v>
      </c>
      <c r="QT50" s="44" t="s">
        <v>46</v>
      </c>
      <c r="QU50" s="50" t="s">
        <v>46</v>
      </c>
      <c r="QV50" s="50">
        <v>15.741126</v>
      </c>
      <c r="QW50" s="44" t="s">
        <v>46</v>
      </c>
      <c r="QX50" s="50" t="s">
        <v>46</v>
      </c>
      <c r="QY50" s="50">
        <v>18.502502</v>
      </c>
      <c r="QZ50" s="44" t="s">
        <v>46</v>
      </c>
      <c r="RA50" s="50" t="s">
        <v>46</v>
      </c>
      <c r="RB50" s="50">
        <v>25.496324999999999</v>
      </c>
      <c r="RC50" s="44" t="s">
        <v>46</v>
      </c>
      <c r="RD50" s="50" t="s">
        <v>46</v>
      </c>
      <c r="RE50" s="50">
        <v>30.595445999999999</v>
      </c>
      <c r="RF50" s="44" t="s">
        <v>46</v>
      </c>
      <c r="RG50" s="50" t="s">
        <v>46</v>
      </c>
      <c r="RH50" s="50">
        <v>38.409471000000003</v>
      </c>
      <c r="RI50" s="44" t="s">
        <v>46</v>
      </c>
      <c r="RJ50" s="50" t="s">
        <v>46</v>
      </c>
      <c r="RK50" s="50">
        <v>52.764735999999999</v>
      </c>
      <c r="RL50" s="44" t="s">
        <v>46</v>
      </c>
      <c r="RM50" s="50" t="s">
        <v>46</v>
      </c>
      <c r="RN50" s="50">
        <v>42.494621000000002</v>
      </c>
      <c r="RO50" s="44" t="s">
        <v>46</v>
      </c>
      <c r="RP50" s="50" t="s">
        <v>46</v>
      </c>
      <c r="RQ50" s="50">
        <v>49.174543</v>
      </c>
      <c r="RR50" s="44" t="s">
        <v>46</v>
      </c>
      <c r="RS50" s="50" t="s">
        <v>46</v>
      </c>
      <c r="RT50" s="50">
        <v>66.056155000000004</v>
      </c>
      <c r="RU50" s="44" t="s">
        <v>46</v>
      </c>
      <c r="RV50" s="50" t="s">
        <v>46</v>
      </c>
      <c r="RW50" s="50">
        <v>106.698252</v>
      </c>
      <c r="RX50" s="44" t="s">
        <v>46</v>
      </c>
      <c r="RY50" s="50" t="s">
        <v>46</v>
      </c>
      <c r="RZ50" s="50">
        <f t="shared" si="43"/>
        <v>475.11676599999998</v>
      </c>
      <c r="SA50" s="50">
        <v>475.13799599999999</v>
      </c>
      <c r="SB50" s="44" t="s">
        <v>46</v>
      </c>
      <c r="SC50" s="50" t="s">
        <v>46</v>
      </c>
      <c r="SD50" s="50">
        <v>27.736535</v>
      </c>
      <c r="SE50" s="44" t="s">
        <v>46</v>
      </c>
      <c r="SF50" s="50" t="s">
        <v>46</v>
      </c>
      <c r="SG50" s="50">
        <v>18.621873999999998</v>
      </c>
      <c r="SH50" s="44" t="s">
        <v>46</v>
      </c>
      <c r="SI50" s="50" t="s">
        <v>46</v>
      </c>
      <c r="SJ50" s="50">
        <v>27.260299</v>
      </c>
      <c r="SK50" s="44" t="s">
        <v>46</v>
      </c>
      <c r="SL50" s="50" t="s">
        <v>46</v>
      </c>
      <c r="SM50" s="50">
        <v>39.585895000000001</v>
      </c>
      <c r="SN50" s="44" t="s">
        <v>46</v>
      </c>
      <c r="SO50" s="50" t="s">
        <v>46</v>
      </c>
      <c r="SP50" s="50">
        <v>48.555869999999999</v>
      </c>
      <c r="SQ50" s="50" t="s">
        <v>46</v>
      </c>
      <c r="SR50" s="50" t="s">
        <v>46</v>
      </c>
      <c r="SS50" s="50">
        <v>45.376441</v>
      </c>
      <c r="ST50" s="50" t="s">
        <v>46</v>
      </c>
      <c r="SU50" s="50" t="s">
        <v>46</v>
      </c>
      <c r="SV50" s="50">
        <v>63.320211</v>
      </c>
      <c r="SW50" s="50" t="s">
        <v>46</v>
      </c>
      <c r="SX50" s="50" t="s">
        <v>46</v>
      </c>
      <c r="SY50" s="50">
        <v>59.508069999999996</v>
      </c>
      <c r="SZ50" s="50" t="s">
        <v>46</v>
      </c>
      <c r="TA50" s="50" t="s">
        <v>46</v>
      </c>
      <c r="TB50" s="50">
        <v>75.955206000000004</v>
      </c>
      <c r="TC50" s="50" t="s">
        <v>46</v>
      </c>
      <c r="TD50" s="50" t="s">
        <v>46</v>
      </c>
      <c r="TE50" s="50">
        <v>71.913774000000004</v>
      </c>
      <c r="TF50" s="50" t="s">
        <v>46</v>
      </c>
      <c r="TG50" s="50" t="s">
        <v>46</v>
      </c>
      <c r="TH50" s="50">
        <v>59.620410999999997</v>
      </c>
      <c r="TI50" s="50" t="s">
        <v>46</v>
      </c>
      <c r="TJ50" s="50" t="s">
        <v>46</v>
      </c>
      <c r="TK50" s="50">
        <v>119.04700099999999</v>
      </c>
      <c r="TL50" s="44" t="s">
        <v>46</v>
      </c>
      <c r="TM50" s="50" t="s">
        <v>46</v>
      </c>
      <c r="TN50" s="50">
        <f t="shared" si="47"/>
        <v>656.50158699999997</v>
      </c>
      <c r="TO50" s="44" t="s">
        <v>46</v>
      </c>
      <c r="TP50" s="50" t="s">
        <v>46</v>
      </c>
      <c r="TQ50" s="50">
        <v>34.426366999999999</v>
      </c>
      <c r="TR50" s="44" t="s">
        <v>46</v>
      </c>
      <c r="TS50" s="50" t="s">
        <v>46</v>
      </c>
      <c r="TT50" s="50">
        <v>27.540258999999999</v>
      </c>
      <c r="TU50" s="44" t="s">
        <v>46</v>
      </c>
      <c r="TV50" s="50" t="s">
        <v>46</v>
      </c>
      <c r="TW50" s="50">
        <v>32.804939000000005</v>
      </c>
      <c r="TX50" s="44" t="s">
        <v>46</v>
      </c>
      <c r="TY50" s="50" t="s">
        <v>46</v>
      </c>
      <c r="TZ50" s="50">
        <v>25.268069000000001</v>
      </c>
      <c r="UA50" s="50"/>
      <c r="UB50" s="50"/>
      <c r="UC50" s="50"/>
      <c r="UD50" s="50"/>
      <c r="UE50" s="50"/>
      <c r="UF50" s="50"/>
      <c r="UG50" s="50"/>
      <c r="UH50" s="50"/>
      <c r="UI50" s="50"/>
      <c r="UJ50" s="50"/>
      <c r="UK50" s="50"/>
      <c r="UL50" s="50"/>
      <c r="UM50" s="50"/>
      <c r="UN50" s="50"/>
      <c r="UO50" s="50"/>
      <c r="UP50" s="50"/>
      <c r="UQ50" s="50"/>
      <c r="UR50" s="50"/>
      <c r="US50" s="50"/>
      <c r="UT50" s="50"/>
      <c r="UU50" s="50"/>
      <c r="UV50" s="50"/>
      <c r="UW50" s="50"/>
      <c r="UX50" s="50"/>
      <c r="UY50" s="292" t="s">
        <v>46</v>
      </c>
      <c r="UZ50" s="276" t="s">
        <v>46</v>
      </c>
      <c r="VA50" s="276">
        <f t="shared" si="52"/>
        <v>113.20460300000001</v>
      </c>
      <c r="VB50" s="292" t="s">
        <v>46</v>
      </c>
      <c r="VC50" s="276" t="s">
        <v>46</v>
      </c>
      <c r="VD50" s="276">
        <f t="shared" si="55"/>
        <v>120.03963400000001</v>
      </c>
      <c r="VE50" s="277">
        <f t="shared" si="56"/>
        <v>6.8350310000000007</v>
      </c>
      <c r="VF50" s="277">
        <f t="shared" si="57"/>
        <v>6.0377677398859788</v>
      </c>
    </row>
    <row r="51" spans="1:578" s="12" customFormat="1" ht="20.5">
      <c r="A51" s="46" t="s">
        <v>171</v>
      </c>
      <c r="B51" s="13" t="s">
        <v>172</v>
      </c>
      <c r="C51" s="46" t="s">
        <v>173</v>
      </c>
      <c r="D51" s="44" t="s">
        <v>46</v>
      </c>
      <c r="E51" s="42">
        <v>0.12903597589085999</v>
      </c>
      <c r="F51" s="42">
        <v>0.88165690576604583</v>
      </c>
      <c r="G51" s="42">
        <v>1.1358031542222298</v>
      </c>
      <c r="H51" s="42">
        <v>3.7875424727235478E-2</v>
      </c>
      <c r="I51" s="42"/>
      <c r="J51" s="42">
        <v>0.7071075292684732</v>
      </c>
      <c r="K51" s="42"/>
      <c r="L51" s="42">
        <v>5.3923995879363237E-2</v>
      </c>
      <c r="M51" s="42">
        <v>9.4667930176834503E-2</v>
      </c>
      <c r="N51" s="42">
        <v>2.1826853575107712E-3</v>
      </c>
      <c r="O51" s="42">
        <v>6.5195986363196555E-3</v>
      </c>
      <c r="P51" s="42">
        <v>6.404488306839462E-2</v>
      </c>
      <c r="Q51" s="42">
        <v>3.0727742016266273</v>
      </c>
      <c r="R51" s="42">
        <v>2.2458608659028691E-2</v>
      </c>
      <c r="S51" s="42">
        <v>0.63280658618903707</v>
      </c>
      <c r="T51" s="44" t="s">
        <v>46</v>
      </c>
      <c r="U51" s="44" t="s">
        <v>46</v>
      </c>
      <c r="V51" s="42">
        <v>4.694361443588825</v>
      </c>
      <c r="W51" s="42">
        <v>4.4458213100665329</v>
      </c>
      <c r="X51" s="42">
        <v>0.66693985805430811</v>
      </c>
      <c r="Y51" s="42">
        <v>4.9211444442547291E-2</v>
      </c>
      <c r="Z51" s="42">
        <v>0.31653490873700207</v>
      </c>
      <c r="AA51" s="42">
        <v>4.5967296714304412E-2</v>
      </c>
      <c r="AB51" s="42">
        <v>2.5139299150260953E-2</v>
      </c>
      <c r="AC51" s="42">
        <v>0.213308404619211</v>
      </c>
      <c r="AD51" s="42">
        <v>0.72003716541169371</v>
      </c>
      <c r="AE51" s="42">
        <v>7.5412205963536769E-5</v>
      </c>
      <c r="AF51" s="42">
        <v>0.96309070523218432</v>
      </c>
      <c r="AG51" s="42">
        <v>2.7543952510230447</v>
      </c>
      <c r="AH51" s="42">
        <v>0.23373799807627729</v>
      </c>
      <c r="AI51" s="42">
        <v>8.7720047125514032E-3</v>
      </c>
      <c r="AJ51" s="42">
        <v>0</v>
      </c>
      <c r="AK51" s="42">
        <v>0</v>
      </c>
      <c r="AL51" s="42">
        <v>5.9972097483793494</v>
      </c>
      <c r="AM51" s="42">
        <v>6.0713570213032373</v>
      </c>
      <c r="AN51" s="42">
        <v>0.19421061917689711</v>
      </c>
      <c r="AO51" s="42">
        <v>1.7084421830268468E-2</v>
      </c>
      <c r="AP51" s="42">
        <v>1.1895208336890513E-3</v>
      </c>
      <c r="AQ51" s="42">
        <v>1.139720320316902E-3</v>
      </c>
      <c r="AR51" s="42">
        <v>1.8310937331033974E-2</v>
      </c>
      <c r="AS51" s="42"/>
      <c r="AT51" s="42">
        <v>3.0284403617509288E-2</v>
      </c>
      <c r="AU51" s="42">
        <v>7.6500702898674444E-2</v>
      </c>
      <c r="AV51" s="42">
        <v>6.6234682784958527E-3</v>
      </c>
      <c r="AW51" s="42">
        <v>0.20147295689836711</v>
      </c>
      <c r="AX51" s="42">
        <v>7.048195513969753E-2</v>
      </c>
      <c r="AY51" s="42">
        <v>1.7972293840103362E-2</v>
      </c>
      <c r="AZ51" s="44" t="s">
        <v>46</v>
      </c>
      <c r="BA51" s="44" t="s">
        <v>46</v>
      </c>
      <c r="BB51" s="42">
        <v>0.63527100016505311</v>
      </c>
      <c r="BC51" s="42">
        <v>0.62086157733877445</v>
      </c>
      <c r="BD51" s="49" t="s">
        <v>46</v>
      </c>
      <c r="BE51" s="49" t="s">
        <v>46</v>
      </c>
      <c r="BF51" s="44">
        <f>BF52+BF53+BF54</f>
        <v>0.376245</v>
      </c>
      <c r="BG51" s="49" t="s">
        <v>46</v>
      </c>
      <c r="BH51" s="49" t="s">
        <v>46</v>
      </c>
      <c r="BI51" s="44">
        <f>BI52+BI53+BI54</f>
        <v>0.17674200000000001</v>
      </c>
      <c r="BJ51" s="49" t="s">
        <v>46</v>
      </c>
      <c r="BK51" s="49" t="s">
        <v>46</v>
      </c>
      <c r="BL51" s="44">
        <f>BL52+BL53+BL54</f>
        <v>0.140206</v>
      </c>
      <c r="BM51" s="49" t="s">
        <v>46</v>
      </c>
      <c r="BN51" s="49" t="s">
        <v>46</v>
      </c>
      <c r="BO51" s="44">
        <f>BO52+BO53+BO54</f>
        <v>6.9913000000000003E-2</v>
      </c>
      <c r="BP51" s="49" t="s">
        <v>46</v>
      </c>
      <c r="BQ51" s="49" t="s">
        <v>46</v>
      </c>
      <c r="BR51" s="44">
        <f>BR52+BR53+BR54</f>
        <v>3.5425999999999999E-2</v>
      </c>
      <c r="BS51" s="49" t="s">
        <v>46</v>
      </c>
      <c r="BT51" s="49" t="s">
        <v>46</v>
      </c>
      <c r="BU51" s="44">
        <f>BU52+BU53+BU54</f>
        <v>0.19857900000000001</v>
      </c>
      <c r="BV51" s="49" t="s">
        <v>46</v>
      </c>
      <c r="BW51" s="49" t="s">
        <v>46</v>
      </c>
      <c r="BX51" s="44">
        <f>BX52+BX53+BX54</f>
        <v>3.4733E-2</v>
      </c>
      <c r="BY51" s="49" t="s">
        <v>46</v>
      </c>
      <c r="BZ51" s="49" t="s">
        <v>46</v>
      </c>
      <c r="CA51" s="44">
        <f>CA52+CA53+CA54</f>
        <v>5.4199000000000004E-2</v>
      </c>
      <c r="CB51" s="49" t="s">
        <v>46</v>
      </c>
      <c r="CC51" s="49" t="s">
        <v>46</v>
      </c>
      <c r="CD51" s="44">
        <f>CD52+CD53+CD54</f>
        <v>0.157195</v>
      </c>
      <c r="CE51" s="49" t="s">
        <v>46</v>
      </c>
      <c r="CF51" s="49" t="s">
        <v>46</v>
      </c>
      <c r="CG51" s="44">
        <f>CG52+CG53+CG54</f>
        <v>0.190834</v>
      </c>
      <c r="CH51" s="49" t="s">
        <v>46</v>
      </c>
      <c r="CI51" s="49" t="s">
        <v>46</v>
      </c>
      <c r="CJ51" s="44">
        <f>CJ52+CJ53+CJ54</f>
        <v>5.4223E-2</v>
      </c>
      <c r="CK51" s="49" t="s">
        <v>46</v>
      </c>
      <c r="CL51" s="49" t="s">
        <v>46</v>
      </c>
      <c r="CM51" s="44">
        <f>CM52+CM53+CM54</f>
        <v>0.202013</v>
      </c>
      <c r="CN51" s="50"/>
      <c r="CO51" s="50"/>
      <c r="CP51" s="50">
        <f t="shared" si="21"/>
        <v>1.6903079999999997</v>
      </c>
      <c r="CQ51" s="52">
        <f>CQ52+CQ53+CQ54</f>
        <v>1.683818</v>
      </c>
      <c r="CR51" s="49" t="s">
        <v>46</v>
      </c>
      <c r="CS51" s="49" t="s">
        <v>46</v>
      </c>
      <c r="CT51" s="44">
        <f>CT52+CT53+CT54</f>
        <v>7.9028000000000001E-2</v>
      </c>
      <c r="CU51" s="49" t="s">
        <v>46</v>
      </c>
      <c r="CV51" s="49" t="s">
        <v>46</v>
      </c>
      <c r="CW51" s="44">
        <v>1.0489999999999999E-2</v>
      </c>
      <c r="CX51" s="49" t="s">
        <v>46</v>
      </c>
      <c r="CY51" s="49" t="s">
        <v>46</v>
      </c>
      <c r="CZ51" s="44">
        <v>4.1946999999999998E-2</v>
      </c>
      <c r="DA51" s="49" t="s">
        <v>46</v>
      </c>
      <c r="DB51" s="49" t="s">
        <v>46</v>
      </c>
      <c r="DC51" s="44">
        <v>4.3348999999999999E-2</v>
      </c>
      <c r="DD51" s="49" t="s">
        <v>46</v>
      </c>
      <c r="DE51" s="49" t="s">
        <v>46</v>
      </c>
      <c r="DF51" s="44">
        <v>4.1179E-2</v>
      </c>
      <c r="DG51" s="49" t="s">
        <v>46</v>
      </c>
      <c r="DH51" s="49" t="s">
        <v>46</v>
      </c>
      <c r="DI51" s="44">
        <v>5.8E-5</v>
      </c>
      <c r="DJ51" s="49" t="s">
        <v>46</v>
      </c>
      <c r="DK51" s="49" t="s">
        <v>46</v>
      </c>
      <c r="DL51" s="44">
        <v>2.0258999999999999E-2</v>
      </c>
      <c r="DM51" s="49" t="s">
        <v>46</v>
      </c>
      <c r="DN51" s="49" t="s">
        <v>46</v>
      </c>
      <c r="DO51" s="44">
        <v>0</v>
      </c>
      <c r="DP51" s="49" t="s">
        <v>46</v>
      </c>
      <c r="DQ51" s="49" t="s">
        <v>46</v>
      </c>
      <c r="DR51" s="44">
        <v>9.8242999999999997E-2</v>
      </c>
      <c r="DS51" s="49" t="s">
        <v>46</v>
      </c>
      <c r="DT51" s="49" t="s">
        <v>46</v>
      </c>
      <c r="DU51" s="44">
        <v>0.190887</v>
      </c>
      <c r="DV51" s="49" t="s">
        <v>46</v>
      </c>
      <c r="DW51" s="49" t="s">
        <v>46</v>
      </c>
      <c r="DX51" s="44">
        <v>8.8270000000000001E-2</v>
      </c>
      <c r="DY51" s="49" t="s">
        <v>46</v>
      </c>
      <c r="DZ51" s="49" t="s">
        <v>46</v>
      </c>
      <c r="EA51" s="44">
        <v>0.77570300000000003</v>
      </c>
      <c r="EB51" s="49" t="s">
        <v>46</v>
      </c>
      <c r="EC51" s="49" t="s">
        <v>46</v>
      </c>
      <c r="ED51" s="44">
        <f t="shared" si="24"/>
        <v>1.389413</v>
      </c>
      <c r="EE51" s="140">
        <f>EE52+EE53+EE54</f>
        <v>1.3897920000000001</v>
      </c>
      <c r="EF51" s="44" t="s">
        <v>46</v>
      </c>
      <c r="EG51" s="44" t="s">
        <v>46</v>
      </c>
      <c r="EH51" s="44">
        <v>1.8799999999999999E-4</v>
      </c>
      <c r="EI51" s="44" t="s">
        <v>46</v>
      </c>
      <c r="EJ51" s="44" t="s">
        <v>46</v>
      </c>
      <c r="EK51" s="44">
        <v>1.6280000000000001E-3</v>
      </c>
      <c r="EL51" s="44" t="s">
        <v>46</v>
      </c>
      <c r="EM51" s="44" t="s">
        <v>46</v>
      </c>
      <c r="EN51" s="44">
        <v>0.136549</v>
      </c>
      <c r="EO51" s="44" t="s">
        <v>46</v>
      </c>
      <c r="EP51" s="44" t="s">
        <v>46</v>
      </c>
      <c r="EQ51" s="44">
        <v>0.114694</v>
      </c>
      <c r="ER51" s="44" t="s">
        <v>46</v>
      </c>
      <c r="ES51" s="44" t="s">
        <v>46</v>
      </c>
      <c r="ET51" s="44">
        <v>1.0900000000000001E-4</v>
      </c>
      <c r="EU51" s="44" t="s">
        <v>46</v>
      </c>
      <c r="EV51" s="44" t="s">
        <v>46</v>
      </c>
      <c r="EW51" s="44">
        <v>1.95E-4</v>
      </c>
      <c r="EX51" s="44" t="s">
        <v>46</v>
      </c>
      <c r="EY51" s="44" t="s">
        <v>46</v>
      </c>
      <c r="EZ51" s="44">
        <v>0</v>
      </c>
      <c r="FA51" s="44" t="s">
        <v>46</v>
      </c>
      <c r="FB51" s="44" t="s">
        <v>46</v>
      </c>
      <c r="FC51" s="44">
        <v>0</v>
      </c>
      <c r="FD51" s="44" t="s">
        <v>46</v>
      </c>
      <c r="FE51" s="44" t="s">
        <v>46</v>
      </c>
      <c r="FF51" s="44">
        <v>8.9099999999999997E-4</v>
      </c>
      <c r="FG51" s="44" t="s">
        <v>46</v>
      </c>
      <c r="FH51" s="44" t="s">
        <v>46</v>
      </c>
      <c r="FI51" s="44">
        <v>1.2600000000000001E-3</v>
      </c>
      <c r="FJ51" s="44" t="s">
        <v>46</v>
      </c>
      <c r="FK51" s="44" t="s">
        <v>46</v>
      </c>
      <c r="FL51" s="44">
        <v>0</v>
      </c>
      <c r="FM51" s="44" t="s">
        <v>46</v>
      </c>
      <c r="FN51" s="44" t="s">
        <v>46</v>
      </c>
      <c r="FO51" s="44">
        <v>1.9000000000000001E-5</v>
      </c>
      <c r="FP51" s="44" t="s">
        <v>46</v>
      </c>
      <c r="FQ51" s="44" t="s">
        <v>46</v>
      </c>
      <c r="FR51" s="44">
        <f t="shared" si="27"/>
        <v>0.25553300000000001</v>
      </c>
      <c r="FS51" s="95">
        <f>FS52+FS53+FS54</f>
        <v>0.25589499999999998</v>
      </c>
      <c r="FT51" s="44" t="s">
        <v>46</v>
      </c>
      <c r="FU51" s="44" t="s">
        <v>46</v>
      </c>
      <c r="FV51" s="44">
        <v>5.04E-2</v>
      </c>
      <c r="FW51" s="44" t="s">
        <v>46</v>
      </c>
      <c r="FX51" s="44" t="s">
        <v>46</v>
      </c>
      <c r="FY51" s="44">
        <v>5.5670000000000008E-3</v>
      </c>
      <c r="FZ51" s="44" t="s">
        <v>46</v>
      </c>
      <c r="GA51" s="44" t="s">
        <v>46</v>
      </c>
      <c r="GB51" s="44">
        <v>0</v>
      </c>
      <c r="GC51" s="44" t="s">
        <v>46</v>
      </c>
      <c r="GD51" s="44" t="s">
        <v>46</v>
      </c>
      <c r="GE51" s="44">
        <v>6.5000000000000006E-3</v>
      </c>
      <c r="GF51" s="44" t="s">
        <v>46</v>
      </c>
      <c r="GG51" s="44" t="s">
        <v>46</v>
      </c>
      <c r="GH51" s="44">
        <v>0</v>
      </c>
      <c r="GI51" s="44" t="s">
        <v>46</v>
      </c>
      <c r="GJ51" s="44" t="s">
        <v>46</v>
      </c>
      <c r="GK51" s="44">
        <v>6.0809999999999996E-3</v>
      </c>
      <c r="GL51" s="44" t="s">
        <v>46</v>
      </c>
      <c r="GM51" s="44" t="s">
        <v>46</v>
      </c>
      <c r="GN51" s="44">
        <v>3.5000000000000001E-3</v>
      </c>
      <c r="GO51" s="44" t="s">
        <v>46</v>
      </c>
      <c r="GP51" s="44">
        <v>0</v>
      </c>
      <c r="GQ51" s="44">
        <v>0</v>
      </c>
      <c r="GR51" s="44" t="s">
        <v>46</v>
      </c>
      <c r="GS51" s="44" t="s">
        <v>46</v>
      </c>
      <c r="GT51" s="44">
        <v>0</v>
      </c>
      <c r="GU51" s="44" t="s">
        <v>46</v>
      </c>
      <c r="GV51" s="44" t="s">
        <v>46</v>
      </c>
      <c r="GW51" s="44">
        <v>3.5000000000000001E-3</v>
      </c>
      <c r="GX51" s="44" t="s">
        <v>46</v>
      </c>
      <c r="GY51" s="44" t="s">
        <v>46</v>
      </c>
      <c r="GZ51" s="44">
        <v>0</v>
      </c>
      <c r="HA51" s="44" t="s">
        <v>46</v>
      </c>
      <c r="HB51" s="44" t="s">
        <v>46</v>
      </c>
      <c r="HC51" s="44">
        <v>7.0446999999999996E-2</v>
      </c>
      <c r="HD51" s="44" t="s">
        <v>46</v>
      </c>
      <c r="HE51" s="44" t="s">
        <v>46</v>
      </c>
      <c r="HF51" s="44">
        <f t="shared" si="30"/>
        <v>0.14599499999999999</v>
      </c>
      <c r="HG51" s="44">
        <f>HG52+HG53+HG54</f>
        <v>0.14599500000000001</v>
      </c>
      <c r="HH51" s="44" t="s">
        <v>46</v>
      </c>
      <c r="HI51" s="44" t="s">
        <v>46</v>
      </c>
      <c r="HJ51" s="44">
        <v>8.2920000000000008E-3</v>
      </c>
      <c r="HK51" s="44" t="s">
        <v>46</v>
      </c>
      <c r="HL51" s="44" t="s">
        <v>46</v>
      </c>
      <c r="HM51" s="44">
        <v>1.5E-3</v>
      </c>
      <c r="HN51" s="44" t="s">
        <v>46</v>
      </c>
      <c r="HO51" s="44" t="s">
        <v>46</v>
      </c>
      <c r="HP51" s="44">
        <v>0</v>
      </c>
      <c r="HQ51" s="44" t="s">
        <v>46</v>
      </c>
      <c r="HR51" s="44" t="s">
        <v>46</v>
      </c>
      <c r="HS51" s="44">
        <v>6.4900000000000001E-3</v>
      </c>
      <c r="HT51" s="44" t="s">
        <v>46</v>
      </c>
      <c r="HU51" s="44" t="s">
        <v>46</v>
      </c>
      <c r="HV51" s="44">
        <v>0</v>
      </c>
      <c r="HW51" s="44" t="s">
        <v>46</v>
      </c>
      <c r="HX51" s="44" t="s">
        <v>46</v>
      </c>
      <c r="HY51" s="44">
        <v>0</v>
      </c>
      <c r="HZ51" s="44" t="s">
        <v>46</v>
      </c>
      <c r="IA51" s="44" t="s">
        <v>46</v>
      </c>
      <c r="IB51" s="44">
        <v>3.1209000000000001E-2</v>
      </c>
      <c r="IC51" s="44" t="s">
        <v>46</v>
      </c>
      <c r="ID51" s="44" t="s">
        <v>46</v>
      </c>
      <c r="IE51" s="44">
        <v>0</v>
      </c>
      <c r="IF51" s="44" t="s">
        <v>46</v>
      </c>
      <c r="IG51" s="44" t="s">
        <v>46</v>
      </c>
      <c r="IH51" s="44">
        <v>0</v>
      </c>
      <c r="II51" s="44" t="s">
        <v>46</v>
      </c>
      <c r="IJ51" s="44" t="s">
        <v>46</v>
      </c>
      <c r="IK51" s="44">
        <v>3.5000000000000001E-3</v>
      </c>
      <c r="IL51" s="44" t="s">
        <v>46</v>
      </c>
      <c r="IM51" s="44" t="s">
        <v>46</v>
      </c>
      <c r="IN51" s="44">
        <v>0</v>
      </c>
      <c r="IO51" s="44" t="s">
        <v>46</v>
      </c>
      <c r="IP51" s="44" t="s">
        <v>46</v>
      </c>
      <c r="IQ51" s="44">
        <v>3.3799999999999997E-2</v>
      </c>
      <c r="IR51" s="44" t="s">
        <v>46</v>
      </c>
      <c r="IS51" s="44" t="s">
        <v>46</v>
      </c>
      <c r="IT51" s="50">
        <f t="shared" si="70"/>
        <v>8.4791000000000005E-2</v>
      </c>
      <c r="IU51" s="44">
        <f>IU52+IU53+IU54</f>
        <v>9.2132999999999993E-2</v>
      </c>
      <c r="IV51" s="44" t="s">
        <v>46</v>
      </c>
      <c r="IW51" s="44" t="s">
        <v>46</v>
      </c>
      <c r="IX51" s="50">
        <v>1.0037000000000001E-2</v>
      </c>
      <c r="IY51" s="44" t="s">
        <v>46</v>
      </c>
      <c r="IZ51" s="44" t="s">
        <v>46</v>
      </c>
      <c r="JA51" s="50">
        <v>1.1800000000000001E-3</v>
      </c>
      <c r="JB51" s="44" t="s">
        <v>46</v>
      </c>
      <c r="JC51" s="44" t="s">
        <v>46</v>
      </c>
      <c r="JD51" s="50">
        <v>0.104362</v>
      </c>
      <c r="JE51" s="44" t="s">
        <v>46</v>
      </c>
      <c r="JF51" s="44" t="s">
        <v>46</v>
      </c>
      <c r="JG51" s="50">
        <v>3.5000000000000001E-3</v>
      </c>
      <c r="JH51" s="44" t="s">
        <v>46</v>
      </c>
      <c r="JI51" s="44" t="s">
        <v>46</v>
      </c>
      <c r="JJ51" s="50">
        <v>8.1599999999999999E-4</v>
      </c>
      <c r="JK51" s="44" t="s">
        <v>46</v>
      </c>
      <c r="JL51" s="44" t="s">
        <v>46</v>
      </c>
      <c r="JM51" s="50">
        <v>0.44652399999999998</v>
      </c>
      <c r="JN51" s="44" t="s">
        <v>46</v>
      </c>
      <c r="JO51" s="44" t="s">
        <v>46</v>
      </c>
      <c r="JP51" s="50">
        <v>5.2266E-2</v>
      </c>
      <c r="JQ51" s="44" t="s">
        <v>46</v>
      </c>
      <c r="JR51" s="44" t="s">
        <v>46</v>
      </c>
      <c r="JS51" s="50">
        <v>0</v>
      </c>
      <c r="JT51" s="44" t="s">
        <v>46</v>
      </c>
      <c r="JU51" s="44" t="s">
        <v>46</v>
      </c>
      <c r="JV51" s="50">
        <v>0</v>
      </c>
      <c r="JW51" s="44" t="s">
        <v>46</v>
      </c>
      <c r="JX51" s="44" t="s">
        <v>46</v>
      </c>
      <c r="JY51" s="50">
        <v>3.4289E-2</v>
      </c>
      <c r="JZ51" s="44" t="s">
        <v>46</v>
      </c>
      <c r="KA51" s="44" t="s">
        <v>46</v>
      </c>
      <c r="KB51" s="50">
        <v>0</v>
      </c>
      <c r="KC51" s="44" t="s">
        <v>46</v>
      </c>
      <c r="KD51" s="44" t="s">
        <v>46</v>
      </c>
      <c r="KE51" s="50">
        <v>0.68380300000000005</v>
      </c>
      <c r="KF51" s="44" t="s">
        <v>46</v>
      </c>
      <c r="KG51" s="44" t="s">
        <v>46</v>
      </c>
      <c r="KH51" s="50">
        <f t="shared" si="4"/>
        <v>1.3367770000000001</v>
      </c>
      <c r="KI51" s="44">
        <f>KI52+KI53+KI54</f>
        <v>1.3420810000000001</v>
      </c>
      <c r="KJ51" s="44" t="s">
        <v>46</v>
      </c>
      <c r="KK51" s="44" t="s">
        <v>46</v>
      </c>
      <c r="KL51" s="50">
        <v>5.0679999999999996E-3</v>
      </c>
      <c r="KM51" s="44" t="s">
        <v>46</v>
      </c>
      <c r="KN51" s="44" t="s">
        <v>46</v>
      </c>
      <c r="KO51" s="50">
        <v>9.7999999999999997E-3</v>
      </c>
      <c r="KP51" s="44" t="s">
        <v>46</v>
      </c>
      <c r="KQ51" s="44" t="s">
        <v>46</v>
      </c>
      <c r="KR51" s="50">
        <v>0</v>
      </c>
      <c r="KS51" s="44" t="s">
        <v>46</v>
      </c>
      <c r="KT51" s="44" t="s">
        <v>46</v>
      </c>
      <c r="KU51" s="50">
        <v>3.5000000000000001E-3</v>
      </c>
      <c r="KV51" s="44" t="s">
        <v>46</v>
      </c>
      <c r="KW51" s="44" t="s">
        <v>46</v>
      </c>
      <c r="KX51" s="50">
        <v>3.1966000000000001E-2</v>
      </c>
      <c r="KY51" s="44" t="s">
        <v>46</v>
      </c>
      <c r="KZ51" s="44" t="s">
        <v>46</v>
      </c>
      <c r="LA51" s="50">
        <v>0</v>
      </c>
      <c r="LB51" s="44" t="s">
        <v>46</v>
      </c>
      <c r="LC51" s="44" t="s">
        <v>46</v>
      </c>
      <c r="LD51" s="50">
        <v>7.2311E-2</v>
      </c>
      <c r="LE51" s="44"/>
      <c r="LF51" s="44"/>
      <c r="LG51" s="44">
        <v>-5.7000000000000002E-2</v>
      </c>
      <c r="LH51" s="44" t="s">
        <v>46</v>
      </c>
      <c r="LI51" s="44" t="s">
        <v>46</v>
      </c>
      <c r="LJ51" s="50">
        <v>0</v>
      </c>
      <c r="LK51" s="44" t="s">
        <v>46</v>
      </c>
      <c r="LL51" s="44" t="s">
        <v>46</v>
      </c>
      <c r="LM51" s="50">
        <v>5.3470000000000002E-3</v>
      </c>
      <c r="LN51" s="44" t="s">
        <v>46</v>
      </c>
      <c r="LO51" s="44" t="s">
        <v>46</v>
      </c>
      <c r="LP51" s="50">
        <v>3.0744E-2</v>
      </c>
      <c r="LQ51" s="44" t="s">
        <v>46</v>
      </c>
      <c r="LR51" s="44" t="s">
        <v>46</v>
      </c>
      <c r="LS51" s="50">
        <v>0.16331999999999999</v>
      </c>
      <c r="LT51" s="44" t="s">
        <v>46</v>
      </c>
      <c r="LU51" s="50" t="s">
        <v>46</v>
      </c>
      <c r="LV51" s="50">
        <f t="shared" si="58"/>
        <v>0.26505600000000001</v>
      </c>
      <c r="LW51" s="44">
        <f>LW52+LW53+LW54</f>
        <v>0.26743299999999998</v>
      </c>
      <c r="LX51" s="44" t="s">
        <v>46</v>
      </c>
      <c r="LY51" s="44" t="s">
        <v>46</v>
      </c>
      <c r="LZ51" s="50">
        <v>1.6643000000000002E-2</v>
      </c>
      <c r="MA51" s="44" t="s">
        <v>46</v>
      </c>
      <c r="MB51" s="44" t="s">
        <v>46</v>
      </c>
      <c r="MC51" s="50">
        <v>0.53090199999999999</v>
      </c>
      <c r="MD51" s="44" t="s">
        <v>46</v>
      </c>
      <c r="ME51" s="44" t="s">
        <v>46</v>
      </c>
      <c r="MF51" s="50">
        <v>0</v>
      </c>
      <c r="MG51" s="44" t="s">
        <v>46</v>
      </c>
      <c r="MH51" s="44" t="s">
        <v>46</v>
      </c>
      <c r="MI51" s="50">
        <v>3.5000000000000001E-3</v>
      </c>
      <c r="MJ51" s="44" t="s">
        <v>46</v>
      </c>
      <c r="MK51" s="44" t="s">
        <v>46</v>
      </c>
      <c r="ML51" s="50">
        <v>0.209731</v>
      </c>
      <c r="MM51" s="44" t="s">
        <v>46</v>
      </c>
      <c r="MN51" s="44" t="s">
        <v>46</v>
      </c>
      <c r="MO51" s="50">
        <v>0.163136</v>
      </c>
      <c r="MP51" s="44" t="s">
        <v>46</v>
      </c>
      <c r="MQ51" s="44" t="s">
        <v>46</v>
      </c>
      <c r="MR51" s="50">
        <v>0.102531</v>
      </c>
      <c r="MS51" s="44" t="s">
        <v>46</v>
      </c>
      <c r="MT51" s="44" t="s">
        <v>46</v>
      </c>
      <c r="MU51" s="50">
        <v>4.8863999999999998E-2</v>
      </c>
      <c r="MV51" s="44" t="s">
        <v>46</v>
      </c>
      <c r="MW51" s="44" t="s">
        <v>46</v>
      </c>
      <c r="MX51" s="50">
        <v>7.1073999999999998E-2</v>
      </c>
      <c r="MY51" s="44" t="s">
        <v>46</v>
      </c>
      <c r="MZ51" s="44" t="s">
        <v>46</v>
      </c>
      <c r="NA51" s="50">
        <v>3.5000000000000001E-3</v>
      </c>
      <c r="NB51" s="44" t="s">
        <v>46</v>
      </c>
      <c r="NC51" s="44" t="s">
        <v>46</v>
      </c>
      <c r="ND51" s="50">
        <v>7.9699999999999997E-4</v>
      </c>
      <c r="NE51" s="44" t="s">
        <v>46</v>
      </c>
      <c r="NF51" s="44" t="s">
        <v>46</v>
      </c>
      <c r="NG51" s="50">
        <v>0</v>
      </c>
      <c r="NH51" s="44" t="s">
        <v>46</v>
      </c>
      <c r="NI51" s="50" t="s">
        <v>46</v>
      </c>
      <c r="NJ51" s="50">
        <f t="shared" si="76"/>
        <v>1.1506779999999999</v>
      </c>
      <c r="NK51" s="44">
        <f>NK52+NK53+NK54</f>
        <v>1.1506780000000001</v>
      </c>
      <c r="NL51" s="44" t="s">
        <v>46</v>
      </c>
      <c r="NM51" s="50" t="s">
        <v>46</v>
      </c>
      <c r="NN51" s="50">
        <v>2.785E-2</v>
      </c>
      <c r="NO51" s="44" t="s">
        <v>46</v>
      </c>
      <c r="NP51" s="50" t="s">
        <v>46</v>
      </c>
      <c r="NQ51" s="50">
        <v>1.1130000000000001E-3</v>
      </c>
      <c r="NR51" s="44" t="s">
        <v>46</v>
      </c>
      <c r="NS51" s="50" t="s">
        <v>46</v>
      </c>
      <c r="NT51" s="50"/>
      <c r="NU51" s="44" t="s">
        <v>46</v>
      </c>
      <c r="NV51" s="50" t="s">
        <v>46</v>
      </c>
      <c r="NW51" s="50">
        <v>3.5000000000000001E-3</v>
      </c>
      <c r="NX51" s="44" t="s">
        <v>46</v>
      </c>
      <c r="NY51" s="50" t="s">
        <v>46</v>
      </c>
      <c r="NZ51" s="50">
        <v>2.8778999999999999E-2</v>
      </c>
      <c r="OA51" s="50" t="s">
        <v>46</v>
      </c>
      <c r="OB51" s="50" t="s">
        <v>46</v>
      </c>
      <c r="OC51" s="50">
        <v>0.169103</v>
      </c>
      <c r="OD51" s="50" t="s">
        <v>46</v>
      </c>
      <c r="OE51" s="50" t="s">
        <v>46</v>
      </c>
      <c r="OF51" s="50">
        <v>3.5000000000000001E-3</v>
      </c>
      <c r="OG51" s="50" t="s">
        <v>46</v>
      </c>
      <c r="OH51" s="50" t="s">
        <v>46</v>
      </c>
      <c r="OI51" s="50"/>
      <c r="OJ51" s="50" t="s">
        <v>46</v>
      </c>
      <c r="OK51" s="50" t="s">
        <v>46</v>
      </c>
      <c r="OL51" s="50">
        <v>2.2128999999999999E-2</v>
      </c>
      <c r="OM51" s="50" t="s">
        <v>46</v>
      </c>
      <c r="ON51" s="50" t="s">
        <v>46</v>
      </c>
      <c r="OO51" s="50">
        <v>0.65</v>
      </c>
      <c r="OP51" s="50" t="s">
        <v>46</v>
      </c>
      <c r="OQ51" s="50" t="s">
        <v>46</v>
      </c>
      <c r="OR51" s="50"/>
      <c r="OS51" s="50" t="s">
        <v>46</v>
      </c>
      <c r="OT51" s="50" t="s">
        <v>46</v>
      </c>
      <c r="OU51" s="50">
        <v>9.6946000000000004E-2</v>
      </c>
      <c r="OV51" s="44" t="s">
        <v>46</v>
      </c>
      <c r="OW51" s="50" t="s">
        <v>46</v>
      </c>
      <c r="OX51" s="50">
        <f t="shared" si="9"/>
        <v>1.00292</v>
      </c>
      <c r="OY51" s="44">
        <f>OY52+OY53+OY54</f>
        <v>1.0015940000000001</v>
      </c>
      <c r="OZ51" s="44" t="s">
        <v>46</v>
      </c>
      <c r="PA51" s="50" t="s">
        <v>46</v>
      </c>
      <c r="PB51" s="50">
        <v>3.5100000000000001E-3</v>
      </c>
      <c r="PC51" s="44" t="s">
        <v>46</v>
      </c>
      <c r="PD51" s="50" t="s">
        <v>46</v>
      </c>
      <c r="PE51" s="50">
        <v>9.7529000000000005E-2</v>
      </c>
      <c r="PF51" s="44" t="s">
        <v>46</v>
      </c>
      <c r="PG51" s="50" t="s">
        <v>46</v>
      </c>
      <c r="PH51" s="50">
        <v>8.3040000000000003E-2</v>
      </c>
      <c r="PI51" s="44" t="s">
        <v>46</v>
      </c>
      <c r="PJ51" s="50" t="s">
        <v>46</v>
      </c>
      <c r="PK51" s="50">
        <v>3.4771000000000003E-2</v>
      </c>
      <c r="PL51" s="44" t="s">
        <v>46</v>
      </c>
      <c r="PM51" s="50" t="s">
        <v>46</v>
      </c>
      <c r="PN51" s="50">
        <v>0.15332599999999999</v>
      </c>
      <c r="PO51" s="44" t="s">
        <v>46</v>
      </c>
      <c r="PP51" s="50" t="s">
        <v>46</v>
      </c>
      <c r="PQ51" s="50">
        <v>3.5000000000000003E-2</v>
      </c>
      <c r="PR51" s="44" t="s">
        <v>46</v>
      </c>
      <c r="PS51" s="50" t="s">
        <v>46</v>
      </c>
      <c r="PT51" s="50">
        <v>1.1152E-2</v>
      </c>
      <c r="PU51" s="44" t="s">
        <v>46</v>
      </c>
      <c r="PV51" s="50" t="s">
        <v>46</v>
      </c>
      <c r="PW51" s="50">
        <v>21.900362999999999</v>
      </c>
      <c r="PX51" s="44" t="s">
        <v>46</v>
      </c>
      <c r="PY51" s="50" t="s">
        <v>46</v>
      </c>
      <c r="PZ51" s="50"/>
      <c r="QA51" s="44" t="s">
        <v>46</v>
      </c>
      <c r="QB51" s="50" t="s">
        <v>46</v>
      </c>
      <c r="QC51" s="50">
        <v>1.7186870000000001</v>
      </c>
      <c r="QD51" s="44" t="s">
        <v>46</v>
      </c>
      <c r="QE51" s="50" t="s">
        <v>46</v>
      </c>
      <c r="QF51" s="50">
        <v>0.15339</v>
      </c>
      <c r="QG51" s="44" t="s">
        <v>46</v>
      </c>
      <c r="QH51" s="50" t="s">
        <v>46</v>
      </c>
      <c r="QI51" s="50">
        <v>0.70321</v>
      </c>
      <c r="QJ51" s="44" t="s">
        <v>46</v>
      </c>
      <c r="QK51" s="50" t="s">
        <v>46</v>
      </c>
      <c r="QL51" s="50">
        <f t="shared" si="40"/>
        <v>24.893977999999997</v>
      </c>
      <c r="QM51" s="44">
        <f>QM52+QM53+QM54</f>
        <v>24.893978000000001</v>
      </c>
      <c r="QN51" s="44" t="s">
        <v>46</v>
      </c>
      <c r="QO51" s="50" t="s">
        <v>46</v>
      </c>
      <c r="QP51" s="50">
        <v>3.5000000000000001E-3</v>
      </c>
      <c r="QQ51" s="44" t="s">
        <v>46</v>
      </c>
      <c r="QR51" s="50" t="s">
        <v>46</v>
      </c>
      <c r="QS51" s="50">
        <v>9.7529000000000005E-2</v>
      </c>
      <c r="QT51" s="44" t="s">
        <v>46</v>
      </c>
      <c r="QU51" s="50" t="s">
        <v>46</v>
      </c>
      <c r="QV51" s="50">
        <v>8.8253999999999999E-2</v>
      </c>
      <c r="QW51" s="44" t="s">
        <v>46</v>
      </c>
      <c r="QX51" s="50" t="s">
        <v>46</v>
      </c>
      <c r="QY51" s="50">
        <v>2.2796219999999998</v>
      </c>
      <c r="QZ51" s="44" t="s">
        <v>46</v>
      </c>
      <c r="RA51" s="50" t="s">
        <v>46</v>
      </c>
      <c r="RB51" s="50">
        <v>0.36683100000000002</v>
      </c>
      <c r="RC51" s="44" t="s">
        <v>46</v>
      </c>
      <c r="RD51" s="50" t="s">
        <v>46</v>
      </c>
      <c r="RE51" s="50">
        <v>0.222411</v>
      </c>
      <c r="RF51" s="44" t="s">
        <v>46</v>
      </c>
      <c r="RG51" s="50" t="s">
        <v>46</v>
      </c>
      <c r="RH51" s="50">
        <v>3.5000000000000001E-3</v>
      </c>
      <c r="RI51" s="44" t="s">
        <v>46</v>
      </c>
      <c r="RJ51" s="50" t="s">
        <v>46</v>
      </c>
      <c r="RK51" s="50">
        <v>6.2808000000000003E-2</v>
      </c>
      <c r="RL51" s="44" t="s">
        <v>46</v>
      </c>
      <c r="RM51" s="50" t="s">
        <v>46</v>
      </c>
      <c r="RN51" s="50"/>
      <c r="RO51" s="44" t="s">
        <v>46</v>
      </c>
      <c r="RP51" s="50" t="s">
        <v>46</v>
      </c>
      <c r="RQ51" s="50">
        <v>0.248858</v>
      </c>
      <c r="RR51" s="44" t="s">
        <v>46</v>
      </c>
      <c r="RS51" s="50" t="s">
        <v>46</v>
      </c>
      <c r="RT51" s="50">
        <v>1.4100000000000001E-4</v>
      </c>
      <c r="RU51" s="44" t="s">
        <v>46</v>
      </c>
      <c r="RV51" s="50" t="s">
        <v>46</v>
      </c>
      <c r="RW51" s="50">
        <v>0.97660100000000005</v>
      </c>
      <c r="RX51" s="44" t="s">
        <v>46</v>
      </c>
      <c r="RY51" s="50" t="s">
        <v>46</v>
      </c>
      <c r="RZ51" s="50">
        <f t="shared" si="43"/>
        <v>4.3500549999999993</v>
      </c>
      <c r="SA51" s="44">
        <f>SA52+SA53+SA54</f>
        <v>4.3500560000000004</v>
      </c>
      <c r="SB51" s="44" t="s">
        <v>46</v>
      </c>
      <c r="SC51" s="50" t="s">
        <v>46</v>
      </c>
      <c r="SD51" s="50">
        <v>1.8839000000000002E-2</v>
      </c>
      <c r="SE51" s="44" t="s">
        <v>46</v>
      </c>
      <c r="SF51" s="50" t="s">
        <v>46</v>
      </c>
      <c r="SG51" s="50">
        <v>0.15843499999999999</v>
      </c>
      <c r="SH51" s="44" t="s">
        <v>46</v>
      </c>
      <c r="SI51" s="50" t="s">
        <v>46</v>
      </c>
      <c r="SJ51" s="50">
        <v>2.3657999999999998E-2</v>
      </c>
      <c r="SK51" s="44" t="s">
        <v>46</v>
      </c>
      <c r="SL51" s="50" t="s">
        <v>46</v>
      </c>
      <c r="SM51" s="50">
        <v>0.32022600000000001</v>
      </c>
      <c r="SN51" s="44" t="s">
        <v>46</v>
      </c>
      <c r="SO51" s="50" t="s">
        <v>46</v>
      </c>
      <c r="SP51" s="50">
        <v>0</v>
      </c>
      <c r="SQ51" s="50" t="s">
        <v>46</v>
      </c>
      <c r="SR51" s="50" t="s">
        <v>46</v>
      </c>
      <c r="SS51" s="50">
        <v>0.02</v>
      </c>
      <c r="ST51" s="50" t="s">
        <v>46</v>
      </c>
      <c r="SU51" s="50" t="s">
        <v>46</v>
      </c>
      <c r="SV51" s="50">
        <v>3.5000000000000001E-3</v>
      </c>
      <c r="SW51" s="50" t="s">
        <v>46</v>
      </c>
      <c r="SX51" s="50" t="s">
        <v>46</v>
      </c>
      <c r="SY51" s="50">
        <v>2.8476000000000001E-2</v>
      </c>
      <c r="SZ51" s="50" t="s">
        <v>46</v>
      </c>
      <c r="TA51" s="50" t="s">
        <v>46</v>
      </c>
      <c r="TB51" s="50"/>
      <c r="TC51" s="50" t="s">
        <v>46</v>
      </c>
      <c r="TD51" s="50" t="s">
        <v>46</v>
      </c>
      <c r="TE51" s="50">
        <v>0.35972599999999999</v>
      </c>
      <c r="TF51" s="50" t="s">
        <v>46</v>
      </c>
      <c r="TG51" s="50" t="s">
        <v>46</v>
      </c>
      <c r="TH51" s="50">
        <v>0.23086499999999999</v>
      </c>
      <c r="TI51" s="50" t="s">
        <v>46</v>
      </c>
      <c r="TJ51" s="50" t="s">
        <v>46</v>
      </c>
      <c r="TK51" s="50">
        <v>0.102968</v>
      </c>
      <c r="TL51" s="44" t="s">
        <v>46</v>
      </c>
      <c r="TM51" s="50" t="s">
        <v>46</v>
      </c>
      <c r="TN51" s="50">
        <f t="shared" si="47"/>
        <v>1.2666929999999998</v>
      </c>
      <c r="TO51" s="44" t="s">
        <v>46</v>
      </c>
      <c r="TP51" s="50" t="s">
        <v>46</v>
      </c>
      <c r="TQ51" s="50">
        <v>3.5966999999999999E-2</v>
      </c>
      <c r="TR51" s="44" t="s">
        <v>46</v>
      </c>
      <c r="TS51" s="50" t="s">
        <v>46</v>
      </c>
      <c r="TT51" s="50">
        <v>2.3047999999999999E-2</v>
      </c>
      <c r="TU51" s="44" t="s">
        <v>46</v>
      </c>
      <c r="TV51" s="50" t="s">
        <v>46</v>
      </c>
      <c r="TW51" s="50">
        <v>0.204875</v>
      </c>
      <c r="TX51" s="44" t="s">
        <v>46</v>
      </c>
      <c r="TY51" s="50" t="s">
        <v>46</v>
      </c>
      <c r="TZ51" s="50">
        <v>2.1525599999999998</v>
      </c>
      <c r="UA51" s="50"/>
      <c r="UB51" s="50"/>
      <c r="UC51" s="50"/>
      <c r="UD51" s="50"/>
      <c r="UE51" s="50"/>
      <c r="UF51" s="50"/>
      <c r="UG51" s="50"/>
      <c r="UH51" s="50"/>
      <c r="UI51" s="50"/>
      <c r="UJ51" s="50"/>
      <c r="UK51" s="50"/>
      <c r="UL51" s="50"/>
      <c r="UM51" s="50"/>
      <c r="UN51" s="50"/>
      <c r="UO51" s="50"/>
      <c r="UP51" s="50"/>
      <c r="UQ51" s="50"/>
      <c r="UR51" s="50"/>
      <c r="US51" s="50"/>
      <c r="UT51" s="50"/>
      <c r="UU51" s="50"/>
      <c r="UV51" s="50"/>
      <c r="UW51" s="50"/>
      <c r="UX51" s="50"/>
      <c r="UY51" s="292" t="s">
        <v>46</v>
      </c>
      <c r="UZ51" s="276" t="s">
        <v>46</v>
      </c>
      <c r="VA51" s="276">
        <f t="shared" si="52"/>
        <v>0.52115800000000001</v>
      </c>
      <c r="VB51" s="292" t="s">
        <v>46</v>
      </c>
      <c r="VC51" s="276" t="s">
        <v>46</v>
      </c>
      <c r="VD51" s="276">
        <f t="shared" si="55"/>
        <v>2.4164500000000002</v>
      </c>
      <c r="VE51" s="277">
        <f t="shared" si="56"/>
        <v>1.8952920000000002</v>
      </c>
      <c r="VF51" s="277">
        <f t="shared" si="57"/>
        <v>363.66936706334741</v>
      </c>
    </row>
    <row r="52" spans="1:578" s="12" customFormat="1" ht="20.25" customHeight="1">
      <c r="A52" s="47" t="s">
        <v>239</v>
      </c>
      <c r="B52" s="13"/>
      <c r="C52" s="47" t="s">
        <v>240</v>
      </c>
      <c r="D52" s="44"/>
      <c r="E52" s="43"/>
      <c r="F52" s="43"/>
      <c r="G52" s="42">
        <v>1.1358031542222298</v>
      </c>
      <c r="H52" s="43">
        <v>3.7875424727235478E-2</v>
      </c>
      <c r="I52" s="43"/>
      <c r="J52" s="43">
        <v>0.7071075292684732</v>
      </c>
      <c r="K52" s="43"/>
      <c r="L52" s="43">
        <v>5.3923995879363237E-2</v>
      </c>
      <c r="M52" s="43">
        <v>9.4667930176834503E-2</v>
      </c>
      <c r="N52" s="43">
        <v>2.1826853575107712E-3</v>
      </c>
      <c r="O52" s="43">
        <v>6.5195986363196555E-3</v>
      </c>
      <c r="P52" s="43">
        <v>6.404488306839462E-2</v>
      </c>
      <c r="Q52" s="43">
        <v>3.0727742016266273</v>
      </c>
      <c r="R52" s="43">
        <v>2.2458608659028691E-2</v>
      </c>
      <c r="S52" s="43">
        <v>0.42958918845083405</v>
      </c>
      <c r="T52" s="49"/>
      <c r="U52" s="49"/>
      <c r="V52" s="43"/>
      <c r="W52" s="42">
        <v>4.4458213100665329</v>
      </c>
      <c r="X52" s="43">
        <v>0.66693985805430811</v>
      </c>
      <c r="Y52" s="43">
        <v>4.9211444442547291E-2</v>
      </c>
      <c r="Z52" s="43">
        <v>0.31653490873700207</v>
      </c>
      <c r="AA52" s="43">
        <v>4.5967296714304412E-2</v>
      </c>
      <c r="AB52" s="43">
        <v>2.5139299150260953E-2</v>
      </c>
      <c r="AC52" s="43">
        <v>0.213308404619211</v>
      </c>
      <c r="AD52" s="43">
        <v>0.72003716541169371</v>
      </c>
      <c r="AE52" s="43">
        <v>7.5412205963536769E-5</v>
      </c>
      <c r="AF52" s="43">
        <v>0.96309070523218432</v>
      </c>
      <c r="AG52" s="43">
        <v>2.7543952510230447</v>
      </c>
      <c r="AH52" s="43">
        <v>0.23373799807627729</v>
      </c>
      <c r="AI52" s="43">
        <v>8.7720047125514032E-3</v>
      </c>
      <c r="AJ52" s="43"/>
      <c r="AK52" s="43"/>
      <c r="AL52" s="43"/>
      <c r="AM52" s="43">
        <v>6.0713570213032373</v>
      </c>
      <c r="AN52" s="42">
        <v>0.19421061917689711</v>
      </c>
      <c r="AO52" s="42">
        <v>1.7084421830268468E-2</v>
      </c>
      <c r="AP52" s="42">
        <v>1.1895208336890513E-3</v>
      </c>
      <c r="AQ52" s="42">
        <v>1.139720320316902E-3</v>
      </c>
      <c r="AR52" s="42">
        <v>1.8310937331033974E-2</v>
      </c>
      <c r="AS52" s="42"/>
      <c r="AT52" s="42">
        <v>3.0284403617509288E-2</v>
      </c>
      <c r="AU52" s="42">
        <v>7.6500702898674444E-2</v>
      </c>
      <c r="AV52" s="42">
        <v>6.6234682784958527E-3</v>
      </c>
      <c r="AW52" s="42">
        <v>0.20147295689836711</v>
      </c>
      <c r="AX52" s="42">
        <v>7.048195513969753E-2</v>
      </c>
      <c r="AY52" s="42">
        <v>1.7972293840103362E-2</v>
      </c>
      <c r="AZ52" s="49"/>
      <c r="BA52" s="49"/>
      <c r="BB52" s="42"/>
      <c r="BC52" s="42">
        <v>0.62086157733877445</v>
      </c>
      <c r="BD52" s="49" t="s">
        <v>46</v>
      </c>
      <c r="BE52" s="49" t="s">
        <v>46</v>
      </c>
      <c r="BF52" s="49">
        <v>0.376245</v>
      </c>
      <c r="BG52" s="49" t="s">
        <v>46</v>
      </c>
      <c r="BH52" s="49" t="s">
        <v>46</v>
      </c>
      <c r="BI52" s="44">
        <v>0.17674200000000001</v>
      </c>
      <c r="BJ52" s="49" t="s">
        <v>46</v>
      </c>
      <c r="BK52" s="49" t="s">
        <v>46</v>
      </c>
      <c r="BL52" s="44">
        <v>0.140206</v>
      </c>
      <c r="BM52" s="49" t="s">
        <v>46</v>
      </c>
      <c r="BN52" s="49" t="s">
        <v>46</v>
      </c>
      <c r="BO52" s="44">
        <v>6.9913000000000003E-2</v>
      </c>
      <c r="BP52" s="49" t="s">
        <v>46</v>
      </c>
      <c r="BQ52" s="49" t="s">
        <v>46</v>
      </c>
      <c r="BR52" s="44">
        <v>3.5425999999999999E-2</v>
      </c>
      <c r="BS52" s="49" t="s">
        <v>46</v>
      </c>
      <c r="BT52" s="49" t="s">
        <v>46</v>
      </c>
      <c r="BU52" s="44">
        <v>0.19857900000000001</v>
      </c>
      <c r="BV52" s="49" t="s">
        <v>46</v>
      </c>
      <c r="BW52" s="49" t="s">
        <v>46</v>
      </c>
      <c r="BX52" s="44">
        <v>3.4733E-2</v>
      </c>
      <c r="BY52" s="49" t="s">
        <v>46</v>
      </c>
      <c r="BZ52" s="49" t="s">
        <v>46</v>
      </c>
      <c r="CA52" s="44">
        <v>5.2699000000000003E-2</v>
      </c>
      <c r="CB52" s="49" t="s">
        <v>46</v>
      </c>
      <c r="CC52" s="49" t="s">
        <v>46</v>
      </c>
      <c r="CD52" s="44">
        <v>0.157195</v>
      </c>
      <c r="CE52" s="49" t="s">
        <v>46</v>
      </c>
      <c r="CF52" s="49" t="s">
        <v>46</v>
      </c>
      <c r="CG52" s="44">
        <v>0.190834</v>
      </c>
      <c r="CH52" s="49"/>
      <c r="CI52" s="49"/>
      <c r="CJ52" s="44">
        <v>5.4223E-2</v>
      </c>
      <c r="CK52" s="49"/>
      <c r="CL52" s="49"/>
      <c r="CM52" s="44">
        <v>0.202013</v>
      </c>
      <c r="CN52" s="50"/>
      <c r="CO52" s="50"/>
      <c r="CP52" s="50">
        <f t="shared" si="21"/>
        <v>1.6888079999999996</v>
      </c>
      <c r="CQ52" s="52">
        <v>1.682318</v>
      </c>
      <c r="CR52" s="49"/>
      <c r="CS52" s="49"/>
      <c r="CT52" s="44">
        <v>7.9028000000000001E-2</v>
      </c>
      <c r="CU52" s="49"/>
      <c r="CV52" s="49"/>
      <c r="CW52" s="49">
        <v>1.0489999999999999E-2</v>
      </c>
      <c r="CX52" s="49"/>
      <c r="CY52" s="49"/>
      <c r="CZ52" s="49">
        <v>4.1946999999999998E-2</v>
      </c>
      <c r="DA52" s="49"/>
      <c r="DB52" s="49"/>
      <c r="DC52" s="49">
        <v>4.1848999999999997E-2</v>
      </c>
      <c r="DD52" s="49"/>
      <c r="DE52" s="49"/>
      <c r="DF52" s="49">
        <v>4.1179E-2</v>
      </c>
      <c r="DG52" s="49"/>
      <c r="DH52" s="49"/>
      <c r="DI52" s="49">
        <v>5.8E-5</v>
      </c>
      <c r="DJ52" s="49"/>
      <c r="DK52" s="49"/>
      <c r="DL52" s="49">
        <v>2.0258999999999999E-2</v>
      </c>
      <c r="DM52" s="49"/>
      <c r="DN52" s="49"/>
      <c r="DO52" s="49">
        <v>0</v>
      </c>
      <c r="DP52" s="49"/>
      <c r="DQ52" s="49"/>
      <c r="DR52" s="49">
        <v>9.8242999999999997E-2</v>
      </c>
      <c r="DS52" s="49"/>
      <c r="DT52" s="49"/>
      <c r="DU52" s="49">
        <v>0.190887</v>
      </c>
      <c r="DV52" s="49"/>
      <c r="DW52" s="49"/>
      <c r="DX52" s="49">
        <v>8.8270000000000001E-2</v>
      </c>
      <c r="DY52" s="49"/>
      <c r="DZ52" s="49"/>
      <c r="EA52" s="44">
        <v>0.77570300000000003</v>
      </c>
      <c r="EB52" s="44">
        <f t="shared" si="22"/>
        <v>0</v>
      </c>
      <c r="EC52" s="44">
        <f t="shared" si="23"/>
        <v>0</v>
      </c>
      <c r="ED52" s="44">
        <f t="shared" si="24"/>
        <v>1.387913</v>
      </c>
      <c r="EE52" s="140">
        <v>1.3882920000000001</v>
      </c>
      <c r="EF52" s="44"/>
      <c r="EG52" s="44"/>
      <c r="EH52" s="44">
        <v>1.8799999999999999E-4</v>
      </c>
      <c r="EI52" s="44"/>
      <c r="EJ52" s="44"/>
      <c r="EK52" s="44">
        <v>1.2799999999999999E-4</v>
      </c>
      <c r="EL52" s="44"/>
      <c r="EM52" s="44"/>
      <c r="EN52" s="44">
        <v>0.136549</v>
      </c>
      <c r="EO52" s="44"/>
      <c r="EP52" s="44"/>
      <c r="EQ52" s="44">
        <v>0.114694</v>
      </c>
      <c r="ER52" s="44"/>
      <c r="ES52" s="44"/>
      <c r="ET52" s="44">
        <v>1.0900000000000001E-4</v>
      </c>
      <c r="EU52" s="44"/>
      <c r="EV52" s="44"/>
      <c r="EW52" s="44">
        <v>1.95E-4</v>
      </c>
      <c r="EX52" s="44"/>
      <c r="EY52" s="44"/>
      <c r="EZ52" s="44">
        <v>0</v>
      </c>
      <c r="FA52" s="44"/>
      <c r="FB52" s="44"/>
      <c r="FC52" s="44">
        <v>0</v>
      </c>
      <c r="FD52" s="44"/>
      <c r="FE52" s="44"/>
      <c r="FF52" s="44">
        <v>8.9099999999999997E-4</v>
      </c>
      <c r="FG52" s="44"/>
      <c r="FH52" s="44"/>
      <c r="FI52" s="44">
        <v>1.2600000000000001E-3</v>
      </c>
      <c r="FJ52" s="44"/>
      <c r="FK52" s="44"/>
      <c r="FL52" s="44">
        <v>0</v>
      </c>
      <c r="FM52" s="44"/>
      <c r="FN52" s="44"/>
      <c r="FO52" s="44">
        <v>0</v>
      </c>
      <c r="FP52" s="44">
        <f t="shared" si="25"/>
        <v>0</v>
      </c>
      <c r="FQ52" s="44">
        <f t="shared" si="26"/>
        <v>0</v>
      </c>
      <c r="FR52" s="44">
        <f t="shared" si="27"/>
        <v>0.25401400000000002</v>
      </c>
      <c r="FS52" s="95">
        <v>0.25439499999999998</v>
      </c>
      <c r="FT52" s="44"/>
      <c r="FU52" s="44"/>
      <c r="FV52" s="44">
        <v>5.04E-2</v>
      </c>
      <c r="FW52" s="44"/>
      <c r="FX52" s="44"/>
      <c r="FY52" s="44">
        <v>4.0670000000000003E-3</v>
      </c>
      <c r="FZ52" s="44"/>
      <c r="GA52" s="44"/>
      <c r="GB52" s="44">
        <v>0</v>
      </c>
      <c r="GC52" s="44"/>
      <c r="GD52" s="44"/>
      <c r="GE52" s="44">
        <v>3.5000000000000001E-3</v>
      </c>
      <c r="GF52" s="44"/>
      <c r="GG52" s="44"/>
      <c r="GH52" s="44">
        <v>0</v>
      </c>
      <c r="GI52" s="44"/>
      <c r="GJ52" s="44"/>
      <c r="GK52" s="44">
        <v>6.0809999999999996E-3</v>
      </c>
      <c r="GL52" s="44"/>
      <c r="GM52" s="44"/>
      <c r="GN52" s="44">
        <v>3.5000000000000001E-3</v>
      </c>
      <c r="GO52" s="44"/>
      <c r="GP52" s="44">
        <v>0</v>
      </c>
      <c r="GQ52" s="44">
        <v>0</v>
      </c>
      <c r="GR52" s="44"/>
      <c r="GS52" s="44">
        <v>0</v>
      </c>
      <c r="GT52" s="44">
        <v>0</v>
      </c>
      <c r="GU52" s="44"/>
      <c r="GV52" s="44">
        <v>0</v>
      </c>
      <c r="GW52" s="44">
        <v>3.5000000000000001E-3</v>
      </c>
      <c r="GX52" s="44"/>
      <c r="GY52" s="44">
        <v>0</v>
      </c>
      <c r="GZ52" s="44">
        <v>0</v>
      </c>
      <c r="HA52" s="44"/>
      <c r="HB52" s="44">
        <v>0</v>
      </c>
      <c r="HC52" s="44">
        <v>7.0446999999999996E-2</v>
      </c>
      <c r="HD52" s="44">
        <f t="shared" si="28"/>
        <v>0</v>
      </c>
      <c r="HE52" s="44">
        <f t="shared" si="29"/>
        <v>0</v>
      </c>
      <c r="HF52" s="44">
        <f t="shared" si="30"/>
        <v>0.14149500000000001</v>
      </c>
      <c r="HG52" s="44">
        <v>0.14599500000000001</v>
      </c>
      <c r="HH52" s="44"/>
      <c r="HI52" s="44">
        <v>0</v>
      </c>
      <c r="HJ52" s="44">
        <v>3.9560000000000003E-3</v>
      </c>
      <c r="HK52" s="44">
        <v>0</v>
      </c>
      <c r="HL52" s="44">
        <v>0</v>
      </c>
      <c r="HM52" s="44">
        <v>0</v>
      </c>
      <c r="HN52" s="44">
        <v>0</v>
      </c>
      <c r="HO52" s="44">
        <v>0</v>
      </c>
      <c r="HP52" s="44">
        <v>0</v>
      </c>
      <c r="HQ52" s="44">
        <v>6.4900000000000001E-3</v>
      </c>
      <c r="HR52" s="44">
        <v>0</v>
      </c>
      <c r="HS52" s="44">
        <v>6.4900000000000001E-3</v>
      </c>
      <c r="HT52" s="44">
        <v>0</v>
      </c>
      <c r="HU52" s="44">
        <v>0</v>
      </c>
      <c r="HV52" s="44">
        <v>0</v>
      </c>
      <c r="HW52" s="44">
        <v>0</v>
      </c>
      <c r="HX52" s="44">
        <v>0</v>
      </c>
      <c r="HY52" s="44">
        <v>0</v>
      </c>
      <c r="HZ52" s="44">
        <v>3.1209000000000001E-2</v>
      </c>
      <c r="IA52" s="44">
        <v>0</v>
      </c>
      <c r="IB52" s="44">
        <v>3.1209000000000001E-2</v>
      </c>
      <c r="IC52" s="44">
        <v>0</v>
      </c>
      <c r="ID52" s="44">
        <v>0</v>
      </c>
      <c r="IE52" s="44">
        <v>0</v>
      </c>
      <c r="IF52" s="44">
        <v>0</v>
      </c>
      <c r="IG52" s="44">
        <v>0</v>
      </c>
      <c r="IH52" s="44">
        <v>0</v>
      </c>
      <c r="II52" s="44">
        <v>3.5000000000000001E-3</v>
      </c>
      <c r="IJ52" s="44">
        <v>0</v>
      </c>
      <c r="IK52" s="44">
        <v>3.5000000000000001E-3</v>
      </c>
      <c r="IL52" s="44">
        <v>0</v>
      </c>
      <c r="IM52" s="44">
        <v>0</v>
      </c>
      <c r="IN52" s="44">
        <v>0</v>
      </c>
      <c r="IO52" s="44">
        <v>3.3799999999999997E-2</v>
      </c>
      <c r="IP52" s="44">
        <v>0</v>
      </c>
      <c r="IQ52" s="44">
        <v>3.3799999999999997E-2</v>
      </c>
      <c r="IR52" s="44">
        <f t="shared" si="71"/>
        <v>7.499900000000001E-2</v>
      </c>
      <c r="IS52" s="50">
        <f t="shared" si="72"/>
        <v>0</v>
      </c>
      <c r="IT52" s="50">
        <f t="shared" si="70"/>
        <v>7.8954999999999997E-2</v>
      </c>
      <c r="IU52" s="44">
        <v>8.6296999999999999E-2</v>
      </c>
      <c r="IV52" s="44">
        <v>3.5000000000000001E-3</v>
      </c>
      <c r="IW52" s="50">
        <v>0</v>
      </c>
      <c r="IX52" s="50">
        <v>3.5000000000000001E-3</v>
      </c>
      <c r="IY52" s="44">
        <v>0</v>
      </c>
      <c r="IZ52" s="50">
        <v>0</v>
      </c>
      <c r="JA52" s="50">
        <v>0</v>
      </c>
      <c r="JB52" s="44">
        <v>0.104362</v>
      </c>
      <c r="JC52" s="50">
        <v>0</v>
      </c>
      <c r="JD52" s="50">
        <v>0.104362</v>
      </c>
      <c r="JE52" s="44">
        <v>3.5000000000000001E-3</v>
      </c>
      <c r="JF52" s="50">
        <v>0</v>
      </c>
      <c r="JG52" s="50">
        <v>3.5000000000000001E-3</v>
      </c>
      <c r="JH52" s="44">
        <v>8.1599999999999999E-4</v>
      </c>
      <c r="JI52" s="50">
        <v>0</v>
      </c>
      <c r="JJ52" s="50">
        <v>8.1599999999999999E-4</v>
      </c>
      <c r="JK52" s="44">
        <v>0.44652399999999998</v>
      </c>
      <c r="JL52" s="50">
        <v>0</v>
      </c>
      <c r="JM52" s="50">
        <v>0.44652399999999998</v>
      </c>
      <c r="JN52" s="44">
        <v>5.2266E-2</v>
      </c>
      <c r="JO52" s="50">
        <v>0</v>
      </c>
      <c r="JP52" s="50">
        <v>5.2266E-2</v>
      </c>
      <c r="JQ52" s="44">
        <v>0</v>
      </c>
      <c r="JR52" s="50">
        <v>0</v>
      </c>
      <c r="JS52" s="50">
        <v>0</v>
      </c>
      <c r="JT52" s="44">
        <v>0</v>
      </c>
      <c r="JU52" s="50">
        <v>0</v>
      </c>
      <c r="JV52" s="50">
        <v>0</v>
      </c>
      <c r="JW52" s="44">
        <v>3.4289E-2</v>
      </c>
      <c r="JX52" s="50">
        <v>0</v>
      </c>
      <c r="JY52" s="50">
        <v>3.4289E-2</v>
      </c>
      <c r="JZ52" s="44">
        <v>0</v>
      </c>
      <c r="KA52" s="50">
        <v>0</v>
      </c>
      <c r="KB52" s="50">
        <v>0</v>
      </c>
      <c r="KC52" s="44">
        <v>0.68380300000000005</v>
      </c>
      <c r="KD52" s="50">
        <v>0</v>
      </c>
      <c r="KE52" s="50">
        <v>0.68380300000000005</v>
      </c>
      <c r="KF52" s="44">
        <f t="shared" ref="KF52:KF57" si="78">IV52+IY52+JB52+JE52+JH52+JK52+JN52+JQ52+JT52+JW52+JZ52+KC52</f>
        <v>1.3290600000000001</v>
      </c>
      <c r="KG52" s="50">
        <f t="shared" ref="KG52:KG57" si="79">IW52+IZ52+JC52+JF52+JI52+JL52+JO52+JR52+JU52+JX52+KA52+KD52</f>
        <v>0</v>
      </c>
      <c r="KH52" s="50">
        <f t="shared" si="4"/>
        <v>1.3290600000000001</v>
      </c>
      <c r="KI52" s="44">
        <v>1.3420810000000001</v>
      </c>
      <c r="KJ52" s="44">
        <v>3.9069999999999999E-3</v>
      </c>
      <c r="KK52" s="50">
        <v>0</v>
      </c>
      <c r="KL52" s="50">
        <v>3.9069999999999999E-3</v>
      </c>
      <c r="KM52" s="44">
        <v>9.7999999999999997E-3</v>
      </c>
      <c r="KN52" s="50">
        <v>0</v>
      </c>
      <c r="KO52" s="50">
        <v>9.7999999999999997E-3</v>
      </c>
      <c r="KP52" s="44">
        <v>3.5000000000000001E-3</v>
      </c>
      <c r="KQ52" s="50">
        <v>0</v>
      </c>
      <c r="KR52" s="50">
        <v>3.5000000000000001E-3</v>
      </c>
      <c r="KS52" s="44">
        <v>3.5000000000000001E-3</v>
      </c>
      <c r="KT52" s="50"/>
      <c r="KU52" s="50">
        <v>3.5000000000000001E-3</v>
      </c>
      <c r="KV52" s="44">
        <v>3.1966000000000001E-2</v>
      </c>
      <c r="KW52" s="177">
        <v>0</v>
      </c>
      <c r="KX52" s="50">
        <v>3.1966000000000001E-2</v>
      </c>
      <c r="KY52" s="44">
        <v>0</v>
      </c>
      <c r="KZ52" s="50">
        <v>0</v>
      </c>
      <c r="LA52" s="44">
        <v>0</v>
      </c>
      <c r="LB52" s="44">
        <v>6.9972000000000006E-2</v>
      </c>
      <c r="LC52" s="50">
        <v>0</v>
      </c>
      <c r="LD52" s="50">
        <v>6.9972000000000006E-2</v>
      </c>
      <c r="LE52" s="44">
        <v>-5.7000000000000002E-2</v>
      </c>
      <c r="LF52" s="44"/>
      <c r="LG52" s="44">
        <v>-5.7000000000000002E-2</v>
      </c>
      <c r="LH52" s="44">
        <v>0</v>
      </c>
      <c r="LI52" s="50">
        <v>0</v>
      </c>
      <c r="LJ52" s="50">
        <v>0</v>
      </c>
      <c r="LK52" s="44">
        <v>5.3470000000000002E-3</v>
      </c>
      <c r="LL52" s="50">
        <v>0</v>
      </c>
      <c r="LM52" s="50">
        <v>5.3470000000000002E-3</v>
      </c>
      <c r="LN52" s="44">
        <v>3.0744E-2</v>
      </c>
      <c r="LO52" s="50">
        <v>0</v>
      </c>
      <c r="LP52" s="50">
        <v>3.0744E-2</v>
      </c>
      <c r="LQ52" s="44">
        <v>0.16331999999999999</v>
      </c>
      <c r="LR52" s="50">
        <v>0</v>
      </c>
      <c r="LS52" s="50">
        <v>0.16331999999999999</v>
      </c>
      <c r="LT52" s="44">
        <f t="shared" si="58"/>
        <v>0.26505600000000001</v>
      </c>
      <c r="LU52" s="50">
        <f t="shared" si="58"/>
        <v>0</v>
      </c>
      <c r="LV52" s="50">
        <f t="shared" si="58"/>
        <v>0.26505600000000001</v>
      </c>
      <c r="LW52" s="50">
        <v>0.26743299999999998</v>
      </c>
      <c r="LX52" s="44">
        <v>1.5114000000000001E-2</v>
      </c>
      <c r="LY52" s="50">
        <v>0</v>
      </c>
      <c r="LZ52" s="50">
        <v>1.5114000000000001E-2</v>
      </c>
      <c r="MA52" s="44">
        <v>0.53090199999999999</v>
      </c>
      <c r="MB52" s="44"/>
      <c r="MC52" s="50">
        <v>0.53090199999999999</v>
      </c>
      <c r="MD52" s="44">
        <v>0</v>
      </c>
      <c r="ME52" s="50">
        <v>0</v>
      </c>
      <c r="MF52" s="50">
        <v>0</v>
      </c>
      <c r="MG52" s="44">
        <v>0</v>
      </c>
      <c r="MH52" s="50">
        <v>0</v>
      </c>
      <c r="MI52" s="50">
        <v>0</v>
      </c>
      <c r="MJ52" s="44">
        <v>0</v>
      </c>
      <c r="MK52" s="50">
        <v>0</v>
      </c>
      <c r="ML52" s="50">
        <v>0</v>
      </c>
      <c r="MM52" s="44">
        <v>0</v>
      </c>
      <c r="MN52" s="50">
        <v>0</v>
      </c>
      <c r="MO52" s="50">
        <v>0</v>
      </c>
      <c r="MP52" s="44"/>
      <c r="MQ52" s="50"/>
      <c r="MR52" s="50"/>
      <c r="MS52" s="44">
        <v>0</v>
      </c>
      <c r="MT52" s="50">
        <v>0</v>
      </c>
      <c r="MU52" s="50">
        <v>0</v>
      </c>
      <c r="MV52" s="44">
        <v>0</v>
      </c>
      <c r="MW52" s="50">
        <v>0</v>
      </c>
      <c r="MX52" s="50">
        <v>0</v>
      </c>
      <c r="MY52" s="44">
        <v>0</v>
      </c>
      <c r="MZ52" s="50">
        <v>0</v>
      </c>
      <c r="NA52" s="50">
        <v>0</v>
      </c>
      <c r="NB52" s="44">
        <v>0</v>
      </c>
      <c r="NC52" s="50">
        <v>0</v>
      </c>
      <c r="ND52" s="50">
        <v>0</v>
      </c>
      <c r="NE52" s="44">
        <v>0</v>
      </c>
      <c r="NF52" s="50">
        <v>0</v>
      </c>
      <c r="NG52" s="50"/>
      <c r="NH52" s="44">
        <f t="shared" ref="NH52:NH57" si="80">LX52+MA52+MD52+MG52+MJ52+MM52+MP52+MS52+MV52+MY52+NB52+NE52</f>
        <v>0.54601599999999995</v>
      </c>
      <c r="NI52" s="50">
        <f t="shared" ref="NI52:NI57" si="81">LY52+MB52+ME52+MH52+MK52+MN52+MQ52+MT52+MW52+MZ52+NC52+NF52</f>
        <v>0</v>
      </c>
      <c r="NJ52" s="50">
        <f t="shared" si="76"/>
        <v>0.54601599999999995</v>
      </c>
      <c r="NK52" s="50">
        <v>1.1506780000000001</v>
      </c>
      <c r="NL52" s="50"/>
      <c r="NM52" s="50"/>
      <c r="NN52" s="50">
        <v>2.785E-2</v>
      </c>
      <c r="NO52" s="50">
        <v>1.1130000000000001E-3</v>
      </c>
      <c r="NP52" s="50"/>
      <c r="NQ52" s="50">
        <v>1.1130000000000001E-3</v>
      </c>
      <c r="NR52" s="50"/>
      <c r="NS52" s="50"/>
      <c r="NT52" s="50"/>
      <c r="NU52" s="50">
        <v>3.5000000000000001E-3</v>
      </c>
      <c r="NV52" s="50"/>
      <c r="NW52" s="50">
        <v>3.5000000000000001E-3</v>
      </c>
      <c r="NX52" s="50">
        <v>2.8778999999999999E-2</v>
      </c>
      <c r="NY52" s="50"/>
      <c r="NZ52" s="50">
        <v>2.8778999999999999E-2</v>
      </c>
      <c r="OA52" s="50">
        <v>0.169103</v>
      </c>
      <c r="OB52" s="50"/>
      <c r="OC52" s="50">
        <v>0.169103</v>
      </c>
      <c r="OD52" s="50">
        <v>3.5000000000000001E-3</v>
      </c>
      <c r="OE52" s="50"/>
      <c r="OF52" s="50">
        <v>3.5000000000000001E-3</v>
      </c>
      <c r="OG52" s="50"/>
      <c r="OH52" s="50"/>
      <c r="OI52" s="50"/>
      <c r="OJ52" s="50"/>
      <c r="OK52" s="50"/>
      <c r="OL52" s="50">
        <v>2.2128999999999999E-2</v>
      </c>
      <c r="OM52" s="50">
        <v>0.65</v>
      </c>
      <c r="ON52" s="50"/>
      <c r="OO52" s="50">
        <v>0.65</v>
      </c>
      <c r="OP52" s="50">
        <v>0</v>
      </c>
      <c r="OQ52" s="50"/>
      <c r="OR52" s="50"/>
      <c r="OS52" s="50"/>
      <c r="OT52" s="50"/>
      <c r="OU52" s="50">
        <v>9.6946000000000004E-2</v>
      </c>
      <c r="OV52" s="44">
        <f t="shared" ref="OV52:OV57" si="82">NL52+NO52+NR52+NU52+NX52+OA52+OD52+OG52+OJ52+OM52+OP52+OS52</f>
        <v>0.85599500000000006</v>
      </c>
      <c r="OW52" s="50">
        <f t="shared" ref="OW52:OW57" si="83">NM52+NP52+NS52+NV52+NY52+OB52+OE52+OH52+OK52+ON52+OQ52+OT52</f>
        <v>0</v>
      </c>
      <c r="OX52" s="50">
        <f t="shared" si="9"/>
        <v>1.00292</v>
      </c>
      <c r="OY52" s="50">
        <v>1.0015940000000001</v>
      </c>
      <c r="OZ52" s="50">
        <v>3.5100000000000001E-3</v>
      </c>
      <c r="PA52" s="50"/>
      <c r="PB52" s="50">
        <v>3.5100000000000001E-3</v>
      </c>
      <c r="PC52" s="50">
        <v>9.7529000000000005E-2</v>
      </c>
      <c r="PD52" s="50"/>
      <c r="PE52" s="50">
        <v>9.7529000000000005E-2</v>
      </c>
      <c r="PF52" s="85">
        <v>8.3040000000000003E-2</v>
      </c>
      <c r="PG52" s="50"/>
      <c r="PH52" s="50">
        <v>8.3040000000000003E-2</v>
      </c>
      <c r="PI52" s="85">
        <v>3.4771000000000003E-2</v>
      </c>
      <c r="PJ52" s="50"/>
      <c r="PK52" s="50">
        <v>3.4771000000000003E-2</v>
      </c>
      <c r="PL52" s="50">
        <v>0.15332599999999999</v>
      </c>
      <c r="PM52" s="50"/>
      <c r="PN52" s="50">
        <v>0.15332599999999999</v>
      </c>
      <c r="PO52" s="50">
        <v>3.5000000000000003E-2</v>
      </c>
      <c r="PP52" s="50"/>
      <c r="PQ52" s="50">
        <v>3.5000000000000003E-2</v>
      </c>
      <c r="PR52" s="50">
        <v>1.1152E-2</v>
      </c>
      <c r="PS52" s="50"/>
      <c r="PT52" s="50">
        <v>1.1152E-2</v>
      </c>
      <c r="PU52" s="50">
        <v>21.900362999999999</v>
      </c>
      <c r="PV52" s="50"/>
      <c r="PW52" s="50">
        <v>21.900362999999999</v>
      </c>
      <c r="PX52" s="50"/>
      <c r="PY52" s="50"/>
      <c r="PZ52" s="50"/>
      <c r="QA52" s="50">
        <v>1.7186870000000001</v>
      </c>
      <c r="QB52" s="50"/>
      <c r="QC52" s="50">
        <v>1.7186870000000001</v>
      </c>
      <c r="QD52" s="50">
        <v>0.15339</v>
      </c>
      <c r="QE52" s="50"/>
      <c r="QF52" s="50">
        <v>0.15339</v>
      </c>
      <c r="QG52" s="50">
        <v>0.70321</v>
      </c>
      <c r="QH52" s="50"/>
      <c r="QI52" s="50">
        <v>0.70321</v>
      </c>
      <c r="QJ52" s="44">
        <f t="shared" si="38"/>
        <v>24.893977999999997</v>
      </c>
      <c r="QK52" s="50">
        <f t="shared" si="39"/>
        <v>0</v>
      </c>
      <c r="QL52" s="50">
        <f t="shared" si="40"/>
        <v>24.893977999999997</v>
      </c>
      <c r="QM52" s="50">
        <v>24.893978000000001</v>
      </c>
      <c r="QN52" s="50">
        <v>3.5000000000000001E-3</v>
      </c>
      <c r="QO52" s="50"/>
      <c r="QP52" s="50">
        <v>3.5000000000000001E-3</v>
      </c>
      <c r="QQ52" s="50">
        <v>9.7529000000000005E-2</v>
      </c>
      <c r="QR52" s="50"/>
      <c r="QS52" s="50">
        <v>9.7529000000000005E-2</v>
      </c>
      <c r="QT52" s="50">
        <v>8.8253999999999999E-2</v>
      </c>
      <c r="QU52" s="50"/>
      <c r="QV52" s="50">
        <v>8.8253999999999999E-2</v>
      </c>
      <c r="QW52" s="50">
        <v>2.2796219999999998</v>
      </c>
      <c r="QX52" s="50"/>
      <c r="QY52" s="50">
        <v>2.2796219999999998</v>
      </c>
      <c r="QZ52" s="50">
        <v>0.36683100000000002</v>
      </c>
      <c r="RA52" s="50"/>
      <c r="RB52" s="50">
        <v>0.36683100000000002</v>
      </c>
      <c r="RC52" s="50">
        <v>0.222411</v>
      </c>
      <c r="RD52" s="50"/>
      <c r="RE52" s="50">
        <v>0.222411</v>
      </c>
      <c r="RF52" s="50">
        <v>3.5000000000000001E-3</v>
      </c>
      <c r="RG52" s="50"/>
      <c r="RH52" s="50">
        <v>3.5000000000000001E-3</v>
      </c>
      <c r="RI52" s="50">
        <v>6.2808000000000003E-2</v>
      </c>
      <c r="RJ52" s="50"/>
      <c r="RK52" s="50">
        <v>6.2808000000000003E-2</v>
      </c>
      <c r="RL52" s="50">
        <v>0</v>
      </c>
      <c r="RM52" s="50"/>
      <c r="RN52" s="50"/>
      <c r="RO52" s="50"/>
      <c r="RP52" s="50"/>
      <c r="RQ52" s="50">
        <v>0.248858</v>
      </c>
      <c r="RR52" s="50"/>
      <c r="RS52" s="50"/>
      <c r="RT52" s="50">
        <v>1.4100000000000001E-4</v>
      </c>
      <c r="RU52" s="50">
        <v>0.97660100000000005</v>
      </c>
      <c r="RV52" s="50"/>
      <c r="RW52" s="50">
        <v>0.97660100000000005</v>
      </c>
      <c r="RX52" s="44">
        <f t="shared" si="41"/>
        <v>4.1010559999999998</v>
      </c>
      <c r="RY52" s="50">
        <f t="shared" si="42"/>
        <v>0</v>
      </c>
      <c r="RZ52" s="50">
        <f t="shared" si="43"/>
        <v>4.3500549999999993</v>
      </c>
      <c r="SA52" s="50">
        <v>4.3500560000000004</v>
      </c>
      <c r="SB52" s="50">
        <v>1.8839000000000002E-2</v>
      </c>
      <c r="SC52" s="50"/>
      <c r="SD52" s="50">
        <v>1.8839000000000002E-2</v>
      </c>
      <c r="SE52" s="50">
        <v>0.15843499999999999</v>
      </c>
      <c r="SF52" s="50"/>
      <c r="SG52" s="50">
        <v>0.15843499999999999</v>
      </c>
      <c r="SH52" s="50">
        <v>2.3657999999999998E-2</v>
      </c>
      <c r="SI52" s="50"/>
      <c r="SJ52" s="50">
        <v>2.3657999999999998E-2</v>
      </c>
      <c r="SK52" s="50">
        <v>0.32022600000000001</v>
      </c>
      <c r="SL52" s="50"/>
      <c r="SM52" s="50">
        <v>0.32022600000000001</v>
      </c>
      <c r="SN52" s="50"/>
      <c r="SO52" s="50"/>
      <c r="SP52" s="50">
        <v>0</v>
      </c>
      <c r="SQ52" s="50">
        <v>0.02</v>
      </c>
      <c r="SR52" s="50"/>
      <c r="SS52" s="50">
        <v>0.02</v>
      </c>
      <c r="ST52" s="50">
        <v>3.5000000000000001E-3</v>
      </c>
      <c r="SU52" s="50"/>
      <c r="SV52" s="50">
        <v>3.5000000000000001E-3</v>
      </c>
      <c r="SW52" s="50">
        <v>2.8476000000000001E-2</v>
      </c>
      <c r="SX52" s="50"/>
      <c r="SY52" s="50">
        <v>2.8476000000000001E-2</v>
      </c>
      <c r="SZ52" s="50"/>
      <c r="TA52" s="50"/>
      <c r="TB52" s="50"/>
      <c r="TC52" s="50">
        <v>0.35972599999999999</v>
      </c>
      <c r="TD52" s="50"/>
      <c r="TE52" s="50">
        <v>0.35972599999999999</v>
      </c>
      <c r="TF52" s="50">
        <v>0.23086499999999999</v>
      </c>
      <c r="TG52" s="50"/>
      <c r="TH52" s="50">
        <v>0.23086499999999999</v>
      </c>
      <c r="TI52" s="50">
        <v>0.102968</v>
      </c>
      <c r="TJ52" s="50"/>
      <c r="TK52" s="50">
        <v>0.102968</v>
      </c>
      <c r="TL52" s="44">
        <f t="shared" si="45"/>
        <v>1.2666929999999998</v>
      </c>
      <c r="TM52" s="50">
        <f t="shared" si="46"/>
        <v>0</v>
      </c>
      <c r="TN52" s="50">
        <f t="shared" si="47"/>
        <v>1.2666929999999998</v>
      </c>
      <c r="TO52" s="50">
        <v>3.5966999999999999E-2</v>
      </c>
      <c r="TP52" s="50"/>
      <c r="TQ52" s="50">
        <v>3.5966999999999999E-2</v>
      </c>
      <c r="TR52" s="50">
        <f>TT52-TS52</f>
        <v>2.3047999999999999E-2</v>
      </c>
      <c r="TS52" s="50"/>
      <c r="TT52" s="50">
        <v>2.3047999999999999E-2</v>
      </c>
      <c r="TU52" s="50">
        <v>0.204875</v>
      </c>
      <c r="TV52" s="50"/>
      <c r="TW52" s="50">
        <v>0.204875</v>
      </c>
      <c r="TX52" s="50">
        <f t="shared" si="49"/>
        <v>2.1525599999999998</v>
      </c>
      <c r="TY52" s="50"/>
      <c r="TZ52" s="50">
        <v>2.1525599999999998</v>
      </c>
      <c r="UA52" s="50"/>
      <c r="UB52" s="50"/>
      <c r="UC52" s="50"/>
      <c r="UD52" s="50"/>
      <c r="UE52" s="50"/>
      <c r="UF52" s="50"/>
      <c r="UG52" s="50"/>
      <c r="UH52" s="50"/>
      <c r="UI52" s="50"/>
      <c r="UJ52" s="50"/>
      <c r="UK52" s="50"/>
      <c r="UL52" s="50"/>
      <c r="UM52" s="50"/>
      <c r="UN52" s="50"/>
      <c r="UO52" s="50"/>
      <c r="UP52" s="50"/>
      <c r="UQ52" s="50"/>
      <c r="UR52" s="50"/>
      <c r="US52" s="50"/>
      <c r="UT52" s="50"/>
      <c r="UU52" s="50"/>
      <c r="UV52" s="50"/>
      <c r="UW52" s="50"/>
      <c r="UX52" s="50"/>
      <c r="UY52" s="292">
        <f t="shared" si="50"/>
        <v>0.52115800000000001</v>
      </c>
      <c r="UZ52" s="276">
        <f t="shared" si="51"/>
        <v>0</v>
      </c>
      <c r="VA52" s="276">
        <f t="shared" si="52"/>
        <v>0.52115800000000001</v>
      </c>
      <c r="VB52" s="292">
        <f t="shared" si="53"/>
        <v>2.4164500000000002</v>
      </c>
      <c r="VC52" s="276">
        <f t="shared" si="54"/>
        <v>0</v>
      </c>
      <c r="VD52" s="276">
        <f t="shared" si="55"/>
        <v>2.4164500000000002</v>
      </c>
      <c r="VE52" s="277">
        <f t="shared" si="56"/>
        <v>1.8952920000000002</v>
      </c>
      <c r="VF52" s="277">
        <f t="shared" si="57"/>
        <v>363.66936706334741</v>
      </c>
    </row>
    <row r="53" spans="1:578" s="12" customFormat="1" ht="20.25" hidden="1" customHeight="1">
      <c r="A53" s="47" t="s">
        <v>241</v>
      </c>
      <c r="B53" s="13"/>
      <c r="C53" s="47" t="s">
        <v>212</v>
      </c>
      <c r="D53" s="44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>
        <v>0.20321739773820302</v>
      </c>
      <c r="T53" s="49"/>
      <c r="U53" s="49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9"/>
      <c r="BA53" s="49"/>
      <c r="BB53" s="42"/>
      <c r="BC53" s="42">
        <v>0</v>
      </c>
      <c r="BD53" s="49" t="s">
        <v>46</v>
      </c>
      <c r="BE53" s="49" t="s">
        <v>46</v>
      </c>
      <c r="BF53" s="49"/>
      <c r="BG53" s="49" t="s">
        <v>46</v>
      </c>
      <c r="BH53" s="49" t="s">
        <v>46</v>
      </c>
      <c r="BI53" s="44"/>
      <c r="BJ53" s="49" t="s">
        <v>46</v>
      </c>
      <c r="BK53" s="49" t="s">
        <v>46</v>
      </c>
      <c r="BL53" s="44"/>
      <c r="BM53" s="49" t="s">
        <v>46</v>
      </c>
      <c r="BN53" s="49" t="s">
        <v>46</v>
      </c>
      <c r="BO53" s="44"/>
      <c r="BP53" s="49" t="s">
        <v>46</v>
      </c>
      <c r="BQ53" s="49" t="s">
        <v>46</v>
      </c>
      <c r="BR53" s="44"/>
      <c r="BS53" s="49" t="s">
        <v>46</v>
      </c>
      <c r="BT53" s="49" t="s">
        <v>46</v>
      </c>
      <c r="BU53" s="44"/>
      <c r="BV53" s="49" t="s">
        <v>46</v>
      </c>
      <c r="BW53" s="49" t="s">
        <v>46</v>
      </c>
      <c r="BX53" s="44"/>
      <c r="BY53" s="49" t="s">
        <v>46</v>
      </c>
      <c r="BZ53" s="49" t="s">
        <v>46</v>
      </c>
      <c r="CA53" s="44"/>
      <c r="CB53" s="49" t="s">
        <v>46</v>
      </c>
      <c r="CC53" s="49" t="s">
        <v>46</v>
      </c>
      <c r="CD53" s="44"/>
      <c r="CE53" s="49" t="s">
        <v>46</v>
      </c>
      <c r="CF53" s="49" t="s">
        <v>46</v>
      </c>
      <c r="CG53" s="44"/>
      <c r="CH53" s="49"/>
      <c r="CI53" s="49"/>
      <c r="CJ53" s="44"/>
      <c r="CK53" s="49"/>
      <c r="CL53" s="49"/>
      <c r="CM53" s="44"/>
      <c r="CN53" s="50"/>
      <c r="CO53" s="50"/>
      <c r="CP53" s="50">
        <f t="shared" si="21"/>
        <v>0</v>
      </c>
      <c r="CQ53" s="52"/>
      <c r="CR53" s="49"/>
      <c r="CS53" s="49"/>
      <c r="CT53" s="44"/>
      <c r="CU53" s="49"/>
      <c r="CV53" s="49"/>
      <c r="CW53" s="49">
        <v>0</v>
      </c>
      <c r="CX53" s="49"/>
      <c r="CY53" s="49"/>
      <c r="CZ53" s="49">
        <v>0</v>
      </c>
      <c r="DA53" s="49"/>
      <c r="DB53" s="49"/>
      <c r="DC53" s="49">
        <v>0</v>
      </c>
      <c r="DD53" s="49"/>
      <c r="DE53" s="49"/>
      <c r="DF53" s="49">
        <v>0</v>
      </c>
      <c r="DG53" s="49"/>
      <c r="DH53" s="49"/>
      <c r="DI53" s="49">
        <v>0</v>
      </c>
      <c r="DJ53" s="49"/>
      <c r="DK53" s="49"/>
      <c r="DL53" s="49">
        <v>0</v>
      </c>
      <c r="DM53" s="49"/>
      <c r="DN53" s="49"/>
      <c r="DO53" s="49">
        <v>0</v>
      </c>
      <c r="DP53" s="49"/>
      <c r="DQ53" s="49"/>
      <c r="DR53" s="49">
        <v>0</v>
      </c>
      <c r="DS53" s="49"/>
      <c r="DT53" s="49"/>
      <c r="DU53" s="49">
        <v>0</v>
      </c>
      <c r="DV53" s="49"/>
      <c r="DW53" s="49"/>
      <c r="DX53" s="49">
        <v>0</v>
      </c>
      <c r="DY53" s="49"/>
      <c r="DZ53" s="49"/>
      <c r="EA53" s="44">
        <v>0</v>
      </c>
      <c r="EB53" s="44">
        <f t="shared" si="22"/>
        <v>0</v>
      </c>
      <c r="EC53" s="44">
        <f t="shared" si="23"/>
        <v>0</v>
      </c>
      <c r="ED53" s="44">
        <f t="shared" si="24"/>
        <v>0</v>
      </c>
      <c r="EE53" s="140"/>
      <c r="EF53" s="44"/>
      <c r="EG53" s="44"/>
      <c r="EH53" s="44">
        <v>0</v>
      </c>
      <c r="EI53" s="44"/>
      <c r="EJ53" s="44"/>
      <c r="EK53" s="44">
        <v>0</v>
      </c>
      <c r="EL53" s="44"/>
      <c r="EM53" s="44"/>
      <c r="EN53" s="44">
        <v>0</v>
      </c>
      <c r="EO53" s="44"/>
      <c r="EP53" s="44"/>
      <c r="EQ53" s="44">
        <v>0</v>
      </c>
      <c r="ER53" s="44"/>
      <c r="ES53" s="44"/>
      <c r="ET53" s="44">
        <v>0</v>
      </c>
      <c r="EU53" s="44"/>
      <c r="EV53" s="44"/>
      <c r="EW53" s="44">
        <v>0</v>
      </c>
      <c r="EX53" s="44"/>
      <c r="EY53" s="44"/>
      <c r="EZ53" s="44">
        <v>0</v>
      </c>
      <c r="FA53" s="44"/>
      <c r="FB53" s="44"/>
      <c r="FC53" s="44">
        <v>0</v>
      </c>
      <c r="FD53" s="44"/>
      <c r="FE53" s="44"/>
      <c r="FF53" s="44">
        <v>0</v>
      </c>
      <c r="FG53" s="44"/>
      <c r="FH53" s="44"/>
      <c r="FI53" s="44">
        <v>0</v>
      </c>
      <c r="FJ53" s="44"/>
      <c r="FK53" s="44"/>
      <c r="FL53" s="44">
        <v>0</v>
      </c>
      <c r="FM53" s="44"/>
      <c r="FN53" s="44"/>
      <c r="FO53" s="44">
        <v>0</v>
      </c>
      <c r="FP53" s="44">
        <f t="shared" si="25"/>
        <v>0</v>
      </c>
      <c r="FQ53" s="44">
        <f t="shared" si="26"/>
        <v>0</v>
      </c>
      <c r="FR53" s="44">
        <f t="shared" si="27"/>
        <v>0</v>
      </c>
      <c r="FS53" s="95"/>
      <c r="FT53" s="44"/>
      <c r="FU53" s="44"/>
      <c r="FV53" s="44">
        <v>0</v>
      </c>
      <c r="FW53" s="44"/>
      <c r="FX53" s="44"/>
      <c r="FY53" s="44">
        <v>0</v>
      </c>
      <c r="FZ53" s="44"/>
      <c r="GA53" s="44"/>
      <c r="GB53" s="44">
        <v>0</v>
      </c>
      <c r="GC53" s="44"/>
      <c r="GD53" s="44"/>
      <c r="GE53" s="44">
        <v>0</v>
      </c>
      <c r="GF53" s="44"/>
      <c r="GG53" s="44"/>
      <c r="GH53" s="44">
        <v>0</v>
      </c>
      <c r="GI53" s="44"/>
      <c r="GJ53" s="44"/>
      <c r="GK53" s="44">
        <v>0</v>
      </c>
      <c r="GL53" s="44"/>
      <c r="GM53" s="44"/>
      <c r="GN53" s="44">
        <v>0</v>
      </c>
      <c r="GO53" s="44"/>
      <c r="GP53" s="44">
        <v>0</v>
      </c>
      <c r="GQ53" s="44">
        <v>0</v>
      </c>
      <c r="GR53" s="44"/>
      <c r="GS53" s="44">
        <v>0</v>
      </c>
      <c r="GT53" s="44">
        <v>0</v>
      </c>
      <c r="GU53" s="44"/>
      <c r="GV53" s="44">
        <v>0</v>
      </c>
      <c r="GW53" s="44">
        <v>0</v>
      </c>
      <c r="GX53" s="44"/>
      <c r="GY53" s="44">
        <v>0</v>
      </c>
      <c r="GZ53" s="44">
        <v>0</v>
      </c>
      <c r="HA53" s="44"/>
      <c r="HB53" s="44">
        <v>0</v>
      </c>
      <c r="HC53" s="44">
        <v>0</v>
      </c>
      <c r="HD53" s="44">
        <f t="shared" si="28"/>
        <v>0</v>
      </c>
      <c r="HE53" s="44">
        <f t="shared" si="29"/>
        <v>0</v>
      </c>
      <c r="HF53" s="44">
        <f t="shared" si="30"/>
        <v>0</v>
      </c>
      <c r="HG53" s="44"/>
      <c r="HH53" s="44"/>
      <c r="HI53" s="44">
        <v>0</v>
      </c>
      <c r="HJ53" s="44">
        <v>0</v>
      </c>
      <c r="HK53" s="44">
        <v>0</v>
      </c>
      <c r="HL53" s="44">
        <v>0</v>
      </c>
      <c r="HM53" s="44">
        <v>0</v>
      </c>
      <c r="HN53" s="44">
        <v>0</v>
      </c>
      <c r="HO53" s="44">
        <v>0</v>
      </c>
      <c r="HP53" s="44">
        <v>0</v>
      </c>
      <c r="HQ53" s="44">
        <v>0</v>
      </c>
      <c r="HR53" s="44">
        <v>0</v>
      </c>
      <c r="HS53" s="44">
        <v>0</v>
      </c>
      <c r="HT53" s="44">
        <v>0</v>
      </c>
      <c r="HU53" s="44">
        <v>0</v>
      </c>
      <c r="HV53" s="44">
        <v>0</v>
      </c>
      <c r="HW53" s="44">
        <v>0</v>
      </c>
      <c r="HX53" s="44">
        <v>0</v>
      </c>
      <c r="HY53" s="44">
        <v>0</v>
      </c>
      <c r="HZ53" s="44">
        <v>0</v>
      </c>
      <c r="IA53" s="44">
        <v>0</v>
      </c>
      <c r="IB53" s="44">
        <v>0</v>
      </c>
      <c r="IC53" s="44">
        <v>0</v>
      </c>
      <c r="ID53" s="44">
        <v>0</v>
      </c>
      <c r="IE53" s="44">
        <v>0</v>
      </c>
      <c r="IF53" s="44">
        <v>0</v>
      </c>
      <c r="IG53" s="44">
        <v>0</v>
      </c>
      <c r="IH53" s="44">
        <v>0</v>
      </c>
      <c r="II53" s="44">
        <v>0</v>
      </c>
      <c r="IJ53" s="44">
        <v>0</v>
      </c>
      <c r="IK53" s="44">
        <v>0</v>
      </c>
      <c r="IL53" s="44">
        <v>0</v>
      </c>
      <c r="IM53" s="44">
        <v>0</v>
      </c>
      <c r="IN53" s="44">
        <v>0</v>
      </c>
      <c r="IO53" s="44">
        <v>0</v>
      </c>
      <c r="IP53" s="44">
        <v>0</v>
      </c>
      <c r="IQ53" s="44">
        <v>0</v>
      </c>
      <c r="IR53" s="44">
        <f t="shared" si="71"/>
        <v>0</v>
      </c>
      <c r="IS53" s="50">
        <f t="shared" si="72"/>
        <v>0</v>
      </c>
      <c r="IT53" s="50">
        <f t="shared" si="70"/>
        <v>0</v>
      </c>
      <c r="IU53" s="44"/>
      <c r="IV53" s="44">
        <v>0</v>
      </c>
      <c r="IW53" s="50">
        <v>0</v>
      </c>
      <c r="IX53" s="50">
        <v>0</v>
      </c>
      <c r="IY53" s="44">
        <v>0</v>
      </c>
      <c r="IZ53" s="50">
        <v>0</v>
      </c>
      <c r="JA53" s="50">
        <v>0</v>
      </c>
      <c r="JB53" s="44">
        <v>0</v>
      </c>
      <c r="JC53" s="50">
        <v>0</v>
      </c>
      <c r="JD53" s="50">
        <v>0</v>
      </c>
      <c r="JE53" s="44">
        <v>0</v>
      </c>
      <c r="JF53" s="50">
        <v>0</v>
      </c>
      <c r="JG53" s="50">
        <v>0</v>
      </c>
      <c r="JH53" s="44">
        <v>0</v>
      </c>
      <c r="JI53" s="50">
        <v>0</v>
      </c>
      <c r="JJ53" s="50">
        <v>0</v>
      </c>
      <c r="JK53" s="44">
        <v>0</v>
      </c>
      <c r="JL53" s="50">
        <v>0</v>
      </c>
      <c r="JM53" s="50">
        <v>0</v>
      </c>
      <c r="JN53" s="44">
        <v>0</v>
      </c>
      <c r="JO53" s="50">
        <v>0</v>
      </c>
      <c r="JP53" s="50">
        <v>0</v>
      </c>
      <c r="JQ53" s="44">
        <v>0</v>
      </c>
      <c r="JR53" s="50">
        <v>0</v>
      </c>
      <c r="JS53" s="50">
        <v>0</v>
      </c>
      <c r="JT53" s="44">
        <v>0</v>
      </c>
      <c r="JU53" s="50">
        <v>0</v>
      </c>
      <c r="JV53" s="50">
        <v>0</v>
      </c>
      <c r="JW53" s="44">
        <v>0</v>
      </c>
      <c r="JX53" s="50">
        <v>0</v>
      </c>
      <c r="JY53" s="50">
        <v>0</v>
      </c>
      <c r="JZ53" s="44">
        <v>0</v>
      </c>
      <c r="KA53" s="50">
        <v>0</v>
      </c>
      <c r="KB53" s="50">
        <v>0</v>
      </c>
      <c r="KC53" s="44">
        <v>0</v>
      </c>
      <c r="KD53" s="50">
        <v>0</v>
      </c>
      <c r="KE53" s="50">
        <v>0</v>
      </c>
      <c r="KF53" s="44">
        <f t="shared" si="78"/>
        <v>0</v>
      </c>
      <c r="KG53" s="50">
        <f t="shared" si="79"/>
        <v>0</v>
      </c>
      <c r="KH53" s="50">
        <f t="shared" si="4"/>
        <v>0</v>
      </c>
      <c r="KI53" s="44">
        <v>0</v>
      </c>
      <c r="KJ53" s="44">
        <v>0</v>
      </c>
      <c r="KK53" s="50">
        <v>0</v>
      </c>
      <c r="KL53" s="50">
        <v>0</v>
      </c>
      <c r="KM53" s="44">
        <v>0</v>
      </c>
      <c r="KN53" s="50">
        <v>0</v>
      </c>
      <c r="KO53" s="50">
        <v>0</v>
      </c>
      <c r="KP53" s="44">
        <v>0</v>
      </c>
      <c r="KQ53" s="50">
        <v>0</v>
      </c>
      <c r="KR53" s="50">
        <v>0</v>
      </c>
      <c r="KS53" s="44">
        <v>0</v>
      </c>
      <c r="KT53" s="50">
        <v>0</v>
      </c>
      <c r="KU53" s="50">
        <v>0</v>
      </c>
      <c r="KV53" s="44">
        <v>0</v>
      </c>
      <c r="KW53" s="50">
        <v>0</v>
      </c>
      <c r="KX53" s="50">
        <v>0</v>
      </c>
      <c r="KY53" s="44">
        <v>0</v>
      </c>
      <c r="KZ53" s="50">
        <v>0</v>
      </c>
      <c r="LA53" s="50">
        <v>0</v>
      </c>
      <c r="LB53" s="44">
        <v>0</v>
      </c>
      <c r="LC53" s="50">
        <v>0</v>
      </c>
      <c r="LD53" s="50">
        <v>0</v>
      </c>
      <c r="LE53" s="44">
        <v>0</v>
      </c>
      <c r="LF53" s="44"/>
      <c r="LG53" s="44"/>
      <c r="LH53" s="44">
        <v>0</v>
      </c>
      <c r="LI53" s="50">
        <v>0</v>
      </c>
      <c r="LJ53" s="50">
        <v>0</v>
      </c>
      <c r="LK53" s="44">
        <v>0</v>
      </c>
      <c r="LL53" s="50">
        <v>0</v>
      </c>
      <c r="LM53" s="50">
        <v>0</v>
      </c>
      <c r="LN53" s="44">
        <v>0</v>
      </c>
      <c r="LO53" s="50">
        <v>0</v>
      </c>
      <c r="LP53" s="50">
        <v>0</v>
      </c>
      <c r="LQ53" s="44">
        <v>0</v>
      </c>
      <c r="LR53" s="50">
        <v>0</v>
      </c>
      <c r="LS53" s="50">
        <v>0</v>
      </c>
      <c r="LT53" s="44">
        <f t="shared" si="58"/>
        <v>0</v>
      </c>
      <c r="LU53" s="50">
        <f t="shared" si="58"/>
        <v>0</v>
      </c>
      <c r="LV53" s="50">
        <f t="shared" si="58"/>
        <v>0</v>
      </c>
      <c r="LW53" s="50"/>
      <c r="LX53" s="44">
        <v>0</v>
      </c>
      <c r="LY53" s="50">
        <v>0</v>
      </c>
      <c r="LZ53" s="50">
        <v>0</v>
      </c>
      <c r="MA53" s="44">
        <v>0</v>
      </c>
      <c r="MB53" s="50">
        <v>0</v>
      </c>
      <c r="MC53" s="50">
        <v>0</v>
      </c>
      <c r="MD53" s="44">
        <v>0</v>
      </c>
      <c r="ME53" s="50">
        <v>0</v>
      </c>
      <c r="MF53" s="50"/>
      <c r="MG53" s="44">
        <v>0</v>
      </c>
      <c r="MH53" s="50">
        <v>0</v>
      </c>
      <c r="MI53" s="50">
        <v>0</v>
      </c>
      <c r="MJ53" s="44">
        <v>0</v>
      </c>
      <c r="MK53" s="44">
        <v>0</v>
      </c>
      <c r="ML53" s="50">
        <v>0</v>
      </c>
      <c r="MM53" s="44">
        <v>0</v>
      </c>
      <c r="MN53" s="44">
        <v>0</v>
      </c>
      <c r="MO53" s="50">
        <v>0</v>
      </c>
      <c r="MP53" s="44">
        <v>0</v>
      </c>
      <c r="MQ53" s="44">
        <v>0</v>
      </c>
      <c r="MR53" s="50">
        <v>0</v>
      </c>
      <c r="MS53" s="44">
        <v>0</v>
      </c>
      <c r="MT53" s="44">
        <v>0</v>
      </c>
      <c r="MU53" s="50">
        <v>0</v>
      </c>
      <c r="MV53" s="44">
        <v>0</v>
      </c>
      <c r="MW53" s="44">
        <v>0</v>
      </c>
      <c r="MX53" s="44">
        <v>0</v>
      </c>
      <c r="MY53" s="44">
        <v>0</v>
      </c>
      <c r="MZ53" s="44">
        <v>0</v>
      </c>
      <c r="NA53" s="50">
        <v>0</v>
      </c>
      <c r="NB53" s="44">
        <v>0</v>
      </c>
      <c r="NC53" s="44">
        <v>0</v>
      </c>
      <c r="ND53" s="50">
        <v>0</v>
      </c>
      <c r="NE53" s="44">
        <v>0</v>
      </c>
      <c r="NF53" s="44">
        <v>0</v>
      </c>
      <c r="NG53" s="50">
        <v>0</v>
      </c>
      <c r="NH53" s="44">
        <f t="shared" si="80"/>
        <v>0</v>
      </c>
      <c r="NI53" s="50">
        <f t="shared" si="81"/>
        <v>0</v>
      </c>
      <c r="NJ53" s="50">
        <f t="shared" si="76"/>
        <v>0</v>
      </c>
      <c r="NK53" s="50"/>
      <c r="NL53" s="50"/>
      <c r="NM53" s="50"/>
      <c r="NN53" s="50">
        <v>0</v>
      </c>
      <c r="NO53" s="50">
        <v>0</v>
      </c>
      <c r="NP53" s="50"/>
      <c r="NQ53" s="50">
        <v>0</v>
      </c>
      <c r="NR53" s="50"/>
      <c r="NS53" s="50"/>
      <c r="NT53" s="50"/>
      <c r="NU53" s="50"/>
      <c r="NV53" s="50"/>
      <c r="NW53" s="50"/>
      <c r="NX53" s="50"/>
      <c r="NY53" s="50"/>
      <c r="NZ53" s="50"/>
      <c r="OA53" s="50"/>
      <c r="OB53" s="50"/>
      <c r="OC53" s="50"/>
      <c r="OD53" s="50"/>
      <c r="OE53" s="50"/>
      <c r="OF53" s="50"/>
      <c r="OG53" s="50"/>
      <c r="OH53" s="50"/>
      <c r="OI53" s="50"/>
      <c r="OJ53" s="50"/>
      <c r="OK53" s="50"/>
      <c r="OL53" s="50"/>
      <c r="OM53" s="50">
        <v>0</v>
      </c>
      <c r="ON53" s="50"/>
      <c r="OO53" s="50"/>
      <c r="OP53" s="50">
        <v>0</v>
      </c>
      <c r="OQ53" s="50"/>
      <c r="OR53" s="50"/>
      <c r="OS53" s="50"/>
      <c r="OT53" s="50"/>
      <c r="OU53" s="50"/>
      <c r="OV53" s="44">
        <f t="shared" si="82"/>
        <v>0</v>
      </c>
      <c r="OW53" s="50">
        <f t="shared" si="83"/>
        <v>0</v>
      </c>
      <c r="OX53" s="50">
        <f t="shared" si="9"/>
        <v>0</v>
      </c>
      <c r="OY53" s="50"/>
      <c r="OZ53" s="50"/>
      <c r="PA53" s="50"/>
      <c r="PB53" s="50"/>
      <c r="PC53" s="50"/>
      <c r="PD53" s="50"/>
      <c r="PE53" s="50"/>
      <c r="PF53" s="50"/>
      <c r="PG53" s="50"/>
      <c r="PH53" s="50"/>
      <c r="PI53" s="50"/>
      <c r="PJ53" s="50"/>
      <c r="PK53" s="50"/>
      <c r="PL53" s="50"/>
      <c r="PM53" s="50"/>
      <c r="PN53" s="50"/>
      <c r="PO53" s="50"/>
      <c r="PP53" s="50"/>
      <c r="PQ53" s="50"/>
      <c r="PR53" s="50"/>
      <c r="PS53" s="50"/>
      <c r="PT53" s="50"/>
      <c r="PU53" s="50"/>
      <c r="PV53" s="50"/>
      <c r="PW53" s="50"/>
      <c r="PX53" s="50"/>
      <c r="PY53" s="50"/>
      <c r="PZ53" s="50"/>
      <c r="QA53" s="50"/>
      <c r="QB53" s="50"/>
      <c r="QC53" s="50"/>
      <c r="QD53" s="50">
        <v>0</v>
      </c>
      <c r="QE53" s="50"/>
      <c r="QF53" s="50"/>
      <c r="QG53" s="50">
        <v>0</v>
      </c>
      <c r="QH53" s="50"/>
      <c r="QI53" s="50"/>
      <c r="QJ53" s="44">
        <f t="shared" si="38"/>
        <v>0</v>
      </c>
      <c r="QK53" s="50">
        <f t="shared" si="39"/>
        <v>0</v>
      </c>
      <c r="QL53" s="50">
        <f t="shared" si="40"/>
        <v>0</v>
      </c>
      <c r="QM53" s="50"/>
      <c r="QN53" s="50"/>
      <c r="QO53" s="50"/>
      <c r="QP53" s="50"/>
      <c r="QQ53" s="50"/>
      <c r="QR53" s="50"/>
      <c r="QS53" s="50"/>
      <c r="QT53" s="50"/>
      <c r="QU53" s="50"/>
      <c r="QV53" s="50"/>
      <c r="QW53" s="50"/>
      <c r="QX53" s="50"/>
      <c r="QY53" s="50"/>
      <c r="QZ53" s="50"/>
      <c r="RA53" s="50"/>
      <c r="RB53" s="50"/>
      <c r="RC53" s="50"/>
      <c r="RD53" s="50"/>
      <c r="RE53" s="50"/>
      <c r="RF53" s="50"/>
      <c r="RG53" s="50"/>
      <c r="RH53" s="50"/>
      <c r="RI53" s="50"/>
      <c r="RJ53" s="50"/>
      <c r="RK53" s="50"/>
      <c r="RL53" s="50"/>
      <c r="RM53" s="50"/>
      <c r="RN53" s="50"/>
      <c r="RO53" s="50"/>
      <c r="RP53" s="50"/>
      <c r="RQ53" s="50"/>
      <c r="RR53" s="50"/>
      <c r="RS53" s="50"/>
      <c r="RT53" s="50"/>
      <c r="RU53" s="50"/>
      <c r="RV53" s="50"/>
      <c r="RW53" s="50"/>
      <c r="RX53" s="44">
        <f t="shared" si="41"/>
        <v>0</v>
      </c>
      <c r="RY53" s="50">
        <f t="shared" si="42"/>
        <v>0</v>
      </c>
      <c r="RZ53" s="50">
        <f t="shared" si="43"/>
        <v>0</v>
      </c>
      <c r="SA53" s="50"/>
      <c r="SB53" s="50"/>
      <c r="SC53" s="50"/>
      <c r="SD53" s="50"/>
      <c r="SE53" s="50"/>
      <c r="SF53" s="50"/>
      <c r="SG53" s="50"/>
      <c r="SH53" s="50"/>
      <c r="SI53" s="50"/>
      <c r="SJ53" s="50"/>
      <c r="SK53" s="50"/>
      <c r="SL53" s="50"/>
      <c r="SM53" s="50"/>
      <c r="SN53" s="50"/>
      <c r="SO53" s="50"/>
      <c r="SP53" s="50"/>
      <c r="SQ53" s="50"/>
      <c r="SR53" s="50"/>
      <c r="SS53" s="50"/>
      <c r="ST53" s="50"/>
      <c r="SU53" s="50"/>
      <c r="SV53" s="50"/>
      <c r="SW53" s="50"/>
      <c r="SX53" s="50"/>
      <c r="SY53" s="50"/>
      <c r="SZ53" s="50"/>
      <c r="TA53" s="50"/>
      <c r="TB53" s="50"/>
      <c r="TC53" s="50"/>
      <c r="TD53" s="50"/>
      <c r="TE53" s="50"/>
      <c r="TF53" s="50"/>
      <c r="TG53" s="50"/>
      <c r="TH53" s="50"/>
      <c r="TI53" s="50"/>
      <c r="TJ53" s="50"/>
      <c r="TK53" s="50"/>
      <c r="TL53" s="44">
        <f t="shared" si="45"/>
        <v>0</v>
      </c>
      <c r="TM53" s="50">
        <f t="shared" si="46"/>
        <v>0</v>
      </c>
      <c r="TN53" s="50">
        <f t="shared" si="47"/>
        <v>0</v>
      </c>
      <c r="TO53" s="50"/>
      <c r="TP53" s="50"/>
      <c r="TQ53" s="50"/>
      <c r="TR53" s="50"/>
      <c r="TS53" s="50"/>
      <c r="TT53" s="50"/>
      <c r="TU53" s="50">
        <v>0</v>
      </c>
      <c r="TV53" s="50"/>
      <c r="TW53" s="50"/>
      <c r="TX53" s="50">
        <f t="shared" si="49"/>
        <v>0</v>
      </c>
      <c r="TY53" s="50"/>
      <c r="TZ53" s="50"/>
      <c r="UA53" s="50"/>
      <c r="UB53" s="50"/>
      <c r="UC53" s="50"/>
      <c r="UD53" s="50"/>
      <c r="UE53" s="50"/>
      <c r="UF53" s="50"/>
      <c r="UG53" s="50"/>
      <c r="UH53" s="50"/>
      <c r="UI53" s="50"/>
      <c r="UJ53" s="50"/>
      <c r="UK53" s="50"/>
      <c r="UL53" s="50"/>
      <c r="UM53" s="50"/>
      <c r="UN53" s="50"/>
      <c r="UO53" s="50"/>
      <c r="UP53" s="50"/>
      <c r="UQ53" s="50"/>
      <c r="UR53" s="50"/>
      <c r="US53" s="50"/>
      <c r="UT53" s="50"/>
      <c r="UU53" s="50"/>
      <c r="UV53" s="50"/>
      <c r="UW53" s="50"/>
      <c r="UX53" s="50"/>
      <c r="UY53" s="292">
        <f t="shared" si="50"/>
        <v>0</v>
      </c>
      <c r="UZ53" s="276">
        <f t="shared" si="51"/>
        <v>0</v>
      </c>
      <c r="VA53" s="276">
        <f t="shared" si="52"/>
        <v>0</v>
      </c>
      <c r="VB53" s="292">
        <f t="shared" si="53"/>
        <v>0</v>
      </c>
      <c r="VC53" s="276">
        <f t="shared" si="54"/>
        <v>0</v>
      </c>
      <c r="VD53" s="276">
        <f t="shared" si="55"/>
        <v>0</v>
      </c>
      <c r="VE53" s="277">
        <f t="shared" si="56"/>
        <v>0</v>
      </c>
      <c r="VF53" s="277" t="e">
        <f t="shared" si="57"/>
        <v>#DIV/0!</v>
      </c>
    </row>
    <row r="54" spans="1:578" s="12" customFormat="1" ht="20.25" hidden="1" customHeight="1">
      <c r="A54" s="47" t="s">
        <v>242</v>
      </c>
      <c r="B54" s="13"/>
      <c r="C54" s="47" t="s">
        <v>215</v>
      </c>
      <c r="D54" s="44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9"/>
      <c r="U54" s="49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9"/>
      <c r="BA54" s="49"/>
      <c r="BB54" s="42"/>
      <c r="BC54" s="42">
        <v>0</v>
      </c>
      <c r="BD54" s="49" t="s">
        <v>46</v>
      </c>
      <c r="BE54" s="49" t="s">
        <v>46</v>
      </c>
      <c r="BF54" s="49"/>
      <c r="BG54" s="49" t="s">
        <v>46</v>
      </c>
      <c r="BH54" s="49" t="s">
        <v>46</v>
      </c>
      <c r="BI54" s="44"/>
      <c r="BJ54" s="49" t="s">
        <v>46</v>
      </c>
      <c r="BK54" s="49" t="s">
        <v>46</v>
      </c>
      <c r="BL54" s="44"/>
      <c r="BM54" s="49" t="s">
        <v>46</v>
      </c>
      <c r="BN54" s="49" t="s">
        <v>46</v>
      </c>
      <c r="BO54" s="44"/>
      <c r="BP54" s="49" t="s">
        <v>46</v>
      </c>
      <c r="BQ54" s="49" t="s">
        <v>46</v>
      </c>
      <c r="BR54" s="44"/>
      <c r="BS54" s="49" t="s">
        <v>46</v>
      </c>
      <c r="BT54" s="49" t="s">
        <v>46</v>
      </c>
      <c r="BU54" s="44"/>
      <c r="BV54" s="49" t="s">
        <v>46</v>
      </c>
      <c r="BW54" s="49" t="s">
        <v>46</v>
      </c>
      <c r="BX54" s="44"/>
      <c r="BY54" s="49" t="s">
        <v>46</v>
      </c>
      <c r="BZ54" s="49" t="s">
        <v>46</v>
      </c>
      <c r="CA54" s="44">
        <v>1.5E-3</v>
      </c>
      <c r="CB54" s="49" t="s">
        <v>46</v>
      </c>
      <c r="CC54" s="49" t="s">
        <v>46</v>
      </c>
      <c r="CD54" s="44"/>
      <c r="CE54" s="49" t="s">
        <v>46</v>
      </c>
      <c r="CF54" s="49" t="s">
        <v>46</v>
      </c>
      <c r="CG54" s="44"/>
      <c r="CH54" s="49"/>
      <c r="CI54" s="49"/>
      <c r="CJ54" s="44"/>
      <c r="CK54" s="49"/>
      <c r="CL54" s="49"/>
      <c r="CM54" s="44"/>
      <c r="CN54" s="50"/>
      <c r="CO54" s="50"/>
      <c r="CP54" s="50">
        <f t="shared" si="21"/>
        <v>1.5E-3</v>
      </c>
      <c r="CQ54" s="52">
        <v>1.5E-3</v>
      </c>
      <c r="CR54" s="49"/>
      <c r="CS54" s="49"/>
      <c r="CT54" s="44"/>
      <c r="CU54" s="49"/>
      <c r="CV54" s="49"/>
      <c r="CW54" s="49">
        <v>0</v>
      </c>
      <c r="CX54" s="49"/>
      <c r="CY54" s="49"/>
      <c r="CZ54" s="49">
        <v>0</v>
      </c>
      <c r="DA54" s="49"/>
      <c r="DB54" s="49"/>
      <c r="DC54" s="49">
        <v>1.5E-3</v>
      </c>
      <c r="DD54" s="49"/>
      <c r="DE54" s="49"/>
      <c r="DF54" s="49">
        <v>0</v>
      </c>
      <c r="DG54" s="49"/>
      <c r="DH54" s="49"/>
      <c r="DI54" s="49">
        <v>0</v>
      </c>
      <c r="DJ54" s="49"/>
      <c r="DK54" s="49"/>
      <c r="DL54" s="49">
        <v>0</v>
      </c>
      <c r="DM54" s="49"/>
      <c r="DN54" s="49"/>
      <c r="DO54" s="49">
        <v>0</v>
      </c>
      <c r="DP54" s="49"/>
      <c r="DQ54" s="49"/>
      <c r="DR54" s="49">
        <v>0</v>
      </c>
      <c r="DS54" s="49"/>
      <c r="DT54" s="49"/>
      <c r="DU54" s="49">
        <v>0</v>
      </c>
      <c r="DV54" s="49"/>
      <c r="DW54" s="49"/>
      <c r="DX54" s="49">
        <v>0</v>
      </c>
      <c r="DY54" s="49"/>
      <c r="DZ54" s="49"/>
      <c r="EA54" s="44">
        <v>0</v>
      </c>
      <c r="EB54" s="44">
        <f t="shared" si="22"/>
        <v>0</v>
      </c>
      <c r="EC54" s="44">
        <f t="shared" si="23"/>
        <v>0</v>
      </c>
      <c r="ED54" s="44">
        <f t="shared" si="24"/>
        <v>1.5E-3</v>
      </c>
      <c r="EE54" s="140">
        <v>1.5E-3</v>
      </c>
      <c r="EF54" s="44"/>
      <c r="EG54" s="44"/>
      <c r="EH54" s="44">
        <v>0</v>
      </c>
      <c r="EI54" s="44"/>
      <c r="EJ54" s="44"/>
      <c r="EK54" s="44">
        <v>1.5E-3</v>
      </c>
      <c r="EL54" s="44"/>
      <c r="EM54" s="44"/>
      <c r="EN54" s="44">
        <v>0</v>
      </c>
      <c r="EO54" s="44"/>
      <c r="EP54" s="44"/>
      <c r="EQ54" s="44">
        <v>0</v>
      </c>
      <c r="ER54" s="44"/>
      <c r="ES54" s="44"/>
      <c r="ET54" s="44">
        <v>0</v>
      </c>
      <c r="EU54" s="44"/>
      <c r="EV54" s="44"/>
      <c r="EW54" s="44">
        <v>0</v>
      </c>
      <c r="EX54" s="44"/>
      <c r="EY54" s="44"/>
      <c r="EZ54" s="44">
        <v>0</v>
      </c>
      <c r="FA54" s="44"/>
      <c r="FB54" s="44"/>
      <c r="FC54" s="44">
        <v>0</v>
      </c>
      <c r="FD54" s="44"/>
      <c r="FE54" s="44"/>
      <c r="FF54" s="44">
        <v>0</v>
      </c>
      <c r="FG54" s="44"/>
      <c r="FH54" s="44"/>
      <c r="FI54" s="44">
        <v>0</v>
      </c>
      <c r="FJ54" s="44"/>
      <c r="FK54" s="44"/>
      <c r="FL54" s="44">
        <v>0</v>
      </c>
      <c r="FM54" s="44"/>
      <c r="FN54" s="44"/>
      <c r="FO54" s="44">
        <v>1.9000000000000001E-5</v>
      </c>
      <c r="FP54" s="44">
        <f t="shared" si="25"/>
        <v>0</v>
      </c>
      <c r="FQ54" s="44">
        <f t="shared" si="26"/>
        <v>0</v>
      </c>
      <c r="FR54" s="44">
        <f t="shared" si="27"/>
        <v>1.519E-3</v>
      </c>
      <c r="FS54" s="95">
        <v>1.5E-3</v>
      </c>
      <c r="FT54" s="44"/>
      <c r="FU54" s="44"/>
      <c r="FV54" s="44">
        <v>0</v>
      </c>
      <c r="FW54" s="44"/>
      <c r="FX54" s="44"/>
      <c r="FY54" s="44">
        <v>1.5E-3</v>
      </c>
      <c r="FZ54" s="44"/>
      <c r="GA54" s="44"/>
      <c r="GB54" s="44">
        <v>0</v>
      </c>
      <c r="GC54" s="44"/>
      <c r="GD54" s="44"/>
      <c r="GE54" s="44">
        <v>3.0000000000000001E-3</v>
      </c>
      <c r="GF54" s="44"/>
      <c r="GG54" s="44"/>
      <c r="GH54" s="44">
        <v>0</v>
      </c>
      <c r="GI54" s="44"/>
      <c r="GJ54" s="44"/>
      <c r="GK54" s="44">
        <v>0</v>
      </c>
      <c r="GL54" s="44"/>
      <c r="GM54" s="44"/>
      <c r="GN54" s="44">
        <v>0</v>
      </c>
      <c r="GO54" s="44"/>
      <c r="GP54" s="44">
        <v>0</v>
      </c>
      <c r="GQ54" s="44">
        <v>0</v>
      </c>
      <c r="GR54" s="44"/>
      <c r="GS54" s="44">
        <v>0</v>
      </c>
      <c r="GT54" s="44">
        <v>0</v>
      </c>
      <c r="GU54" s="44"/>
      <c r="GV54" s="44">
        <v>0</v>
      </c>
      <c r="GW54" s="44">
        <v>0</v>
      </c>
      <c r="GX54" s="44"/>
      <c r="GY54" s="44">
        <v>0</v>
      </c>
      <c r="GZ54" s="44">
        <v>0</v>
      </c>
      <c r="HA54" s="44"/>
      <c r="HB54" s="44">
        <v>0</v>
      </c>
      <c r="HC54" s="44">
        <v>0</v>
      </c>
      <c r="HD54" s="44">
        <f t="shared" si="28"/>
        <v>0</v>
      </c>
      <c r="HE54" s="44">
        <f t="shared" si="29"/>
        <v>0</v>
      </c>
      <c r="HF54" s="44">
        <f t="shared" si="30"/>
        <v>4.5000000000000005E-3</v>
      </c>
      <c r="HG54" s="44"/>
      <c r="HH54" s="44"/>
      <c r="HI54" s="44">
        <v>0</v>
      </c>
      <c r="HJ54" s="44">
        <v>4.3359999999999996E-3</v>
      </c>
      <c r="HK54" s="44">
        <v>1.5E-3</v>
      </c>
      <c r="HL54" s="44">
        <v>0</v>
      </c>
      <c r="HM54" s="44">
        <v>1.5E-3</v>
      </c>
      <c r="HN54" s="44">
        <v>0</v>
      </c>
      <c r="HO54" s="44">
        <v>0</v>
      </c>
      <c r="HP54" s="44">
        <v>0</v>
      </c>
      <c r="HQ54" s="44">
        <v>0</v>
      </c>
      <c r="HR54" s="44">
        <v>0</v>
      </c>
      <c r="HS54" s="44">
        <v>0</v>
      </c>
      <c r="HT54" s="44">
        <v>0</v>
      </c>
      <c r="HU54" s="44">
        <v>0</v>
      </c>
      <c r="HV54" s="44">
        <v>0</v>
      </c>
      <c r="HW54" s="44">
        <v>0</v>
      </c>
      <c r="HX54" s="44">
        <v>0</v>
      </c>
      <c r="HY54" s="44">
        <v>0</v>
      </c>
      <c r="HZ54" s="44">
        <v>0</v>
      </c>
      <c r="IA54" s="44">
        <v>0</v>
      </c>
      <c r="IB54" s="44">
        <v>0</v>
      </c>
      <c r="IC54" s="44">
        <v>0</v>
      </c>
      <c r="ID54" s="44">
        <v>0</v>
      </c>
      <c r="IE54" s="44">
        <v>0</v>
      </c>
      <c r="IF54" s="44">
        <v>0</v>
      </c>
      <c r="IG54" s="44">
        <v>0</v>
      </c>
      <c r="IH54" s="44">
        <v>0</v>
      </c>
      <c r="II54" s="44">
        <v>0</v>
      </c>
      <c r="IJ54" s="44">
        <v>0</v>
      </c>
      <c r="IK54" s="44">
        <v>0</v>
      </c>
      <c r="IL54" s="44">
        <v>0</v>
      </c>
      <c r="IM54" s="44">
        <v>0</v>
      </c>
      <c r="IN54" s="44">
        <v>0</v>
      </c>
      <c r="IO54" s="44">
        <v>0</v>
      </c>
      <c r="IP54" s="44">
        <v>0</v>
      </c>
      <c r="IQ54" s="44">
        <v>0</v>
      </c>
      <c r="IR54" s="44">
        <f t="shared" si="71"/>
        <v>1.5E-3</v>
      </c>
      <c r="IS54" s="50">
        <f t="shared" si="72"/>
        <v>0</v>
      </c>
      <c r="IT54" s="50">
        <f t="shared" si="70"/>
        <v>5.8359999999999992E-3</v>
      </c>
      <c r="IU54" s="44">
        <v>5.836E-3</v>
      </c>
      <c r="IV54" s="44">
        <v>6.5370000000000003E-3</v>
      </c>
      <c r="IW54" s="50">
        <v>0</v>
      </c>
      <c r="IX54" s="50">
        <v>6.5370000000000003E-3</v>
      </c>
      <c r="IY54" s="44">
        <v>1.1800000000000001E-3</v>
      </c>
      <c r="IZ54" s="50">
        <v>0</v>
      </c>
      <c r="JA54" s="50">
        <v>1.1800000000000001E-3</v>
      </c>
      <c r="JB54" s="44">
        <v>0</v>
      </c>
      <c r="JC54" s="50">
        <v>0</v>
      </c>
      <c r="JD54" s="50">
        <v>0</v>
      </c>
      <c r="JE54" s="44">
        <v>0</v>
      </c>
      <c r="JF54" s="50">
        <v>0</v>
      </c>
      <c r="JG54" s="50">
        <v>0</v>
      </c>
      <c r="JH54" s="44">
        <v>0</v>
      </c>
      <c r="JI54" s="50">
        <v>0</v>
      </c>
      <c r="JJ54" s="50">
        <v>0</v>
      </c>
      <c r="JK54" s="44">
        <v>0</v>
      </c>
      <c r="JL54" s="50">
        <v>0</v>
      </c>
      <c r="JM54" s="50">
        <v>0</v>
      </c>
      <c r="JN54" s="44">
        <v>0</v>
      </c>
      <c r="JO54" s="50">
        <v>0</v>
      </c>
      <c r="JP54" s="50">
        <v>0</v>
      </c>
      <c r="JQ54" s="44">
        <v>0</v>
      </c>
      <c r="JR54" s="50">
        <v>0</v>
      </c>
      <c r="JS54" s="50">
        <v>0</v>
      </c>
      <c r="JT54" s="44">
        <v>0</v>
      </c>
      <c r="JU54" s="50">
        <v>0</v>
      </c>
      <c r="JV54" s="50">
        <v>0</v>
      </c>
      <c r="JW54" s="44">
        <v>0</v>
      </c>
      <c r="JX54" s="50">
        <v>0</v>
      </c>
      <c r="JY54" s="50">
        <v>0</v>
      </c>
      <c r="JZ54" s="44">
        <v>0</v>
      </c>
      <c r="KA54" s="50">
        <v>0</v>
      </c>
      <c r="KB54" s="50">
        <v>0</v>
      </c>
      <c r="KC54" s="44">
        <v>0</v>
      </c>
      <c r="KD54" s="50">
        <v>0</v>
      </c>
      <c r="KE54" s="50">
        <v>0</v>
      </c>
      <c r="KF54" s="44">
        <f t="shared" si="78"/>
        <v>7.7169999999999999E-3</v>
      </c>
      <c r="KG54" s="50">
        <f t="shared" si="79"/>
        <v>0</v>
      </c>
      <c r="KH54" s="50">
        <f t="shared" si="4"/>
        <v>7.7169999999999999E-3</v>
      </c>
      <c r="KI54" s="44"/>
      <c r="KJ54" s="44">
        <v>1.1609999999999999E-3</v>
      </c>
      <c r="KK54" s="50">
        <v>0</v>
      </c>
      <c r="KL54" s="50">
        <v>1.1609999999999999E-3</v>
      </c>
      <c r="KM54" s="44">
        <v>0</v>
      </c>
      <c r="KN54" s="50">
        <v>0</v>
      </c>
      <c r="KO54" s="50">
        <v>1.9999999999999999E-6</v>
      </c>
      <c r="KP54" s="44"/>
      <c r="KQ54" s="50"/>
      <c r="KR54" s="50"/>
      <c r="KS54" s="44">
        <v>4.9976E-2</v>
      </c>
      <c r="KT54" s="50">
        <v>0</v>
      </c>
      <c r="KU54" s="50">
        <v>4.9976E-2</v>
      </c>
      <c r="KV54" s="44">
        <v>0</v>
      </c>
      <c r="KW54" s="50">
        <v>0</v>
      </c>
      <c r="KX54" s="50">
        <v>0</v>
      </c>
      <c r="KY54" s="44">
        <v>0</v>
      </c>
      <c r="KZ54" s="50">
        <v>0</v>
      </c>
      <c r="LA54" s="44"/>
      <c r="LB54" s="49">
        <v>0</v>
      </c>
      <c r="LC54" s="90">
        <v>0</v>
      </c>
      <c r="LD54" s="50">
        <v>0</v>
      </c>
      <c r="LE54" s="44">
        <v>0</v>
      </c>
      <c r="LF54" s="44"/>
      <c r="LG54" s="44"/>
      <c r="LH54" s="44">
        <v>0</v>
      </c>
      <c r="LI54" s="50">
        <v>0</v>
      </c>
      <c r="LJ54" s="50">
        <v>0</v>
      </c>
      <c r="LK54" s="44">
        <v>0</v>
      </c>
      <c r="LL54" s="50">
        <v>0</v>
      </c>
      <c r="LM54" s="50">
        <v>0</v>
      </c>
      <c r="LN54" s="44">
        <v>0</v>
      </c>
      <c r="LO54" s="50">
        <v>0</v>
      </c>
      <c r="LP54" s="50">
        <v>0</v>
      </c>
      <c r="LQ54" s="44">
        <v>0</v>
      </c>
      <c r="LR54" s="50">
        <v>0</v>
      </c>
      <c r="LS54" s="50">
        <v>0</v>
      </c>
      <c r="LT54" s="44">
        <f t="shared" si="58"/>
        <v>5.1137000000000002E-2</v>
      </c>
      <c r="LU54" s="50">
        <f t="shared" si="58"/>
        <v>0</v>
      </c>
      <c r="LV54" s="50">
        <f t="shared" si="58"/>
        <v>5.1138999999999997E-2</v>
      </c>
      <c r="LW54" s="50"/>
      <c r="LX54" s="44">
        <v>1.529E-3</v>
      </c>
      <c r="LY54" s="50">
        <v>0</v>
      </c>
      <c r="LZ54" s="50">
        <v>1.529E-3</v>
      </c>
      <c r="MA54" s="44">
        <v>0</v>
      </c>
      <c r="MB54" s="50"/>
      <c r="MC54" s="50">
        <v>0</v>
      </c>
      <c r="MD54" s="44">
        <v>0</v>
      </c>
      <c r="ME54" s="50">
        <v>0</v>
      </c>
      <c r="MF54" s="50"/>
      <c r="MG54" s="44"/>
      <c r="MH54" s="50"/>
      <c r="MI54" s="50">
        <v>0</v>
      </c>
      <c r="MJ54" s="44"/>
      <c r="MK54" s="44"/>
      <c r="ML54" s="50">
        <v>0</v>
      </c>
      <c r="MM54" s="44"/>
      <c r="MN54" s="44"/>
      <c r="MO54" s="44">
        <v>0</v>
      </c>
      <c r="MP54" s="44"/>
      <c r="MQ54" s="44"/>
      <c r="MR54" s="44">
        <v>0</v>
      </c>
      <c r="MS54" s="44"/>
      <c r="MT54" s="44"/>
      <c r="MU54" s="50">
        <v>0</v>
      </c>
      <c r="MV54" s="44"/>
      <c r="MW54" s="44"/>
      <c r="MX54" s="44">
        <v>0</v>
      </c>
      <c r="MY54" s="44"/>
      <c r="MZ54" s="44"/>
      <c r="NA54" s="44">
        <v>0</v>
      </c>
      <c r="NB54" s="44"/>
      <c r="NC54" s="44"/>
      <c r="ND54" s="50">
        <v>0</v>
      </c>
      <c r="NE54" s="44"/>
      <c r="NF54" s="44"/>
      <c r="NG54" s="50">
        <v>0</v>
      </c>
      <c r="NH54" s="44">
        <f t="shared" si="80"/>
        <v>1.529E-3</v>
      </c>
      <c r="NI54" s="50">
        <f t="shared" si="81"/>
        <v>0</v>
      </c>
      <c r="NJ54" s="50">
        <f t="shared" si="76"/>
        <v>1.529E-3</v>
      </c>
      <c r="NK54" s="50"/>
      <c r="NL54" s="50"/>
      <c r="NM54" s="50"/>
      <c r="NN54" s="50">
        <v>0</v>
      </c>
      <c r="NO54" s="50">
        <v>0</v>
      </c>
      <c r="NP54" s="50"/>
      <c r="NQ54" s="50"/>
      <c r="NR54" s="50"/>
      <c r="NS54" s="50"/>
      <c r="NT54" s="50"/>
      <c r="NU54" s="50"/>
      <c r="NV54" s="50"/>
      <c r="NW54" s="50"/>
      <c r="NX54" s="50"/>
      <c r="NY54" s="50"/>
      <c r="NZ54" s="50"/>
      <c r="OA54" s="50"/>
      <c r="OB54" s="50"/>
      <c r="OC54" s="50"/>
      <c r="OD54" s="50"/>
      <c r="OE54" s="50"/>
      <c r="OF54" s="50"/>
      <c r="OG54" s="50"/>
      <c r="OH54" s="50"/>
      <c r="OI54" s="50"/>
      <c r="OJ54" s="50"/>
      <c r="OK54" s="50"/>
      <c r="OL54" s="50"/>
      <c r="OM54" s="50">
        <v>0</v>
      </c>
      <c r="ON54" s="50"/>
      <c r="OO54" s="50"/>
      <c r="OP54" s="50">
        <v>0</v>
      </c>
      <c r="OQ54" s="50"/>
      <c r="OR54" s="50"/>
      <c r="OS54" s="50"/>
      <c r="OT54" s="50"/>
      <c r="OU54" s="50"/>
      <c r="OV54" s="44">
        <f t="shared" si="82"/>
        <v>0</v>
      </c>
      <c r="OW54" s="50">
        <f t="shared" si="83"/>
        <v>0</v>
      </c>
      <c r="OX54" s="50">
        <f t="shared" si="9"/>
        <v>0</v>
      </c>
      <c r="OY54" s="50"/>
      <c r="OZ54" s="50"/>
      <c r="PA54" s="50"/>
      <c r="PB54" s="50"/>
      <c r="PC54" s="50"/>
      <c r="PD54" s="50"/>
      <c r="PE54" s="50"/>
      <c r="PF54" s="50"/>
      <c r="PG54" s="50"/>
      <c r="PH54" s="50"/>
      <c r="PI54" s="50"/>
      <c r="PJ54" s="50"/>
      <c r="PK54" s="50"/>
      <c r="PL54" s="50"/>
      <c r="PM54" s="50"/>
      <c r="PN54" s="50"/>
      <c r="PO54" s="50"/>
      <c r="PP54" s="50"/>
      <c r="PQ54" s="50"/>
      <c r="PR54" s="50"/>
      <c r="PS54" s="50"/>
      <c r="PT54" s="50"/>
      <c r="PU54" s="50"/>
      <c r="PV54" s="50"/>
      <c r="PW54" s="50"/>
      <c r="PX54" s="50"/>
      <c r="PY54" s="50"/>
      <c r="PZ54" s="50"/>
      <c r="QA54" s="50"/>
      <c r="QB54" s="50"/>
      <c r="QC54" s="50"/>
      <c r="QD54" s="50">
        <v>0</v>
      </c>
      <c r="QE54" s="50"/>
      <c r="QF54" s="50"/>
      <c r="QG54" s="50">
        <v>0</v>
      </c>
      <c r="QH54" s="50"/>
      <c r="QI54" s="50"/>
      <c r="QJ54" s="44">
        <f t="shared" si="38"/>
        <v>0</v>
      </c>
      <c r="QK54" s="50">
        <f t="shared" si="39"/>
        <v>0</v>
      </c>
      <c r="QL54" s="50">
        <f t="shared" si="40"/>
        <v>0</v>
      </c>
      <c r="QM54" s="50"/>
      <c r="QN54" s="50"/>
      <c r="QO54" s="50"/>
      <c r="QP54" s="50"/>
      <c r="QQ54" s="50"/>
      <c r="QR54" s="50"/>
      <c r="QS54" s="50"/>
      <c r="QT54" s="50"/>
      <c r="QU54" s="50"/>
      <c r="QV54" s="50"/>
      <c r="QW54" s="50"/>
      <c r="QX54" s="50"/>
      <c r="QY54" s="50"/>
      <c r="QZ54" s="50"/>
      <c r="RA54" s="50"/>
      <c r="RB54" s="50"/>
      <c r="RC54" s="50"/>
      <c r="RD54" s="50"/>
      <c r="RE54" s="50"/>
      <c r="RF54" s="50"/>
      <c r="RG54" s="50"/>
      <c r="RH54" s="50"/>
      <c r="RI54" s="50"/>
      <c r="RJ54" s="50"/>
      <c r="RK54" s="50"/>
      <c r="RL54" s="50"/>
      <c r="RM54" s="50"/>
      <c r="RN54" s="50"/>
      <c r="RO54" s="50"/>
      <c r="RP54" s="50"/>
      <c r="RQ54" s="50"/>
      <c r="RR54" s="50"/>
      <c r="RS54" s="50"/>
      <c r="RT54" s="50"/>
      <c r="RU54" s="50"/>
      <c r="RV54" s="50"/>
      <c r="RW54" s="50"/>
      <c r="RX54" s="44">
        <f t="shared" si="41"/>
        <v>0</v>
      </c>
      <c r="RY54" s="50">
        <f t="shared" si="42"/>
        <v>0</v>
      </c>
      <c r="RZ54" s="50">
        <f t="shared" si="43"/>
        <v>0</v>
      </c>
      <c r="SA54" s="50"/>
      <c r="SB54" s="50"/>
      <c r="SC54" s="50"/>
      <c r="SD54" s="50"/>
      <c r="SE54" s="50"/>
      <c r="SF54" s="50"/>
      <c r="SG54" s="50"/>
      <c r="SH54" s="50"/>
      <c r="SI54" s="50"/>
      <c r="SJ54" s="50"/>
      <c r="SK54" s="50"/>
      <c r="SL54" s="50"/>
      <c r="SM54" s="50"/>
      <c r="SN54" s="50"/>
      <c r="SO54" s="50"/>
      <c r="SP54" s="50"/>
      <c r="SQ54" s="50"/>
      <c r="SR54" s="50"/>
      <c r="SS54" s="50"/>
      <c r="ST54" s="50"/>
      <c r="SU54" s="50"/>
      <c r="SV54" s="50"/>
      <c r="SW54" s="50"/>
      <c r="SX54" s="50"/>
      <c r="SY54" s="50"/>
      <c r="SZ54" s="50"/>
      <c r="TA54" s="50"/>
      <c r="TB54" s="50"/>
      <c r="TC54" s="50"/>
      <c r="TD54" s="50"/>
      <c r="TE54" s="50"/>
      <c r="TF54" s="50"/>
      <c r="TG54" s="50"/>
      <c r="TH54" s="50"/>
      <c r="TI54" s="50"/>
      <c r="TJ54" s="50"/>
      <c r="TK54" s="50"/>
      <c r="TL54" s="44">
        <f t="shared" si="45"/>
        <v>0</v>
      </c>
      <c r="TM54" s="50">
        <f t="shared" si="46"/>
        <v>0</v>
      </c>
      <c r="TN54" s="50">
        <f t="shared" si="47"/>
        <v>0</v>
      </c>
      <c r="TO54" s="50"/>
      <c r="TP54" s="50"/>
      <c r="TQ54" s="50"/>
      <c r="TR54" s="50"/>
      <c r="TS54" s="50"/>
      <c r="TT54" s="50"/>
      <c r="TU54" s="50">
        <v>0</v>
      </c>
      <c r="TV54" s="50"/>
      <c r="TW54" s="50"/>
      <c r="TX54" s="50">
        <f t="shared" si="49"/>
        <v>0</v>
      </c>
      <c r="TY54" s="50"/>
      <c r="TZ54" s="50"/>
      <c r="UA54" s="50"/>
      <c r="UB54" s="50"/>
      <c r="UC54" s="50"/>
      <c r="UD54" s="50"/>
      <c r="UE54" s="50"/>
      <c r="UF54" s="50"/>
      <c r="UG54" s="50"/>
      <c r="UH54" s="50"/>
      <c r="UI54" s="50"/>
      <c r="UJ54" s="50"/>
      <c r="UK54" s="50"/>
      <c r="UL54" s="50"/>
      <c r="UM54" s="50"/>
      <c r="UN54" s="50"/>
      <c r="UO54" s="50"/>
      <c r="UP54" s="50"/>
      <c r="UQ54" s="50"/>
      <c r="UR54" s="50"/>
      <c r="US54" s="50"/>
      <c r="UT54" s="50"/>
      <c r="UU54" s="50"/>
      <c r="UV54" s="50"/>
      <c r="UW54" s="50"/>
      <c r="UX54" s="50"/>
      <c r="UY54" s="292">
        <f t="shared" si="50"/>
        <v>0</v>
      </c>
      <c r="UZ54" s="276">
        <f t="shared" si="51"/>
        <v>0</v>
      </c>
      <c r="VA54" s="276">
        <f t="shared" si="52"/>
        <v>0</v>
      </c>
      <c r="VB54" s="292">
        <f t="shared" si="53"/>
        <v>0</v>
      </c>
      <c r="VC54" s="276">
        <f t="shared" si="54"/>
        <v>0</v>
      </c>
      <c r="VD54" s="276">
        <f t="shared" si="55"/>
        <v>0</v>
      </c>
      <c r="VE54" s="277">
        <f t="shared" si="56"/>
        <v>0</v>
      </c>
      <c r="VF54" s="277" t="e">
        <f t="shared" si="57"/>
        <v>#DIV/0!</v>
      </c>
    </row>
    <row r="55" spans="1:578" s="12" customFormat="1" ht="20.25" hidden="1" customHeight="1">
      <c r="A55" s="42" t="s">
        <v>178</v>
      </c>
      <c r="B55" s="13" t="s">
        <v>94</v>
      </c>
      <c r="C55" s="42" t="s">
        <v>179</v>
      </c>
      <c r="D55" s="42">
        <v>7.7932111940171092E-2</v>
      </c>
      <c r="E55" s="49" t="s">
        <v>46</v>
      </c>
      <c r="F55" s="49">
        <v>0.26980210698857721</v>
      </c>
      <c r="G55" s="49">
        <v>0.30696751868230687</v>
      </c>
      <c r="H55" s="49">
        <v>1.0303014780792369E-2</v>
      </c>
      <c r="I55" s="49">
        <v>3.0420999311330048E-3</v>
      </c>
      <c r="J55" s="49">
        <v>1.6337414129686229E-2</v>
      </c>
      <c r="K55" s="49">
        <v>5.9722198507692038E-2</v>
      </c>
      <c r="L55" s="49">
        <v>7.6847883620468863E-2</v>
      </c>
      <c r="M55" s="49">
        <v>-2.5896266953517625E-3</v>
      </c>
      <c r="N55" s="49">
        <v>9.2401295382496407E-3</v>
      </c>
      <c r="O55" s="49">
        <v>0.14654441352069711</v>
      </c>
      <c r="P55" s="49">
        <v>9.2398449638875127E-2</v>
      </c>
      <c r="Q55" s="49">
        <v>4.9356577367231827E-2</v>
      </c>
      <c r="R55" s="49">
        <v>2.2704765482268172E-2</v>
      </c>
      <c r="S55" s="49">
        <v>7.3416044871685422</v>
      </c>
      <c r="T55" s="49">
        <v>7.825511806990284</v>
      </c>
      <c r="U55" s="49">
        <v>0</v>
      </c>
      <c r="V55" s="49">
        <v>7.825511806990284</v>
      </c>
      <c r="W55" s="49">
        <v>22.043821606023872</v>
      </c>
      <c r="X55" s="49">
        <v>1.2524117677190225E-2</v>
      </c>
      <c r="Y55" s="49">
        <v>4.7744463605784833E-2</v>
      </c>
      <c r="Z55" s="49">
        <v>1.6459781105400653E-2</v>
      </c>
      <c r="AA55" s="49">
        <v>2.3420470003016489E-2</v>
      </c>
      <c r="AB55" s="49">
        <v>-7.498534442035049E-4</v>
      </c>
      <c r="AC55" s="49">
        <v>7.1674321717007869E-2</v>
      </c>
      <c r="AD55" s="49">
        <v>4.2045862004200317E-2</v>
      </c>
      <c r="AE55" s="49">
        <v>-0.20166077597737064</v>
      </c>
      <c r="AF55" s="49">
        <v>-4.6186418973141871E-3</v>
      </c>
      <c r="AG55" s="49">
        <v>7.3277898247591086E-4</v>
      </c>
      <c r="AH55" s="49">
        <v>8.1815129111388097E-4</v>
      </c>
      <c r="AI55" s="49">
        <v>3.6736586587441167</v>
      </c>
      <c r="AJ55" s="49">
        <v>3.6806734167705364</v>
      </c>
      <c r="AK55" s="49">
        <v>0</v>
      </c>
      <c r="AL55" s="49">
        <v>3.6820493338114186</v>
      </c>
      <c r="AM55" s="49">
        <v>1.2978013784782102E-2</v>
      </c>
      <c r="AN55" s="49">
        <v>4.8662215923643012E-4</v>
      </c>
      <c r="AO55" s="49">
        <v>9.5901560036653179E-4</v>
      </c>
      <c r="AP55" s="49">
        <v>1.2820075013801858E-3</v>
      </c>
      <c r="AQ55" s="49">
        <v>1.7387493525933264E-3</v>
      </c>
      <c r="AR55" s="49">
        <v>8.3238000922020942E-4</v>
      </c>
      <c r="AS55" s="49">
        <v>2.3761959237568369E-3</v>
      </c>
      <c r="AT55" s="49">
        <v>0.21509553161336589</v>
      </c>
      <c r="AU55" s="49">
        <v>7.896938549012242E-4</v>
      </c>
      <c r="AV55" s="49">
        <v>2.134307715949255E-3</v>
      </c>
      <c r="AW55" s="49">
        <v>4.8622489342690143</v>
      </c>
      <c r="AX55" s="49">
        <v>2.273749153391273E-3</v>
      </c>
      <c r="AY55" s="49">
        <v>0.17465324613974881</v>
      </c>
      <c r="AZ55" s="49">
        <v>5.2648704332929235</v>
      </c>
      <c r="BA55" s="49">
        <v>0</v>
      </c>
      <c r="BB55" s="44">
        <v>5.2648704332929235</v>
      </c>
      <c r="BC55" s="44">
        <v>2.1232093158263184E-2</v>
      </c>
      <c r="BD55" s="52">
        <f>BF55-BE55</f>
        <v>1.2999999999999999E-5</v>
      </c>
      <c r="BE55" s="49">
        <v>0</v>
      </c>
      <c r="BF55" s="44">
        <v>1.2999999999999999E-5</v>
      </c>
      <c r="BG55" s="44">
        <f>BI55-BH55</f>
        <v>3.3000000000005247E-5</v>
      </c>
      <c r="BH55" s="49">
        <v>0</v>
      </c>
      <c r="BI55" s="44">
        <v>3.3000000000005247E-5</v>
      </c>
      <c r="BJ55" s="52">
        <f>BL55-BK55</f>
        <v>1.37E-4</v>
      </c>
      <c r="BK55" s="49"/>
      <c r="BL55" s="44">
        <v>1.37E-4</v>
      </c>
      <c r="BM55" s="52">
        <f>BO55-BN55</f>
        <v>6.4999999999999994E-5</v>
      </c>
      <c r="BN55" s="49"/>
      <c r="BO55" s="44">
        <v>6.4999999999999994E-5</v>
      </c>
      <c r="BP55" s="52">
        <f>BR55-BQ55</f>
        <v>6.8999999999999997E-5</v>
      </c>
      <c r="BQ55" s="49"/>
      <c r="BR55" s="44">
        <v>6.8999999999999997E-5</v>
      </c>
      <c r="BS55" s="52">
        <f>BU55-BT55</f>
        <v>6.7100000000008819E-4</v>
      </c>
      <c r="BT55" s="49"/>
      <c r="BU55" s="44">
        <v>6.7100000000008819E-4</v>
      </c>
      <c r="BV55" s="52">
        <f>BX55-BW55</f>
        <v>2.6999999999999999E-5</v>
      </c>
      <c r="BW55" s="49"/>
      <c r="BX55" s="44">
        <v>2.6999999999999999E-5</v>
      </c>
      <c r="BY55" s="52">
        <f>CA55-BZ55</f>
        <v>7.8000000000022496E-5</v>
      </c>
      <c r="BZ55" s="49"/>
      <c r="CA55" s="44">
        <v>7.8000000000022496E-5</v>
      </c>
      <c r="CB55" s="52">
        <f>CD55-CC55</f>
        <v>6.9999999999999994E-5</v>
      </c>
      <c r="CC55" s="49"/>
      <c r="CD55" s="44">
        <v>6.9999999999999994E-5</v>
      </c>
      <c r="CE55" s="52">
        <f>CG55-CF55</f>
        <v>9.5000000000000005E-5</v>
      </c>
      <c r="CF55" s="49"/>
      <c r="CG55" s="44">
        <v>9.5000000000000005E-5</v>
      </c>
      <c r="CH55" s="52">
        <f>CJ55-CI55</f>
        <v>3.5E-4</v>
      </c>
      <c r="CI55" s="49"/>
      <c r="CJ55" s="44">
        <v>3.5E-4</v>
      </c>
      <c r="CK55" s="52">
        <f>CM55-CL55</f>
        <v>7.476E-3</v>
      </c>
      <c r="CL55" s="49"/>
      <c r="CM55" s="44">
        <v>7.476E-3</v>
      </c>
      <c r="CN55" s="50">
        <f>BD55+BG55+BJ55+BM55+BP55+BS55+BV55+BY55+CB55+CE55+CH55+CK55</f>
        <v>9.0840000000001163E-3</v>
      </c>
      <c r="CO55" s="50"/>
      <c r="CP55" s="50">
        <f t="shared" si="21"/>
        <v>9.0840000000001163E-3</v>
      </c>
      <c r="CQ55" s="44">
        <v>8.6689999999999996E-3</v>
      </c>
      <c r="CR55" s="52">
        <f>CT55-CS55</f>
        <v>0</v>
      </c>
      <c r="CS55" s="49"/>
      <c r="CT55" s="44"/>
      <c r="CU55" s="52">
        <v>0</v>
      </c>
      <c r="CV55" s="49"/>
      <c r="CW55" s="44">
        <v>0</v>
      </c>
      <c r="CX55" s="52">
        <v>1.9999999999999999E-6</v>
      </c>
      <c r="CY55" s="49"/>
      <c r="CZ55" s="44">
        <v>1.9999999999999999E-6</v>
      </c>
      <c r="DA55" s="52">
        <v>2.1499999999999999E-4</v>
      </c>
      <c r="DB55" s="49"/>
      <c r="DC55" s="44">
        <v>2.1499999999999999E-4</v>
      </c>
      <c r="DD55" s="52">
        <v>6.0000000000000002E-6</v>
      </c>
      <c r="DE55" s="49"/>
      <c r="DF55" s="44">
        <v>6.0000000000000002E-6</v>
      </c>
      <c r="DG55" s="52">
        <v>1.02E-4</v>
      </c>
      <c r="DH55" s="49"/>
      <c r="DI55" s="44">
        <v>1.02E-4</v>
      </c>
      <c r="DJ55" s="52">
        <v>6.7000000000000002E-5</v>
      </c>
      <c r="DK55" s="49"/>
      <c r="DL55" s="44">
        <v>6.7000000000000002E-5</v>
      </c>
      <c r="DM55" s="52">
        <v>1.16E-4</v>
      </c>
      <c r="DN55" s="49"/>
      <c r="DO55" s="44">
        <v>1.16E-4</v>
      </c>
      <c r="DP55" s="52">
        <v>0</v>
      </c>
      <c r="DQ55" s="49"/>
      <c r="DR55" s="44">
        <v>0</v>
      </c>
      <c r="DS55" s="52">
        <v>7.6000000000000004E-5</v>
      </c>
      <c r="DT55" s="49"/>
      <c r="DU55" s="44">
        <v>7.6000000000000004E-5</v>
      </c>
      <c r="DV55" s="52">
        <v>2.0000000000000002E-5</v>
      </c>
      <c r="DW55" s="49"/>
      <c r="DX55" s="44">
        <v>2.0000000000000002E-5</v>
      </c>
      <c r="DY55" s="52">
        <v>2.0900000000000001E-4</v>
      </c>
      <c r="DZ55" s="49"/>
      <c r="EA55" s="44">
        <v>2.0900000000000001E-4</v>
      </c>
      <c r="EB55" s="44">
        <f t="shared" si="22"/>
        <v>8.1300000000000003E-4</v>
      </c>
      <c r="EC55" s="44">
        <f t="shared" si="23"/>
        <v>0</v>
      </c>
      <c r="ED55" s="44">
        <f t="shared" si="24"/>
        <v>8.1300000000000003E-4</v>
      </c>
      <c r="EE55" s="140">
        <v>8.8199999999999997E-4</v>
      </c>
      <c r="EF55" s="44">
        <v>0</v>
      </c>
      <c r="EG55" s="44"/>
      <c r="EH55" s="44">
        <v>0</v>
      </c>
      <c r="EI55" s="44">
        <v>4.8999999999999998E-5</v>
      </c>
      <c r="EJ55" s="44"/>
      <c r="EK55" s="44">
        <v>4.8999999999999998E-5</v>
      </c>
      <c r="EL55" s="44">
        <v>9.9999999999999995E-7</v>
      </c>
      <c r="EM55" s="44"/>
      <c r="EN55" s="44">
        <v>9.9999999999999995E-7</v>
      </c>
      <c r="EO55" s="44">
        <v>1.5E-5</v>
      </c>
      <c r="EP55" s="44"/>
      <c r="EQ55" s="44">
        <v>1.5E-5</v>
      </c>
      <c r="ER55" s="44">
        <v>0</v>
      </c>
      <c r="ES55" s="44"/>
      <c r="ET55" s="44">
        <v>0</v>
      </c>
      <c r="EU55" s="44">
        <v>6.0000000000000002E-5</v>
      </c>
      <c r="EV55" s="44"/>
      <c r="EW55" s="44">
        <v>6.0000000000000002E-5</v>
      </c>
      <c r="EX55" s="44">
        <v>-4.3000000000000002E-5</v>
      </c>
      <c r="EY55" s="44"/>
      <c r="EZ55" s="44">
        <v>-4.3000000000000002E-5</v>
      </c>
      <c r="FA55" s="44">
        <v>-1.7E-5</v>
      </c>
      <c r="FB55" s="44"/>
      <c r="FC55" s="44">
        <v>-1.7E-5</v>
      </c>
      <c r="FD55" s="44">
        <v>2.5999999999999998E-5</v>
      </c>
      <c r="FE55" s="44"/>
      <c r="FF55" s="44">
        <v>2.5999999999999998E-5</v>
      </c>
      <c r="FG55" s="44">
        <v>2.3900000000000001E-4</v>
      </c>
      <c r="FH55" s="44"/>
      <c r="FI55" s="44">
        <v>2.3900000000000001E-4</v>
      </c>
      <c r="FJ55" s="44">
        <v>-2.3900000000000001E-4</v>
      </c>
      <c r="FK55" s="44"/>
      <c r="FL55" s="44">
        <v>-2.3900000000000001E-4</v>
      </c>
      <c r="FM55" s="44">
        <v>0</v>
      </c>
      <c r="FN55" s="44">
        <v>0</v>
      </c>
      <c r="FO55" s="44">
        <v>0</v>
      </c>
      <c r="FP55" s="44">
        <f t="shared" si="25"/>
        <v>9.0999999999999989E-5</v>
      </c>
      <c r="FQ55" s="44">
        <f t="shared" si="26"/>
        <v>0</v>
      </c>
      <c r="FR55" s="44">
        <f t="shared" si="27"/>
        <v>9.0999999999999989E-5</v>
      </c>
      <c r="FS55" s="95">
        <v>4.4856E-2</v>
      </c>
      <c r="FT55" s="44">
        <v>0</v>
      </c>
      <c r="FU55" s="44">
        <v>0</v>
      </c>
      <c r="FV55" s="44">
        <v>0</v>
      </c>
      <c r="FW55" s="44">
        <v>0</v>
      </c>
      <c r="FX55" s="44">
        <v>0</v>
      </c>
      <c r="FY55" s="44">
        <v>0</v>
      </c>
      <c r="FZ55" s="44">
        <v>0</v>
      </c>
      <c r="GA55" s="44"/>
      <c r="GB55" s="44">
        <v>0</v>
      </c>
      <c r="GC55" s="44">
        <v>0</v>
      </c>
      <c r="GD55" s="44"/>
      <c r="GE55" s="44">
        <v>0</v>
      </c>
      <c r="GF55" s="44">
        <v>0</v>
      </c>
      <c r="GG55" s="44"/>
      <c r="GH55" s="44">
        <v>0</v>
      </c>
      <c r="GI55" s="44">
        <v>-9.9999999999999995E-7</v>
      </c>
      <c r="GJ55" s="44">
        <v>0</v>
      </c>
      <c r="GK55" s="44">
        <v>-9.9999999999999995E-7</v>
      </c>
      <c r="GL55" s="44">
        <v>3.5000000000000001E-3</v>
      </c>
      <c r="GM55" s="44">
        <v>0</v>
      </c>
      <c r="GN55" s="44">
        <v>0</v>
      </c>
      <c r="GO55" s="44">
        <v>0</v>
      </c>
      <c r="GP55" s="44">
        <v>0</v>
      </c>
      <c r="GQ55" s="44">
        <v>0</v>
      </c>
      <c r="GR55" s="44"/>
      <c r="GS55" s="44"/>
      <c r="GT55" s="44">
        <v>0</v>
      </c>
      <c r="GU55" s="44"/>
      <c r="GV55" s="44"/>
      <c r="GW55" s="44">
        <v>3.4999999999999997E-5</v>
      </c>
      <c r="GX55" s="44"/>
      <c r="GY55" s="44"/>
      <c r="GZ55" s="44">
        <v>0</v>
      </c>
      <c r="HA55" s="44"/>
      <c r="HB55" s="44"/>
      <c r="HC55" s="44">
        <v>3.7800000000000003E-4</v>
      </c>
      <c r="HD55" s="44">
        <f t="shared" si="28"/>
        <v>3.4989999999999999E-3</v>
      </c>
      <c r="HE55" s="44">
        <f t="shared" si="29"/>
        <v>0</v>
      </c>
      <c r="HF55" s="44">
        <f t="shared" si="30"/>
        <v>4.1200000000000004E-4</v>
      </c>
      <c r="HG55" s="44">
        <v>5.0000000000000002E-5</v>
      </c>
      <c r="HH55" s="44"/>
      <c r="HI55" s="44"/>
      <c r="HJ55" s="44">
        <v>0</v>
      </c>
      <c r="HK55" s="44">
        <v>0</v>
      </c>
      <c r="HL55" s="44">
        <v>0</v>
      </c>
      <c r="HM55" s="44">
        <v>0</v>
      </c>
      <c r="HN55" s="44">
        <v>0</v>
      </c>
      <c r="HO55" s="44">
        <v>0</v>
      </c>
      <c r="HP55" s="44">
        <v>0</v>
      </c>
      <c r="HQ55" s="44">
        <v>2.0000000000000002E-5</v>
      </c>
      <c r="HR55" s="44">
        <v>0</v>
      </c>
      <c r="HS55" s="44">
        <v>2.0000000000000002E-5</v>
      </c>
      <c r="HT55" s="44">
        <v>0</v>
      </c>
      <c r="HU55" s="44">
        <v>0</v>
      </c>
      <c r="HV55" s="44">
        <v>0</v>
      </c>
      <c r="HW55" s="44">
        <v>1.27E-4</v>
      </c>
      <c r="HX55" s="44">
        <v>0</v>
      </c>
      <c r="HY55" s="44">
        <v>1.27E-4</v>
      </c>
      <c r="HZ55" s="44">
        <v>-1.1E-5</v>
      </c>
      <c r="IA55" s="44">
        <v>0</v>
      </c>
      <c r="IB55" s="44">
        <v>-1.1E-5</v>
      </c>
      <c r="IC55" s="44">
        <v>0</v>
      </c>
      <c r="ID55" s="44">
        <v>0</v>
      </c>
      <c r="IE55" s="44">
        <v>0</v>
      </c>
      <c r="IF55" s="44">
        <v>0</v>
      </c>
      <c r="IG55" s="44">
        <v>0</v>
      </c>
      <c r="IH55" s="44">
        <v>0</v>
      </c>
      <c r="II55" s="44">
        <v>7.6000000000000004E-5</v>
      </c>
      <c r="IJ55" s="44">
        <v>0</v>
      </c>
      <c r="IK55" s="44">
        <v>7.6000000000000004E-5</v>
      </c>
      <c r="IL55" s="44">
        <v>9.9999999999999995E-7</v>
      </c>
      <c r="IM55" s="44">
        <v>0</v>
      </c>
      <c r="IN55" s="44">
        <v>9.9999999999999995E-7</v>
      </c>
      <c r="IO55" s="44">
        <v>4.1999999999999998E-5</v>
      </c>
      <c r="IP55" s="44">
        <v>0</v>
      </c>
      <c r="IQ55" s="44">
        <v>4.1999999999999998E-5</v>
      </c>
      <c r="IR55" s="44">
        <f t="shared" si="71"/>
        <v>2.5500000000000002E-4</v>
      </c>
      <c r="IS55" s="50">
        <f t="shared" si="72"/>
        <v>0</v>
      </c>
      <c r="IT55" s="50">
        <f t="shared" si="70"/>
        <v>2.5500000000000002E-4</v>
      </c>
      <c r="IU55" s="44">
        <v>1.9269000000000001E-2</v>
      </c>
      <c r="IV55" s="44">
        <v>0</v>
      </c>
      <c r="IW55" s="50">
        <v>0</v>
      </c>
      <c r="IX55" s="50">
        <v>0</v>
      </c>
      <c r="IY55" s="44">
        <v>0</v>
      </c>
      <c r="IZ55" s="50">
        <v>0</v>
      </c>
      <c r="JA55" s="50">
        <v>0</v>
      </c>
      <c r="JB55" s="44">
        <v>0</v>
      </c>
      <c r="JC55" s="50">
        <v>0</v>
      </c>
      <c r="JD55" s="50">
        <v>0</v>
      </c>
      <c r="JE55" s="44">
        <v>0</v>
      </c>
      <c r="JF55" s="50">
        <v>0</v>
      </c>
      <c r="JG55" s="50">
        <v>0</v>
      </c>
      <c r="JH55" s="44">
        <v>9.9999999999999995E-7</v>
      </c>
      <c r="JI55" s="50">
        <v>0</v>
      </c>
      <c r="JJ55" s="50">
        <v>9.9999999999999995E-7</v>
      </c>
      <c r="JK55" s="44">
        <v>0</v>
      </c>
      <c r="JL55" s="50">
        <v>0</v>
      </c>
      <c r="JM55" s="50">
        <v>0</v>
      </c>
      <c r="JN55" s="44">
        <v>0</v>
      </c>
      <c r="JO55" s="50">
        <v>0</v>
      </c>
      <c r="JP55" s="50">
        <v>0</v>
      </c>
      <c r="JQ55" s="44">
        <v>0</v>
      </c>
      <c r="JR55" s="50">
        <v>0</v>
      </c>
      <c r="JS55" s="50">
        <v>0</v>
      </c>
      <c r="JT55" s="44">
        <v>5.1699999999999999E-4</v>
      </c>
      <c r="JU55" s="50">
        <v>0</v>
      </c>
      <c r="JV55" s="50">
        <v>5.1699999999999999E-4</v>
      </c>
      <c r="JW55" s="44">
        <v>4.7520000000000001E-3</v>
      </c>
      <c r="JX55" s="50">
        <v>0</v>
      </c>
      <c r="JY55" s="50">
        <v>4.7520000000000001E-3</v>
      </c>
      <c r="JZ55" s="44">
        <v>0.72238100000000005</v>
      </c>
      <c r="KA55" s="50">
        <v>0</v>
      </c>
      <c r="KB55" s="50">
        <v>0.72238100000000005</v>
      </c>
      <c r="KC55" s="44">
        <v>0.12550800000000001</v>
      </c>
      <c r="KD55" s="50">
        <v>0</v>
      </c>
      <c r="KE55" s="50">
        <v>0.12550800000000001</v>
      </c>
      <c r="KF55" s="44">
        <f t="shared" si="78"/>
        <v>0.853159</v>
      </c>
      <c r="KG55" s="50">
        <f t="shared" si="79"/>
        <v>0</v>
      </c>
      <c r="KH55" s="50">
        <f t="shared" si="4"/>
        <v>0.853159</v>
      </c>
      <c r="KI55" s="44">
        <v>0.97037499999999999</v>
      </c>
      <c r="KJ55" s="44">
        <v>0</v>
      </c>
      <c r="KK55" s="50">
        <v>0</v>
      </c>
      <c r="KL55" s="50">
        <v>0</v>
      </c>
      <c r="KM55" s="44">
        <v>0</v>
      </c>
      <c r="KO55" s="42">
        <v>1.9999999999999999E-6</v>
      </c>
      <c r="KP55" s="44">
        <v>4.9976E-2</v>
      </c>
      <c r="KQ55" s="44">
        <v>0</v>
      </c>
      <c r="KR55" s="50">
        <v>4.9976E-2</v>
      </c>
      <c r="KS55" s="50"/>
      <c r="KT55" s="50">
        <v>0</v>
      </c>
      <c r="KU55" s="50"/>
      <c r="KV55" s="44">
        <v>0</v>
      </c>
      <c r="KW55" s="50"/>
      <c r="KX55" s="44">
        <v>0</v>
      </c>
      <c r="KY55" s="44">
        <v>0</v>
      </c>
      <c r="LA55" s="44">
        <v>0</v>
      </c>
      <c r="LB55" s="49">
        <v>0</v>
      </c>
      <c r="LC55" s="44"/>
      <c r="LD55" s="50">
        <v>0</v>
      </c>
      <c r="LE55" s="44"/>
      <c r="LF55" s="183"/>
      <c r="LG55" s="44"/>
      <c r="LH55" s="44"/>
      <c r="LI55" s="50"/>
      <c r="LJ55" s="50"/>
      <c r="LK55" s="44">
        <v>1.4843E-2</v>
      </c>
      <c r="LL55" s="50">
        <v>0</v>
      </c>
      <c r="LM55" s="50">
        <v>1.4843E-2</v>
      </c>
      <c r="LN55" s="44"/>
      <c r="LO55" s="50"/>
      <c r="LP55" s="50"/>
      <c r="LQ55" s="44">
        <v>-4.9912999999999999E-2</v>
      </c>
      <c r="LR55" s="50">
        <v>0</v>
      </c>
      <c r="LS55" s="50">
        <v>-4.9912999999999999E-2</v>
      </c>
      <c r="LT55" s="44">
        <f t="shared" si="58"/>
        <v>1.4906000000000003E-2</v>
      </c>
      <c r="LU55" s="50">
        <f t="shared" si="58"/>
        <v>0</v>
      </c>
      <c r="LV55" s="50">
        <f t="shared" si="58"/>
        <v>1.4908000000000005E-2</v>
      </c>
      <c r="LW55" s="50">
        <v>1.4845000000000001E-2</v>
      </c>
      <c r="LX55" s="44"/>
      <c r="LY55" s="50"/>
      <c r="LZ55" s="50"/>
      <c r="MA55" s="44">
        <v>4.6E-5</v>
      </c>
      <c r="MB55" s="50">
        <v>0</v>
      </c>
      <c r="MC55" s="44">
        <v>4.6E-5</v>
      </c>
      <c r="MD55" s="44">
        <v>-4.6E-5</v>
      </c>
      <c r="ME55" s="50">
        <v>0</v>
      </c>
      <c r="MF55" s="50">
        <v>-4.6E-5</v>
      </c>
      <c r="MG55" s="44">
        <v>5.1999999999999997E-5</v>
      </c>
      <c r="MH55" s="50">
        <v>0</v>
      </c>
      <c r="MI55" s="50">
        <v>5.1999999999999997E-5</v>
      </c>
      <c r="MJ55" s="44">
        <v>0</v>
      </c>
      <c r="MK55" s="44">
        <v>0</v>
      </c>
      <c r="ML55" s="50">
        <v>0</v>
      </c>
      <c r="MM55" s="44">
        <v>1.5300000000000001E-4</v>
      </c>
      <c r="MN55" s="44">
        <v>0</v>
      </c>
      <c r="MO55" s="44">
        <v>1.5300000000000001E-4</v>
      </c>
      <c r="MP55" s="44">
        <v>1.46E-4</v>
      </c>
      <c r="MQ55" s="44">
        <v>0</v>
      </c>
      <c r="MR55" s="44">
        <v>1.46E-4</v>
      </c>
      <c r="MS55" s="44">
        <v>-2.8899999999999998E-4</v>
      </c>
      <c r="MT55" s="44">
        <v>0</v>
      </c>
      <c r="MU55" s="50">
        <v>-2.8899999999999998E-4</v>
      </c>
      <c r="MV55" s="44">
        <v>0</v>
      </c>
      <c r="MW55" s="44">
        <v>0</v>
      </c>
      <c r="MX55" s="44">
        <v>0</v>
      </c>
      <c r="MY55" s="44">
        <v>0</v>
      </c>
      <c r="MZ55" s="44">
        <v>0</v>
      </c>
      <c r="NA55" s="183"/>
      <c r="NB55" s="44">
        <v>1.0000000000000001E-5</v>
      </c>
      <c r="NC55" s="44">
        <v>0</v>
      </c>
      <c r="ND55" s="50">
        <v>1.0000000000000001E-5</v>
      </c>
      <c r="NE55" s="44">
        <v>0</v>
      </c>
      <c r="NF55" s="44">
        <v>0</v>
      </c>
      <c r="NG55" s="50">
        <v>0</v>
      </c>
      <c r="NH55" s="44">
        <f t="shared" si="80"/>
        <v>7.1999999999999988E-5</v>
      </c>
      <c r="NI55" s="50">
        <f t="shared" si="81"/>
        <v>0</v>
      </c>
      <c r="NJ55" s="50">
        <f t="shared" si="76"/>
        <v>7.1999999999999988E-5</v>
      </c>
      <c r="NK55" s="50">
        <v>5.0000000000000002E-5</v>
      </c>
      <c r="NL55" s="50"/>
      <c r="NM55" s="50"/>
      <c r="NN55" s="50"/>
      <c r="NO55" s="50">
        <v>0</v>
      </c>
      <c r="NP55" s="50"/>
      <c r="NQ55" s="50">
        <v>0</v>
      </c>
      <c r="NR55" s="50"/>
      <c r="NS55" s="50"/>
      <c r="NT55" s="50"/>
      <c r="NU55" s="50">
        <v>6.9999999999999999E-6</v>
      </c>
      <c r="NV55" s="50"/>
      <c r="NW55" s="50">
        <v>6.9999999999999999E-6</v>
      </c>
      <c r="NX55" s="50">
        <v>-3.9999999999999998E-6</v>
      </c>
      <c r="NY55" s="50"/>
      <c r="NZ55" s="50">
        <v>-3.9999999999999998E-6</v>
      </c>
      <c r="OA55" s="50">
        <v>1.5E-5</v>
      </c>
      <c r="OB55" s="50"/>
      <c r="OC55" s="50">
        <v>1.5E-5</v>
      </c>
      <c r="OD55" s="50"/>
      <c r="OE55" s="50"/>
      <c r="OF55" s="50"/>
      <c r="OG55" s="50"/>
      <c r="OH55" s="50"/>
      <c r="OI55" s="50"/>
      <c r="OJ55" s="50"/>
      <c r="OK55" s="50"/>
      <c r="OL55" s="50"/>
      <c r="OM55" s="50">
        <v>0</v>
      </c>
      <c r="ON55" s="50"/>
      <c r="OO55" s="50"/>
      <c r="OP55" s="50">
        <v>5.0000000000000004E-6</v>
      </c>
      <c r="OQ55" s="50"/>
      <c r="OR55" s="50">
        <v>5.0000000000000004E-6</v>
      </c>
      <c r="OS55" s="50">
        <v>-5.0000000000000004E-6</v>
      </c>
      <c r="OT55" s="50"/>
      <c r="OU55" s="50">
        <v>-5.0000000000000004E-6</v>
      </c>
      <c r="OV55" s="44">
        <f t="shared" si="82"/>
        <v>1.8E-5</v>
      </c>
      <c r="OW55" s="50">
        <f t="shared" si="83"/>
        <v>0</v>
      </c>
      <c r="OX55" s="50">
        <f t="shared" si="9"/>
        <v>1.8E-5</v>
      </c>
      <c r="OY55" s="50">
        <v>0</v>
      </c>
      <c r="OZ55" s="50">
        <v>6.0000000000000002E-6</v>
      </c>
      <c r="PA55" s="50"/>
      <c r="PB55" s="50">
        <v>6.0000000000000002E-6</v>
      </c>
      <c r="PC55" s="50">
        <v>-6.0000000000000002E-6</v>
      </c>
      <c r="PD55" s="50"/>
      <c r="PE55" s="50">
        <v>-6.0000000000000002E-6</v>
      </c>
      <c r="PF55" s="85">
        <v>0</v>
      </c>
      <c r="PG55" s="50"/>
      <c r="PH55" s="50"/>
      <c r="PI55" s="50">
        <v>7.1000000000000005E-5</v>
      </c>
      <c r="PJ55" s="50"/>
      <c r="PK55" s="50">
        <v>7.1000000000000005E-5</v>
      </c>
      <c r="PL55" s="50"/>
      <c r="PM55" s="50"/>
      <c r="PN55" s="50"/>
      <c r="PO55" s="50"/>
      <c r="PP55" s="50"/>
      <c r="PQ55" s="50"/>
      <c r="PR55" s="50">
        <v>3.0000000000000001E-5</v>
      </c>
      <c r="PS55" s="50"/>
      <c r="PT55" s="50">
        <v>3.0000000000000001E-5</v>
      </c>
      <c r="PU55" s="50">
        <v>-2.0000000000000002E-5</v>
      </c>
      <c r="PV55" s="50"/>
      <c r="PW55" s="50">
        <v>-2.0000000000000002E-5</v>
      </c>
      <c r="PX55" s="50">
        <v>3.9999999999999998E-6</v>
      </c>
      <c r="PY55" s="50"/>
      <c r="PZ55" s="50">
        <v>3.9999999999999998E-6</v>
      </c>
      <c r="QA55" s="50"/>
      <c r="QB55" s="50"/>
      <c r="QC55" s="50"/>
      <c r="QD55" s="50">
        <v>0</v>
      </c>
      <c r="QE55" s="50"/>
      <c r="QF55" s="50"/>
      <c r="QG55" s="50">
        <v>1.0900000000000001E-4</v>
      </c>
      <c r="QH55" s="50"/>
      <c r="QI55" s="50">
        <v>1.0900000000000001E-4</v>
      </c>
      <c r="QJ55" s="44">
        <f t="shared" si="38"/>
        <v>1.94E-4</v>
      </c>
      <c r="QK55" s="50">
        <f t="shared" si="39"/>
        <v>0</v>
      </c>
      <c r="QL55" s="50">
        <f t="shared" si="40"/>
        <v>1.94E-4</v>
      </c>
      <c r="QM55" s="50"/>
      <c r="QN55" s="50">
        <v>0</v>
      </c>
      <c r="QO55" s="50"/>
      <c r="QP55" s="50"/>
      <c r="QQ55" s="50"/>
      <c r="QR55" s="50"/>
      <c r="QS55" s="50"/>
      <c r="QT55" s="50"/>
      <c r="QU55" s="50"/>
      <c r="QV55" s="50"/>
      <c r="QW55" s="50"/>
      <c r="QX55" s="50"/>
      <c r="QY55" s="50"/>
      <c r="QZ55" s="50"/>
      <c r="RA55" s="50"/>
      <c r="RB55" s="50"/>
      <c r="RC55" s="50"/>
      <c r="RD55" s="50"/>
      <c r="RE55" s="50"/>
      <c r="RF55" s="50"/>
      <c r="RG55" s="50"/>
      <c r="RH55" s="50"/>
      <c r="RI55" s="50"/>
      <c r="RJ55" s="50"/>
      <c r="RK55" s="50"/>
      <c r="RL55" s="50">
        <v>1.4E-5</v>
      </c>
      <c r="RM55" s="50"/>
      <c r="RN55" s="50">
        <v>1.4E-5</v>
      </c>
      <c r="RO55" s="50">
        <v>-1.4E-5</v>
      </c>
      <c r="RP55" s="50"/>
      <c r="RQ55" s="50">
        <v>-1.4E-5</v>
      </c>
      <c r="RR55" s="50"/>
      <c r="RS55" s="50"/>
      <c r="RT55" s="50"/>
      <c r="RU55" s="50">
        <v>0</v>
      </c>
      <c r="RV55" s="50"/>
      <c r="RW55" s="50"/>
      <c r="RX55" s="44">
        <f t="shared" si="41"/>
        <v>0</v>
      </c>
      <c r="RY55" s="50">
        <f t="shared" si="42"/>
        <v>0</v>
      </c>
      <c r="RZ55" s="50">
        <f t="shared" si="43"/>
        <v>0</v>
      </c>
      <c r="SA55" s="50"/>
      <c r="SB55" s="50"/>
      <c r="SC55" s="50"/>
      <c r="SD55" s="50"/>
      <c r="SE55" s="50"/>
      <c r="SF55" s="50"/>
      <c r="SG55" s="50"/>
      <c r="SH55" s="50"/>
      <c r="SI55" s="50"/>
      <c r="SJ55" s="50"/>
      <c r="SK55" s="50"/>
      <c r="SL55" s="50"/>
      <c r="SM55" s="50"/>
      <c r="SN55" s="50"/>
      <c r="SO55" s="50"/>
      <c r="SP55" s="50"/>
      <c r="SQ55" s="50"/>
      <c r="SR55" s="50"/>
      <c r="SS55" s="50"/>
      <c r="ST55" s="50"/>
      <c r="SU55" s="50"/>
      <c r="SV55" s="50"/>
      <c r="SW55" s="50"/>
      <c r="SX55" s="50"/>
      <c r="SY55" s="50"/>
      <c r="SZ55" s="50">
        <v>7.9999999999999996E-6</v>
      </c>
      <c r="TA55" s="50"/>
      <c r="TB55" s="50">
        <v>7.9999999999999996E-6</v>
      </c>
      <c r="TC55" s="50">
        <v>0</v>
      </c>
      <c r="TD55" s="50"/>
      <c r="TE55" s="50"/>
      <c r="TF55" s="50"/>
      <c r="TG55" s="50"/>
      <c r="TH55" s="50"/>
      <c r="TI55" s="50"/>
      <c r="TJ55" s="50"/>
      <c r="TK55" s="50"/>
      <c r="TL55" s="44">
        <f t="shared" si="45"/>
        <v>7.9999999999999996E-6</v>
      </c>
      <c r="TM55" s="50">
        <f t="shared" si="46"/>
        <v>0</v>
      </c>
      <c r="TN55" s="50">
        <f t="shared" si="47"/>
        <v>7.9999999999999996E-6</v>
      </c>
      <c r="TO55" s="50">
        <v>0</v>
      </c>
      <c r="TP55" s="50"/>
      <c r="TQ55" s="50"/>
      <c r="TR55" s="50">
        <f>TT55-TS55</f>
        <v>2.8E-5</v>
      </c>
      <c r="TS55" s="50"/>
      <c r="TT55" s="50">
        <v>2.8E-5</v>
      </c>
      <c r="TU55" s="50">
        <v>0</v>
      </c>
      <c r="TV55" s="50"/>
      <c r="TW55" s="50"/>
      <c r="TX55" s="50">
        <f t="shared" si="49"/>
        <v>0</v>
      </c>
      <c r="TY55" s="50"/>
      <c r="TZ55" s="50"/>
      <c r="UA55" s="50"/>
      <c r="UB55" s="50"/>
      <c r="UC55" s="50"/>
      <c r="UD55" s="50"/>
      <c r="UE55" s="50"/>
      <c r="UF55" s="50"/>
      <c r="UG55" s="50"/>
      <c r="UH55" s="50"/>
      <c r="UI55" s="50"/>
      <c r="UJ55" s="50"/>
      <c r="UK55" s="50"/>
      <c r="UL55" s="50"/>
      <c r="UM55" s="50"/>
      <c r="UN55" s="50"/>
      <c r="UO55" s="50"/>
      <c r="UP55" s="50"/>
      <c r="UQ55" s="50"/>
      <c r="UR55" s="50"/>
      <c r="US55" s="50"/>
      <c r="UT55" s="50"/>
      <c r="UU55" s="50"/>
      <c r="UV55" s="50"/>
      <c r="UW55" s="50"/>
      <c r="UX55" s="50"/>
      <c r="UY55" s="292">
        <f t="shared" si="50"/>
        <v>0</v>
      </c>
      <c r="UZ55" s="276">
        <f t="shared" si="51"/>
        <v>0</v>
      </c>
      <c r="VA55" s="276">
        <f t="shared" si="52"/>
        <v>0</v>
      </c>
      <c r="VB55" s="292">
        <f t="shared" si="53"/>
        <v>2.8E-5</v>
      </c>
      <c r="VC55" s="276">
        <f t="shared" si="54"/>
        <v>0</v>
      </c>
      <c r="VD55" s="276">
        <f t="shared" si="55"/>
        <v>2.8E-5</v>
      </c>
      <c r="VE55" s="277">
        <f t="shared" si="56"/>
        <v>2.8E-5</v>
      </c>
      <c r="VF55" s="277" t="e">
        <f t="shared" si="57"/>
        <v>#DIV/0!</v>
      </c>
    </row>
    <row r="56" spans="1:578" s="12" customFormat="1" ht="19.5" customHeight="1">
      <c r="A56" s="92"/>
      <c r="B56" s="13"/>
      <c r="C56" s="9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>
        <v>0</v>
      </c>
      <c r="BD56" s="49"/>
      <c r="BE56" s="42"/>
      <c r="BF56" s="49"/>
      <c r="BG56" s="44"/>
      <c r="BH56" s="42"/>
      <c r="BI56" s="44"/>
      <c r="BJ56" s="50"/>
      <c r="BK56" s="44"/>
      <c r="BL56" s="44"/>
      <c r="BM56" s="50"/>
      <c r="BN56" s="44"/>
      <c r="BO56" s="44"/>
      <c r="BP56" s="44"/>
      <c r="BQ56" s="44"/>
      <c r="BR56" s="44"/>
      <c r="BS56" s="44"/>
      <c r="BT56" s="42"/>
      <c r="BU56" s="44"/>
      <c r="BV56" s="44"/>
      <c r="BW56" s="42"/>
      <c r="BX56" s="44"/>
      <c r="BY56" s="44"/>
      <c r="BZ56" s="42"/>
      <c r="CA56" s="44"/>
      <c r="CB56" s="44"/>
      <c r="CC56" s="42"/>
      <c r="CD56" s="44"/>
      <c r="CE56" s="44"/>
      <c r="CF56" s="44"/>
      <c r="CG56" s="44"/>
      <c r="CH56" s="49"/>
      <c r="CI56" s="49"/>
      <c r="CJ56" s="44"/>
      <c r="CK56" s="49"/>
      <c r="CL56" s="49"/>
      <c r="CM56" s="44"/>
      <c r="CN56" s="50"/>
      <c r="CO56" s="50"/>
      <c r="CP56" s="50">
        <f t="shared" si="21"/>
        <v>0</v>
      </c>
      <c r="CQ56" s="52"/>
      <c r="CR56" s="49"/>
      <c r="CS56" s="49"/>
      <c r="CT56" s="44"/>
      <c r="CU56" s="49"/>
      <c r="CV56" s="49"/>
      <c r="CW56" s="44"/>
      <c r="CX56" s="49"/>
      <c r="CY56" s="49"/>
      <c r="CZ56" s="44"/>
      <c r="DA56" s="49"/>
      <c r="DB56" s="49"/>
      <c r="DC56" s="44"/>
      <c r="DD56" s="49"/>
      <c r="DE56" s="49"/>
      <c r="DF56" s="44"/>
      <c r="DG56" s="49"/>
      <c r="DH56" s="49"/>
      <c r="DI56" s="44"/>
      <c r="DJ56" s="49"/>
      <c r="DK56" s="49"/>
      <c r="DL56" s="44"/>
      <c r="DM56" s="49"/>
      <c r="DN56" s="49"/>
      <c r="DO56" s="44"/>
      <c r="DP56" s="49"/>
      <c r="DQ56" s="49"/>
      <c r="DR56" s="44"/>
      <c r="DS56" s="49"/>
      <c r="DT56" s="49"/>
      <c r="DU56" s="44"/>
      <c r="DV56" s="49"/>
      <c r="DW56" s="49"/>
      <c r="DX56" s="44"/>
      <c r="DY56" s="49"/>
      <c r="DZ56" s="49"/>
      <c r="EA56" s="44"/>
      <c r="EB56" s="44">
        <f t="shared" si="22"/>
        <v>0</v>
      </c>
      <c r="EC56" s="44">
        <f t="shared" si="23"/>
        <v>0</v>
      </c>
      <c r="ED56" s="44">
        <f t="shared" si="24"/>
        <v>0</v>
      </c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>
        <f t="shared" si="25"/>
        <v>0</v>
      </c>
      <c r="FQ56" s="44">
        <f t="shared" si="26"/>
        <v>0</v>
      </c>
      <c r="FR56" s="44">
        <f t="shared" si="27"/>
        <v>0</v>
      </c>
      <c r="FS56" s="95"/>
      <c r="FT56" s="44"/>
      <c r="FU56" s="44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>
        <v>0</v>
      </c>
      <c r="GS56" s="44">
        <v>0</v>
      </c>
      <c r="GT56" s="44">
        <v>0</v>
      </c>
      <c r="GU56" s="44">
        <v>3.4999999999999997E-5</v>
      </c>
      <c r="GV56" s="44">
        <v>0</v>
      </c>
      <c r="GW56" s="44">
        <v>0</v>
      </c>
      <c r="GX56" s="44">
        <v>0</v>
      </c>
      <c r="GY56" s="44">
        <v>0</v>
      </c>
      <c r="GZ56" s="44">
        <v>0</v>
      </c>
      <c r="HA56" s="44">
        <v>3.7800000000000003E-4</v>
      </c>
      <c r="HB56" s="44">
        <v>0</v>
      </c>
      <c r="HC56" s="44">
        <v>0</v>
      </c>
      <c r="HD56" s="44">
        <f t="shared" si="28"/>
        <v>4.1300000000000001E-4</v>
      </c>
      <c r="HE56" s="44">
        <f t="shared" si="29"/>
        <v>0</v>
      </c>
      <c r="HF56" s="44">
        <f t="shared" si="30"/>
        <v>0</v>
      </c>
      <c r="HG56" s="44"/>
      <c r="HH56" s="44">
        <v>0</v>
      </c>
      <c r="HI56" s="44">
        <v>0</v>
      </c>
      <c r="HJ56" s="44">
        <v>0</v>
      </c>
      <c r="HK56" s="44"/>
      <c r="HL56" s="44"/>
      <c r="HM56" s="44">
        <v>0</v>
      </c>
      <c r="HN56" s="44"/>
      <c r="HO56" s="44"/>
      <c r="HP56" s="44">
        <v>0</v>
      </c>
      <c r="HQ56" s="44"/>
      <c r="HR56" s="44"/>
      <c r="HS56" s="44">
        <v>0</v>
      </c>
      <c r="HT56" s="44"/>
      <c r="HU56" s="44"/>
      <c r="HV56" s="44">
        <v>0</v>
      </c>
      <c r="HW56" s="44"/>
      <c r="HX56" s="44"/>
      <c r="HY56" s="44">
        <v>0</v>
      </c>
      <c r="HZ56" s="44"/>
      <c r="IA56" s="44"/>
      <c r="IB56" s="44">
        <v>0</v>
      </c>
      <c r="IC56" s="44"/>
      <c r="ID56" s="44"/>
      <c r="IE56" s="44">
        <v>0</v>
      </c>
      <c r="IF56" s="44"/>
      <c r="IG56" s="44"/>
      <c r="IH56" s="44">
        <v>0</v>
      </c>
      <c r="II56" s="44"/>
      <c r="IJ56" s="44"/>
      <c r="IK56" s="44">
        <v>0</v>
      </c>
      <c r="IL56" s="44"/>
      <c r="IM56" s="44"/>
      <c r="IN56" s="44">
        <v>0</v>
      </c>
      <c r="IO56" s="44"/>
      <c r="IP56" s="44"/>
      <c r="IQ56" s="44">
        <v>0</v>
      </c>
      <c r="IR56" s="44">
        <f t="shared" si="71"/>
        <v>0</v>
      </c>
      <c r="IS56" s="50">
        <f t="shared" si="72"/>
        <v>0</v>
      </c>
      <c r="IT56" s="50">
        <f t="shared" si="70"/>
        <v>0</v>
      </c>
      <c r="IU56" s="44"/>
      <c r="IV56" s="44">
        <v>0</v>
      </c>
      <c r="IW56" s="50">
        <v>0</v>
      </c>
      <c r="IX56" s="50">
        <v>0</v>
      </c>
      <c r="IY56" s="44"/>
      <c r="IZ56" s="50"/>
      <c r="JA56" s="50"/>
      <c r="JB56" s="44"/>
      <c r="JC56" s="50"/>
      <c r="JD56" s="50"/>
      <c r="JE56" s="44"/>
      <c r="JF56" s="50"/>
      <c r="JG56" s="50"/>
      <c r="JH56" s="44"/>
      <c r="JI56" s="50"/>
      <c r="JJ56" s="50"/>
      <c r="JK56" s="44"/>
      <c r="JL56" s="50"/>
      <c r="JM56" s="50"/>
      <c r="JN56" s="44"/>
      <c r="JO56" s="50"/>
      <c r="JP56" s="50"/>
      <c r="JQ56" s="44"/>
      <c r="JR56" s="50"/>
      <c r="JS56" s="50"/>
      <c r="JT56" s="44"/>
      <c r="JU56" s="50"/>
      <c r="JV56" s="50"/>
      <c r="JW56" s="44"/>
      <c r="JX56" s="50"/>
      <c r="JY56" s="50"/>
      <c r="JZ56" s="44"/>
      <c r="KA56" s="50"/>
      <c r="KB56" s="50"/>
      <c r="KC56" s="44"/>
      <c r="KD56" s="50"/>
      <c r="KE56" s="50"/>
      <c r="KF56" s="44">
        <f t="shared" si="78"/>
        <v>0</v>
      </c>
      <c r="KG56" s="50">
        <f t="shared" si="79"/>
        <v>0</v>
      </c>
      <c r="KH56" s="50">
        <f t="shared" si="4"/>
        <v>0</v>
      </c>
      <c r="KI56" s="44"/>
      <c r="KJ56" s="44"/>
      <c r="KK56" s="50"/>
      <c r="KL56" s="50"/>
      <c r="KM56" s="44"/>
      <c r="KN56" s="50"/>
      <c r="KP56" s="44"/>
      <c r="KQ56" s="50"/>
      <c r="KR56" s="50"/>
      <c r="KS56" s="44"/>
      <c r="KT56" s="50"/>
      <c r="KU56" s="50"/>
      <c r="KV56" s="44"/>
      <c r="KW56" s="50"/>
      <c r="KX56" s="50"/>
      <c r="KY56" s="44"/>
      <c r="KZ56" s="50"/>
      <c r="LA56" s="44"/>
      <c r="LB56" s="44"/>
      <c r="LC56" s="85"/>
      <c r="LD56" s="179"/>
      <c r="LE56" s="44"/>
      <c r="LF56" s="44"/>
      <c r="LG56" s="183"/>
      <c r="LH56" s="44">
        <v>0</v>
      </c>
      <c r="LI56" s="50">
        <v>0</v>
      </c>
      <c r="LJ56" s="50">
        <v>0</v>
      </c>
      <c r="LK56" s="44"/>
      <c r="LL56" s="50"/>
      <c r="LM56" s="50"/>
      <c r="LN56" s="44">
        <v>0</v>
      </c>
      <c r="LO56" s="50">
        <v>0</v>
      </c>
      <c r="LP56" s="50">
        <v>0</v>
      </c>
      <c r="LQ56" s="44"/>
      <c r="LR56" s="50"/>
      <c r="LS56" s="50"/>
      <c r="LT56" s="44">
        <f t="shared" si="58"/>
        <v>0</v>
      </c>
      <c r="LU56" s="50">
        <f t="shared" si="58"/>
        <v>0</v>
      </c>
      <c r="LV56" s="50">
        <f t="shared" si="58"/>
        <v>0</v>
      </c>
      <c r="LW56" s="50"/>
      <c r="LX56" s="44">
        <v>0</v>
      </c>
      <c r="LY56" s="50">
        <v>0</v>
      </c>
      <c r="LZ56" s="50">
        <v>0</v>
      </c>
      <c r="MA56" s="44"/>
      <c r="MB56" s="50"/>
      <c r="MC56" s="50"/>
      <c r="MD56" s="44"/>
      <c r="ME56" s="50">
        <v>0</v>
      </c>
      <c r="MF56" s="50"/>
      <c r="MG56" s="179"/>
      <c r="MH56" s="179"/>
      <c r="MI56" s="179"/>
      <c r="MJ56" s="183"/>
      <c r="MK56" s="183"/>
      <c r="MM56" s="183"/>
      <c r="MN56" s="183"/>
      <c r="MO56" s="183"/>
      <c r="MP56" s="183"/>
      <c r="MQ56" s="183"/>
      <c r="MR56" s="183"/>
      <c r="MS56" s="183"/>
      <c r="MT56" s="183"/>
      <c r="MV56" s="183"/>
      <c r="MW56" s="183"/>
      <c r="MX56" s="195"/>
      <c r="MY56" s="183"/>
      <c r="MZ56" s="183"/>
      <c r="NA56" s="44"/>
      <c r="NB56" s="183"/>
      <c r="NC56" s="183"/>
      <c r="ND56" s="50"/>
      <c r="NE56" s="183"/>
      <c r="NF56" s="183"/>
      <c r="NG56" s="44"/>
      <c r="NH56" s="44">
        <f t="shared" si="80"/>
        <v>0</v>
      </c>
      <c r="NI56" s="50">
        <f t="shared" si="81"/>
        <v>0</v>
      </c>
      <c r="NJ56" s="50">
        <f t="shared" si="76"/>
        <v>0</v>
      </c>
      <c r="NK56" s="50"/>
      <c r="NL56" s="50"/>
      <c r="NM56" s="50"/>
      <c r="NN56" s="50"/>
      <c r="NO56" s="50"/>
      <c r="NP56" s="50"/>
      <c r="NQ56" s="50"/>
      <c r="NR56" s="50"/>
      <c r="NS56" s="50"/>
      <c r="NT56" s="50"/>
      <c r="NU56" s="50"/>
      <c r="NV56" s="50"/>
      <c r="NW56" s="50"/>
      <c r="NX56" s="50"/>
      <c r="NY56" s="50"/>
      <c r="NZ56" s="50"/>
      <c r="OA56" s="50"/>
      <c r="OB56" s="50"/>
      <c r="OC56" s="50"/>
      <c r="OD56" s="50"/>
      <c r="OE56" s="50"/>
      <c r="OF56" s="50"/>
      <c r="OG56" s="50"/>
      <c r="OH56" s="50"/>
      <c r="OI56" s="50"/>
      <c r="OJ56" s="50"/>
      <c r="OK56" s="50"/>
      <c r="OL56" s="50"/>
      <c r="OM56" s="50"/>
      <c r="ON56" s="50"/>
      <c r="OO56" s="50"/>
      <c r="OP56" s="50"/>
      <c r="OQ56" s="50"/>
      <c r="OR56" s="50"/>
      <c r="OS56" s="50"/>
      <c r="OT56" s="50"/>
      <c r="OU56" s="50"/>
      <c r="OV56" s="44"/>
      <c r="OW56" s="50"/>
      <c r="OX56" s="50"/>
      <c r="OY56" s="50"/>
      <c r="OZ56" s="50"/>
      <c r="PA56" s="50"/>
      <c r="PB56" s="50"/>
      <c r="PC56" s="50"/>
      <c r="PD56" s="50"/>
      <c r="PE56" s="50"/>
      <c r="PF56" s="50"/>
      <c r="PG56" s="50"/>
      <c r="PH56" s="50"/>
      <c r="PI56" s="50"/>
      <c r="PJ56" s="50"/>
      <c r="PK56" s="50"/>
      <c r="PL56" s="50"/>
      <c r="PM56" s="50"/>
      <c r="PN56" s="50"/>
      <c r="PO56" s="50"/>
      <c r="PP56" s="50"/>
      <c r="PQ56" s="50"/>
      <c r="PR56" s="50"/>
      <c r="PS56" s="50"/>
      <c r="PT56" s="50"/>
      <c r="PU56" s="50"/>
      <c r="PV56" s="50"/>
      <c r="PW56" s="50"/>
      <c r="PX56" s="50"/>
      <c r="PY56" s="50"/>
      <c r="PZ56" s="50"/>
      <c r="QA56" s="50"/>
      <c r="QB56" s="50"/>
      <c r="QC56" s="50"/>
      <c r="QD56" s="50"/>
      <c r="QE56" s="50"/>
      <c r="QF56" s="50"/>
      <c r="QG56" s="50"/>
      <c r="QH56" s="50"/>
      <c r="QI56" s="50"/>
      <c r="QJ56" s="44"/>
      <c r="QK56" s="50"/>
      <c r="QL56" s="50"/>
      <c r="QM56" s="50"/>
      <c r="QN56" s="50"/>
      <c r="QO56" s="50"/>
      <c r="QP56" s="50"/>
      <c r="QQ56" s="50"/>
      <c r="QR56" s="50"/>
      <c r="QS56" s="50"/>
      <c r="QT56" s="50"/>
      <c r="QU56" s="50"/>
      <c r="QV56" s="50"/>
      <c r="QW56" s="50"/>
      <c r="QX56" s="50"/>
      <c r="QY56" s="50"/>
      <c r="QZ56" s="50"/>
      <c r="RA56" s="50"/>
      <c r="RB56" s="50"/>
      <c r="RC56" s="50"/>
      <c r="RD56" s="50"/>
      <c r="RE56" s="50"/>
      <c r="RF56" s="50"/>
      <c r="RG56" s="50"/>
      <c r="RH56" s="50"/>
      <c r="RI56" s="50"/>
      <c r="RJ56" s="50"/>
      <c r="RK56" s="50"/>
      <c r="RL56" s="50"/>
      <c r="RM56" s="50"/>
      <c r="RN56" s="50"/>
      <c r="RO56" s="50"/>
      <c r="RP56" s="50"/>
      <c r="RQ56" s="50"/>
      <c r="RR56" s="50"/>
      <c r="RS56" s="50"/>
      <c r="RT56" s="50"/>
      <c r="RU56" s="50"/>
      <c r="RV56" s="50"/>
      <c r="RW56" s="50"/>
      <c r="RX56" s="44"/>
      <c r="RY56" s="50"/>
      <c r="RZ56" s="50"/>
      <c r="SA56" s="50"/>
      <c r="SB56" s="50"/>
      <c r="SC56" s="50"/>
      <c r="SD56" s="50"/>
      <c r="SE56" s="50"/>
      <c r="SF56" s="50"/>
      <c r="SG56" s="50"/>
      <c r="SH56" s="50"/>
      <c r="SI56" s="50"/>
      <c r="SJ56" s="50"/>
      <c r="SK56" s="50"/>
      <c r="SL56" s="50"/>
      <c r="SM56" s="50"/>
      <c r="SN56" s="50"/>
      <c r="SO56" s="50"/>
      <c r="SP56" s="50"/>
      <c r="SQ56" s="50"/>
      <c r="SR56" s="50"/>
      <c r="SS56" s="50"/>
      <c r="ST56" s="50"/>
      <c r="SU56" s="50"/>
      <c r="SV56" s="50"/>
      <c r="SW56" s="50"/>
      <c r="SX56" s="50"/>
      <c r="SY56" s="50"/>
      <c r="SZ56" s="50"/>
      <c r="TA56" s="50"/>
      <c r="TB56" s="50"/>
      <c r="TC56" s="50"/>
      <c r="TD56" s="50"/>
      <c r="TE56" s="50"/>
      <c r="TF56" s="50"/>
      <c r="TG56" s="50"/>
      <c r="TH56" s="50"/>
      <c r="TI56" s="50"/>
      <c r="TJ56" s="50"/>
      <c r="TK56" s="50"/>
      <c r="TL56" s="44">
        <f t="shared" si="45"/>
        <v>0</v>
      </c>
      <c r="TM56" s="50">
        <f t="shared" si="46"/>
        <v>0</v>
      </c>
      <c r="TN56" s="50">
        <f t="shared" si="47"/>
        <v>0</v>
      </c>
      <c r="TO56" s="50"/>
      <c r="TP56" s="50"/>
      <c r="TQ56" s="50"/>
      <c r="TR56" s="50"/>
      <c r="TS56" s="50"/>
      <c r="TT56" s="50"/>
      <c r="TU56" s="50"/>
      <c r="TV56" s="50"/>
      <c r="TW56" s="50"/>
      <c r="TX56" s="50"/>
      <c r="TY56" s="50"/>
      <c r="TZ56" s="50"/>
      <c r="UA56" s="50"/>
      <c r="UB56" s="50"/>
      <c r="UC56" s="50"/>
      <c r="UD56" s="50"/>
      <c r="UE56" s="50"/>
      <c r="UF56" s="50"/>
      <c r="UG56" s="50"/>
      <c r="UH56" s="50"/>
      <c r="UI56" s="50"/>
      <c r="UJ56" s="50"/>
      <c r="UK56" s="50"/>
      <c r="UL56" s="50"/>
      <c r="UM56" s="50"/>
      <c r="UN56" s="50"/>
      <c r="UO56" s="50"/>
      <c r="UP56" s="50"/>
      <c r="UQ56" s="50"/>
      <c r="UR56" s="50"/>
      <c r="US56" s="50"/>
      <c r="UT56" s="50"/>
      <c r="UU56" s="50"/>
      <c r="UV56" s="50"/>
      <c r="UW56" s="50"/>
      <c r="UX56" s="50"/>
      <c r="UY56" s="292"/>
      <c r="UZ56" s="276"/>
      <c r="VA56" s="276"/>
      <c r="VB56" s="292"/>
      <c r="VC56" s="276"/>
      <c r="VD56" s="276"/>
      <c r="VE56" s="277"/>
      <c r="VF56" s="277"/>
    </row>
    <row r="57" spans="1:578" s="12" customFormat="1" ht="20">
      <c r="A57" s="58" t="s">
        <v>180</v>
      </c>
      <c r="B57" s="13"/>
      <c r="C57" s="58" t="s">
        <v>244</v>
      </c>
      <c r="D57" s="64">
        <v>-35.781900785994019</v>
      </c>
      <c r="E57" s="64">
        <v>-147.92781344443097</v>
      </c>
      <c r="F57" s="64">
        <v>-86.255221939545123</v>
      </c>
      <c r="G57" s="58">
        <v>79.037292047284737</v>
      </c>
      <c r="H57" s="58">
        <v>26.248285439468212</v>
      </c>
      <c r="I57" s="58">
        <v>5.2658564834576831</v>
      </c>
      <c r="J57" s="58">
        <v>32.534298324995326</v>
      </c>
      <c r="K57" s="58">
        <v>10.504268615431895</v>
      </c>
      <c r="L57" s="58">
        <v>10.221467151581406</v>
      </c>
      <c r="M57" s="58">
        <v>-14.898922032316293</v>
      </c>
      <c r="N57" s="58">
        <v>-9.7312109777405951</v>
      </c>
      <c r="O57" s="58">
        <v>6.7538332166578314</v>
      </c>
      <c r="P57" s="58">
        <v>-13.7806813848527</v>
      </c>
      <c r="Q57" s="58">
        <v>-24.096006852550619</v>
      </c>
      <c r="R57" s="58">
        <v>-6.0933247391875849</v>
      </c>
      <c r="S57" s="58">
        <v>-79.840988383674556</v>
      </c>
      <c r="T57" s="58">
        <v>115.69594225417038</v>
      </c>
      <c r="U57" s="58">
        <v>-172.60906739290039</v>
      </c>
      <c r="V57" s="58">
        <v>-56.913125138730209</v>
      </c>
      <c r="W57" s="58">
        <v>-71.006533827354616</v>
      </c>
      <c r="X57" s="58">
        <v>45.161090432040801</v>
      </c>
      <c r="Y57" s="58">
        <v>18.867156419143882</v>
      </c>
      <c r="Z57" s="58">
        <v>27.955869630793206</v>
      </c>
      <c r="AA57" s="58">
        <v>9.3046240488101954</v>
      </c>
      <c r="AB57" s="58">
        <v>10.704322969135074</v>
      </c>
      <c r="AC57" s="58">
        <v>-16.018753450464118</v>
      </c>
      <c r="AD57" s="58">
        <v>-24.853350293965295</v>
      </c>
      <c r="AE57" s="58">
        <v>-4.4624063038912842</v>
      </c>
      <c r="AF57" s="58">
        <v>-16.356561715641938</v>
      </c>
      <c r="AG57" s="58">
        <v>-31.19977547082831</v>
      </c>
      <c r="AH57" s="58">
        <v>-24.014732414727298</v>
      </c>
      <c r="AI57" s="58">
        <v>-84.050731071536347</v>
      </c>
      <c r="AJ57" s="58">
        <v>69.892691276657644</v>
      </c>
      <c r="AK57" s="58">
        <v>-158.85456258074797</v>
      </c>
      <c r="AL57" s="58">
        <v>-88.963247221131212</v>
      </c>
      <c r="AM57" s="58">
        <v>-76.776997569734945</v>
      </c>
      <c r="AN57" s="58">
        <v>26.821159242121546</v>
      </c>
      <c r="AO57" s="58">
        <v>9.514548864263725</v>
      </c>
      <c r="AP57" s="58">
        <v>25.609979453731075</v>
      </c>
      <c r="AQ57" s="58">
        <v>29.93676473099185</v>
      </c>
      <c r="AR57" s="58">
        <v>11.60332610514452</v>
      </c>
      <c r="AS57" s="58">
        <v>-12.474509251512467</v>
      </c>
      <c r="AT57" s="58">
        <v>-34.273115975435502</v>
      </c>
      <c r="AU57" s="58">
        <v>-14.435987842983264</v>
      </c>
      <c r="AV57" s="58">
        <v>-20.467394892459314</v>
      </c>
      <c r="AW57" s="58">
        <v>-42.050537560970035</v>
      </c>
      <c r="AX57" s="58">
        <v>-14.817041451101572</v>
      </c>
      <c r="AY57" s="58">
        <v>-84.875767639341788</v>
      </c>
      <c r="AZ57" s="58">
        <v>15.960380134432516</v>
      </c>
      <c r="BA57" s="58">
        <v>-135.86895635198437</v>
      </c>
      <c r="BB57" s="58">
        <v>-119.90857621755123</v>
      </c>
      <c r="BC57" s="58">
        <v>-119.3334870034889</v>
      </c>
      <c r="BD57" s="64">
        <f t="shared" ref="BD57:CG57" si="84">BD8-BD25</f>
        <v>26.173717000000011</v>
      </c>
      <c r="BE57" s="64">
        <f t="shared" si="84"/>
        <v>1.1032960000000003</v>
      </c>
      <c r="BF57" s="64">
        <f t="shared" si="84"/>
        <v>27.277012999999982</v>
      </c>
      <c r="BG57" s="64">
        <f t="shared" si="84"/>
        <v>15.235084999999998</v>
      </c>
      <c r="BH57" s="64">
        <f t="shared" si="84"/>
        <v>-0.94089199999999984</v>
      </c>
      <c r="BI57" s="58">
        <f t="shared" si="84"/>
        <v>14.294192999999979</v>
      </c>
      <c r="BJ57" s="79">
        <f t="shared" si="84"/>
        <v>37.111719999999991</v>
      </c>
      <c r="BK57" s="64">
        <f t="shared" si="84"/>
        <v>-0.45772400000000069</v>
      </c>
      <c r="BL57" s="58">
        <f t="shared" si="84"/>
        <v>36.653996000000006</v>
      </c>
      <c r="BM57" s="79">
        <f t="shared" si="84"/>
        <v>1.940449000000001</v>
      </c>
      <c r="BN57" s="64">
        <f t="shared" si="84"/>
        <v>-7.9822640000000025</v>
      </c>
      <c r="BO57" s="58">
        <f t="shared" si="84"/>
        <v>-6.0418149999999855</v>
      </c>
      <c r="BP57" s="64">
        <f t="shared" si="84"/>
        <v>15.15078699999998</v>
      </c>
      <c r="BQ57" s="64">
        <f t="shared" si="84"/>
        <v>-10.886976999999998</v>
      </c>
      <c r="BR57" s="58">
        <f t="shared" si="84"/>
        <v>4.2638099999999781</v>
      </c>
      <c r="BS57" s="64">
        <f t="shared" si="84"/>
        <v>10.793820000000011</v>
      </c>
      <c r="BT57" s="64">
        <f t="shared" si="84"/>
        <v>-30.973072999999999</v>
      </c>
      <c r="BU57" s="58">
        <f t="shared" si="84"/>
        <v>-20.179253000000017</v>
      </c>
      <c r="BV57" s="64">
        <f t="shared" si="84"/>
        <v>-20.352328</v>
      </c>
      <c r="BW57" s="64">
        <f t="shared" si="84"/>
        <v>-6.8354730000000004</v>
      </c>
      <c r="BX57" s="58">
        <f t="shared" si="84"/>
        <v>-27.187801000000007</v>
      </c>
      <c r="BY57" s="64">
        <f t="shared" si="84"/>
        <v>15.832411000000036</v>
      </c>
      <c r="BZ57" s="64">
        <f t="shared" si="84"/>
        <v>-17.906646000000002</v>
      </c>
      <c r="CA57" s="58">
        <f t="shared" si="84"/>
        <v>-2.074234999999959</v>
      </c>
      <c r="CB57" s="64">
        <f t="shared" si="84"/>
        <v>4.0975959999999816</v>
      </c>
      <c r="CC57" s="64">
        <f t="shared" si="84"/>
        <v>-15.392557000000002</v>
      </c>
      <c r="CD57" s="58">
        <f t="shared" si="84"/>
        <v>-11.294960999999972</v>
      </c>
      <c r="CE57" s="64">
        <f t="shared" si="84"/>
        <v>1.6206350000000214</v>
      </c>
      <c r="CF57" s="64">
        <f t="shared" si="84"/>
        <v>-12.713923000000003</v>
      </c>
      <c r="CG57" s="58">
        <f t="shared" si="84"/>
        <v>-11.093287999999973</v>
      </c>
      <c r="CH57" s="64">
        <f t="shared" ref="CH57:CM57" si="85">CH8-CH25</f>
        <v>-3.8000419999999906</v>
      </c>
      <c r="CI57" s="64">
        <f t="shared" si="85"/>
        <v>-11.011863999999999</v>
      </c>
      <c r="CJ57" s="58">
        <f t="shared" si="85"/>
        <v>-14.811905999999993</v>
      </c>
      <c r="CK57" s="64">
        <f t="shared" si="85"/>
        <v>-62.000767999999965</v>
      </c>
      <c r="CL57" s="64">
        <f t="shared" si="85"/>
        <v>-13.762502000000008</v>
      </c>
      <c r="CM57" s="58">
        <f t="shared" si="85"/>
        <v>-75.763269999999949</v>
      </c>
      <c r="CN57" s="59">
        <f>BD57+BG57+BJ57+BM57+BP57+BS57+BV57+BY57+CB57+CE57+CH57+CK57</f>
        <v>41.803082000000074</v>
      </c>
      <c r="CO57" s="59">
        <f>BE57+BH57+BK57+BN57+BQ57+BT57+BW57+BZ57+CC57+CF57+CI57+CL57</f>
        <v>-127.76059900000001</v>
      </c>
      <c r="CP57" s="59">
        <f t="shared" si="21"/>
        <v>-85.95751699999991</v>
      </c>
      <c r="CQ57" s="79">
        <f>CQ8-CQ25</f>
        <v>-85.044017999999596</v>
      </c>
      <c r="CR57" s="64">
        <f>CR8-CR25</f>
        <v>24.717685999999986</v>
      </c>
      <c r="CS57" s="64">
        <f>CS8-CS25</f>
        <v>-6.0849719999999987</v>
      </c>
      <c r="CT57" s="58">
        <f>CT8-CT25</f>
        <v>18.632713999999993</v>
      </c>
      <c r="CU57" s="64">
        <v>17.961850000000027</v>
      </c>
      <c r="CV57" s="64">
        <v>-0.34491300000000003</v>
      </c>
      <c r="CW57" s="58">
        <v>17.616937000000036</v>
      </c>
      <c r="CX57" s="64">
        <v>31.951873000000006</v>
      </c>
      <c r="CY57" s="64">
        <v>-2.6197879999999998</v>
      </c>
      <c r="CZ57" s="58">
        <v>29.332084999999978</v>
      </c>
      <c r="DA57" s="64">
        <v>0.22740199999998367</v>
      </c>
      <c r="DB57" s="64">
        <v>-7.1920580000000012</v>
      </c>
      <c r="DC57" s="58">
        <v>-6.9646560000000193</v>
      </c>
      <c r="DD57" s="64">
        <v>29.392019999999974</v>
      </c>
      <c r="DE57" s="64">
        <v>-14.121501999999998</v>
      </c>
      <c r="DF57" s="58">
        <v>15.270517999999953</v>
      </c>
      <c r="DG57" s="64">
        <v>-2.8411100000000147</v>
      </c>
      <c r="DH57" s="64">
        <v>-15.568352999999998</v>
      </c>
      <c r="DI57" s="58">
        <v>-18.409463000000017</v>
      </c>
      <c r="DJ57" s="64">
        <v>-14.317214000000007</v>
      </c>
      <c r="DK57" s="64">
        <v>-8.6569660000000006</v>
      </c>
      <c r="DL57" s="58">
        <v>-22.974180000000018</v>
      </c>
      <c r="DM57" s="64">
        <v>14.634246000000019</v>
      </c>
      <c r="DN57" s="64">
        <v>-10.109238999999999</v>
      </c>
      <c r="DO57" s="58">
        <v>4.5250070000000164</v>
      </c>
      <c r="DP57" s="64">
        <v>2.4134929999999883</v>
      </c>
      <c r="DQ57" s="64">
        <v>-3.9415549999999993</v>
      </c>
      <c r="DR57" s="58">
        <v>-1.5280619999999772</v>
      </c>
      <c r="DS57" s="64">
        <v>-13.62956600000004</v>
      </c>
      <c r="DT57" s="64">
        <v>-0.29044900000000062</v>
      </c>
      <c r="DU57" s="58">
        <v>-13.920015000000063</v>
      </c>
      <c r="DV57" s="64">
        <v>7.9104169999999954</v>
      </c>
      <c r="DW57" s="64">
        <v>-0.48627899999999968</v>
      </c>
      <c r="DX57" s="58">
        <v>7.4241380000000277</v>
      </c>
      <c r="DY57" s="64">
        <v>-58.169976999999989</v>
      </c>
      <c r="DZ57" s="64">
        <v>3.704365000000001</v>
      </c>
      <c r="EA57" s="58">
        <v>-54.465611999999993</v>
      </c>
      <c r="EB57" s="59">
        <f t="shared" si="22"/>
        <v>40.251119999999929</v>
      </c>
      <c r="EC57" s="59">
        <f t="shared" si="23"/>
        <v>-65.711708999999985</v>
      </c>
      <c r="ED57" s="59">
        <f t="shared" si="24"/>
        <v>-25.460589000000084</v>
      </c>
      <c r="EE57" s="58">
        <f>EE8-EE25</f>
        <v>-26.202362999999878</v>
      </c>
      <c r="EF57" s="59">
        <v>44.605992000000015</v>
      </c>
      <c r="EG57" s="59">
        <v>0.20804299999999998</v>
      </c>
      <c r="EH57" s="59">
        <v>44.814034999999976</v>
      </c>
      <c r="EI57" s="59">
        <v>20.171789999999987</v>
      </c>
      <c r="EJ57" s="59">
        <v>1.5854539999999999</v>
      </c>
      <c r="EK57" s="59">
        <v>21.757243999999957</v>
      </c>
      <c r="EL57" s="59">
        <v>38.907951000000025</v>
      </c>
      <c r="EM57" s="59">
        <v>5.2260480000000005</v>
      </c>
      <c r="EN57" s="59">
        <v>44.133998999999989</v>
      </c>
      <c r="EO57" s="59">
        <v>13.99273500000001</v>
      </c>
      <c r="EP57" s="59">
        <v>0.88470899999999997</v>
      </c>
      <c r="EQ57" s="59">
        <v>14.877443999999997</v>
      </c>
      <c r="ER57" s="59">
        <v>12.100303000000025</v>
      </c>
      <c r="ES57" s="59">
        <v>-0.71902199999999994</v>
      </c>
      <c r="ET57" s="59">
        <v>11.38128100000003</v>
      </c>
      <c r="EU57" s="59">
        <v>-8.6628550000000359</v>
      </c>
      <c r="EV57" s="59">
        <v>-0.53812199999999999</v>
      </c>
      <c r="EW57" s="59">
        <v>-9.2009770000000231</v>
      </c>
      <c r="EX57" s="59">
        <v>-17.977533000000022</v>
      </c>
      <c r="EY57" s="59">
        <v>-1.2170120000000002</v>
      </c>
      <c r="EZ57" s="59">
        <v>-19.194545000000005</v>
      </c>
      <c r="FA57" s="59">
        <v>15.851585999999998</v>
      </c>
      <c r="FB57" s="59">
        <v>-0.20030599999999965</v>
      </c>
      <c r="FC57" s="59">
        <v>15.651279999999986</v>
      </c>
      <c r="FD57" s="59">
        <v>-16.519221999999985</v>
      </c>
      <c r="FE57" s="59">
        <v>-0.9106209999999999</v>
      </c>
      <c r="FF57" s="59">
        <v>-17.429843000000005</v>
      </c>
      <c r="FG57" s="59">
        <v>0.80104600000004211</v>
      </c>
      <c r="FH57" s="59">
        <v>-1.7615800000000001</v>
      </c>
      <c r="FI57" s="59">
        <v>-0.96053399999996714</v>
      </c>
      <c r="FJ57" s="59">
        <v>16.264937000000032</v>
      </c>
      <c r="FK57" s="59">
        <v>-1.0554650000000003</v>
      </c>
      <c r="FL57" s="59">
        <v>15.209472000000005</v>
      </c>
      <c r="FM57" s="59">
        <v>-65.763992000000002</v>
      </c>
      <c r="FN57" s="59">
        <v>3.7551350000000001</v>
      </c>
      <c r="FO57" s="59">
        <v>-62.008857000000035</v>
      </c>
      <c r="FP57" s="59">
        <f t="shared" si="25"/>
        <v>53.772738000000089</v>
      </c>
      <c r="FQ57" s="59">
        <f t="shared" si="26"/>
        <v>5.2572610000000015</v>
      </c>
      <c r="FR57" s="59">
        <f t="shared" si="27"/>
        <v>59.02999899999989</v>
      </c>
      <c r="FS57" s="161">
        <f>FS8-FS25</f>
        <v>57.370416999999634</v>
      </c>
      <c r="FT57" s="59">
        <v>41.518398999999988</v>
      </c>
      <c r="FU57" s="59">
        <v>4.413099999999992E-2</v>
      </c>
      <c r="FV57" s="59">
        <v>41.562529999999981</v>
      </c>
      <c r="FW57" s="59">
        <v>16.290478999999976</v>
      </c>
      <c r="FX57" s="59">
        <v>-4.3856789999999997</v>
      </c>
      <c r="FY57" s="59">
        <v>11.904799999999994</v>
      </c>
      <c r="FZ57" s="59">
        <v>45.259096999999997</v>
      </c>
      <c r="GA57" s="59">
        <v>-3.6148749999999996</v>
      </c>
      <c r="GB57" s="59">
        <v>41.644222000000013</v>
      </c>
      <c r="GC57" s="59">
        <f>GC8-GC25</f>
        <v>5.0839399999999273</v>
      </c>
      <c r="GD57" s="59">
        <v>2.8570450000000003</v>
      </c>
      <c r="GE57" s="59">
        <v>7.9409849999999551</v>
      </c>
      <c r="GF57" s="59">
        <v>12.289694999999938</v>
      </c>
      <c r="GG57" s="59">
        <v>5.4552930000000002</v>
      </c>
      <c r="GH57" s="59">
        <v>17.74498799999995</v>
      </c>
      <c r="GI57" s="59">
        <v>-21.64164199999999</v>
      </c>
      <c r="GJ57" s="59">
        <v>1.7317640000000001</v>
      </c>
      <c r="GK57" s="59">
        <v>-19.909877999999992</v>
      </c>
      <c r="GL57" s="59">
        <v>-6.9846959999999569</v>
      </c>
      <c r="GM57" s="59">
        <v>-2.3688999999999183E-2</v>
      </c>
      <c r="GN57" s="59">
        <v>-7.0048849999999447</v>
      </c>
      <c r="GO57" s="59">
        <v>4.0562669999999912</v>
      </c>
      <c r="GP57" s="59">
        <v>-1.0316080000000003</v>
      </c>
      <c r="GQ57" s="59">
        <v>3.0246589999999856</v>
      </c>
      <c r="GR57" s="59">
        <v>-17.756772000000002</v>
      </c>
      <c r="GS57" s="59">
        <v>-4.4874169999999998</v>
      </c>
      <c r="GT57" s="59">
        <v>-22.244188999999999</v>
      </c>
      <c r="GU57" s="59">
        <v>13.968776999999999</v>
      </c>
      <c r="GV57" s="59">
        <v>-3.8379279999999998</v>
      </c>
      <c r="GW57" s="59">
        <v>10.130849</v>
      </c>
      <c r="GX57" s="59">
        <v>-6.3028120000000003</v>
      </c>
      <c r="GY57" s="59">
        <v>-8.2368509999999997</v>
      </c>
      <c r="GZ57" s="59">
        <v>-14.539662999999999</v>
      </c>
      <c r="HA57" s="59">
        <v>-64.817021999999994</v>
      </c>
      <c r="HB57" s="59">
        <v>-19.797778999999998</v>
      </c>
      <c r="HC57" s="59">
        <v>-84.614801</v>
      </c>
      <c r="HD57" s="59">
        <f t="shared" si="28"/>
        <v>20.963709999999878</v>
      </c>
      <c r="HE57" s="59">
        <f t="shared" si="29"/>
        <v>-35.327592999999993</v>
      </c>
      <c r="HF57" s="59">
        <f t="shared" si="30"/>
        <v>-14.36038300000007</v>
      </c>
      <c r="HG57" s="59">
        <f>HG8-HG25</f>
        <v>-14.247840999999426</v>
      </c>
      <c r="HH57" s="59">
        <v>48.503950000000003</v>
      </c>
      <c r="HI57" s="59">
        <v>-0.27618700000000002</v>
      </c>
      <c r="HJ57" s="59">
        <v>48.227763000000003</v>
      </c>
      <c r="HK57" s="59">
        <v>18.907513000000002</v>
      </c>
      <c r="HL57" s="59">
        <v>1.1551020000000001</v>
      </c>
      <c r="HM57" s="59">
        <v>20.062615000000001</v>
      </c>
      <c r="HN57" s="59">
        <v>2.5591159999999999</v>
      </c>
      <c r="HO57" s="59">
        <v>3.6024020000000001</v>
      </c>
      <c r="HP57" s="59">
        <v>6.1615180000000001</v>
      </c>
      <c r="HQ57" s="59">
        <v>1.818279</v>
      </c>
      <c r="HR57" s="59">
        <v>3.5806979999999999</v>
      </c>
      <c r="HS57" s="59">
        <v>5.3989770000000004</v>
      </c>
      <c r="HT57" s="59">
        <v>1.5519210000000001</v>
      </c>
      <c r="HU57" s="59">
        <v>1.739077</v>
      </c>
      <c r="HV57" s="59">
        <v>3.2909980000000001</v>
      </c>
      <c r="HW57" s="59">
        <v>-18.622781</v>
      </c>
      <c r="HX57" s="59">
        <v>-6.7430409999999998</v>
      </c>
      <c r="HY57" s="59">
        <v>-25.365822000000001</v>
      </c>
      <c r="HZ57" s="59">
        <v>-8.1240120000000005</v>
      </c>
      <c r="IA57" s="59">
        <v>-6.3862360000000002</v>
      </c>
      <c r="IB57" s="59">
        <v>-14.510248000000001</v>
      </c>
      <c r="IC57" s="59">
        <v>11.767054</v>
      </c>
      <c r="ID57" s="59">
        <v>-15.513450000000001</v>
      </c>
      <c r="IE57" s="59">
        <v>-3.7463959999999998</v>
      </c>
      <c r="IF57" s="59">
        <v>-1.831348</v>
      </c>
      <c r="IG57" s="59">
        <v>-18.380116999999998</v>
      </c>
      <c r="IH57" s="59">
        <v>-20.211465</v>
      </c>
      <c r="II57" s="59">
        <v>1.6814420000000001</v>
      </c>
      <c r="IJ57" s="59">
        <v>-8.7018900000000006</v>
      </c>
      <c r="IK57" s="59">
        <v>-7.020448</v>
      </c>
      <c r="IL57" s="59">
        <v>1.998737</v>
      </c>
      <c r="IM57" s="59">
        <v>-29.247627000000001</v>
      </c>
      <c r="IN57" s="59">
        <v>-27.248889999999999</v>
      </c>
      <c r="IO57" s="59">
        <v>-116.47565299999999</v>
      </c>
      <c r="IP57" s="59">
        <v>-19.109729999999999</v>
      </c>
      <c r="IQ57" s="59">
        <v>-135.58538300000001</v>
      </c>
      <c r="IR57" s="78">
        <f t="shared" si="71"/>
        <v>-56.265782000000002</v>
      </c>
      <c r="IS57" s="91">
        <f t="shared" si="72"/>
        <v>-94.280998999999994</v>
      </c>
      <c r="IT57" s="91">
        <f t="shared" si="70"/>
        <v>-150.54678099999998</v>
      </c>
      <c r="IU57" s="59">
        <f>IU8-IU25</f>
        <v>-150.96366100000023</v>
      </c>
      <c r="IV57" s="78">
        <v>56.626330000000003</v>
      </c>
      <c r="IW57" s="91">
        <v>13.273588</v>
      </c>
      <c r="IX57" s="91">
        <v>69.899918</v>
      </c>
      <c r="IY57" s="78">
        <v>39.842174</v>
      </c>
      <c r="IZ57" s="91">
        <v>9.9073410000000006</v>
      </c>
      <c r="JA57" s="91">
        <v>49.749515000000002</v>
      </c>
      <c r="JB57" s="78">
        <v>15.520865000000001</v>
      </c>
      <c r="JC57" s="91">
        <v>6.9812849999999997</v>
      </c>
      <c r="JD57" s="91">
        <v>22.50215</v>
      </c>
      <c r="JE57" s="78">
        <v>6.2734329999999998</v>
      </c>
      <c r="JF57" s="91">
        <v>-6.207236</v>
      </c>
      <c r="JG57" s="91">
        <v>6.6197000000000006E-2</v>
      </c>
      <c r="JH57" s="78">
        <v>13.019412000000001</v>
      </c>
      <c r="JI57" s="91">
        <v>-11.124072999999999</v>
      </c>
      <c r="JJ57" s="91">
        <v>1.8953390000000001</v>
      </c>
      <c r="JK57" s="78">
        <v>-7.7539619999999996</v>
      </c>
      <c r="JL57" s="91">
        <v>-20.187086000000001</v>
      </c>
      <c r="JM57" s="91">
        <v>-27.941047999999999</v>
      </c>
      <c r="JN57" s="78">
        <v>-10.727368</v>
      </c>
      <c r="JO57" s="91">
        <v>-9.3681389999999993</v>
      </c>
      <c r="JP57" s="91">
        <v>-20.095507000000001</v>
      </c>
      <c r="JQ57" s="78">
        <v>21.911666</v>
      </c>
      <c r="JR57" s="91">
        <v>-18.903158000000001</v>
      </c>
      <c r="JS57" s="91">
        <v>3.008508</v>
      </c>
      <c r="JT57" s="78">
        <v>39.714041000000002</v>
      </c>
      <c r="JU57" s="91">
        <v>-25.246718999999999</v>
      </c>
      <c r="JV57" s="91">
        <v>14.467321999999999</v>
      </c>
      <c r="JW57" s="78">
        <v>9.2469809999999999</v>
      </c>
      <c r="JX57" s="91">
        <v>-15.347814</v>
      </c>
      <c r="JY57" s="91">
        <v>-6.1008329999999997</v>
      </c>
      <c r="JZ57" s="78">
        <v>23.863574</v>
      </c>
      <c r="KA57" s="91">
        <v>-12.012338</v>
      </c>
      <c r="KB57" s="91">
        <v>11.851236</v>
      </c>
      <c r="KC57" s="78">
        <v>-49.948160999999999</v>
      </c>
      <c r="KD57" s="91">
        <v>-19.183994999999999</v>
      </c>
      <c r="KE57" s="91">
        <v>-69.132155999999995</v>
      </c>
      <c r="KF57" s="78">
        <f t="shared" si="78"/>
        <v>157.58898500000001</v>
      </c>
      <c r="KG57" s="91">
        <f t="shared" si="79"/>
        <v>-107.418344</v>
      </c>
      <c r="KH57" s="91">
        <f t="shared" si="4"/>
        <v>50.170641000000032</v>
      </c>
      <c r="KI57" s="59">
        <f>KI8-KI25</f>
        <v>50.523754000000281</v>
      </c>
      <c r="KJ57" s="78">
        <v>104.051164</v>
      </c>
      <c r="KK57" s="91">
        <v>4.7719610000000001</v>
      </c>
      <c r="KL57" s="91">
        <v>108.823125</v>
      </c>
      <c r="KM57" s="78">
        <v>45.022741000000003</v>
      </c>
      <c r="KN57" s="91">
        <v>-1.6866669999999999</v>
      </c>
      <c r="KO57" s="91">
        <v>43.336074000000004</v>
      </c>
      <c r="KP57" s="78">
        <v>-5.0805980000000002</v>
      </c>
      <c r="KQ57" s="91">
        <v>-3.4289170000000002</v>
      </c>
      <c r="KR57" s="91">
        <v>-8.5095150000000004</v>
      </c>
      <c r="KS57" s="78">
        <v>-9.0010359999999991</v>
      </c>
      <c r="KT57" s="91">
        <v>-9.5274999999999999</v>
      </c>
      <c r="KU57" s="91">
        <v>-18.528535999999999</v>
      </c>
      <c r="KV57" s="78">
        <v>8.6661470000000005</v>
      </c>
      <c r="KW57" s="91">
        <v>-8.3991050000000005</v>
      </c>
      <c r="KX57" s="91">
        <v>0.267042</v>
      </c>
      <c r="KY57" s="78">
        <v>-7.1935339999999997</v>
      </c>
      <c r="KZ57" s="91">
        <v>-16.826308999999998</v>
      </c>
      <c r="LA57" s="91">
        <v>-24.019843000000002</v>
      </c>
      <c r="LB57" s="78">
        <v>0.55482200000000004</v>
      </c>
      <c r="LC57" s="91">
        <v>-6.943702</v>
      </c>
      <c r="LD57" s="91">
        <v>-6.3888800000000003</v>
      </c>
      <c r="LE57" s="78">
        <v>29.706935000000001</v>
      </c>
      <c r="LF57" s="78">
        <v>-14.995236</v>
      </c>
      <c r="LG57" s="78">
        <v>14.711698999999999</v>
      </c>
      <c r="LH57" s="78">
        <v>17.466255</v>
      </c>
      <c r="LI57" s="91">
        <v>-16.066595</v>
      </c>
      <c r="LJ57" s="91">
        <v>1.3996599999999999</v>
      </c>
      <c r="LK57" s="78">
        <v>-2.3705250000000002</v>
      </c>
      <c r="LL57" s="91">
        <v>-20.179341000000001</v>
      </c>
      <c r="LM57" s="91">
        <v>-22.549866000000002</v>
      </c>
      <c r="LN57" s="78">
        <v>8.4657319999999991</v>
      </c>
      <c r="LO57" s="91">
        <v>-18.019251000000001</v>
      </c>
      <c r="LP57" s="91">
        <v>-9.5535189999999997</v>
      </c>
      <c r="LQ57" s="78">
        <v>-108.294245</v>
      </c>
      <c r="LR57" s="91">
        <v>-10.089567000000001</v>
      </c>
      <c r="LS57" s="91">
        <v>-118.38381200000001</v>
      </c>
      <c r="LT57" s="78">
        <f t="shared" si="58"/>
        <v>81.993857999999975</v>
      </c>
      <c r="LU57" s="91">
        <f t="shared" si="58"/>
        <v>-121.39022899999999</v>
      </c>
      <c r="LV57" s="91">
        <f t="shared" si="58"/>
        <v>-39.396371000000016</v>
      </c>
      <c r="LW57" s="59">
        <f>LW8-LW25</f>
        <v>-39.612728000000516</v>
      </c>
      <c r="LX57" s="78">
        <v>53.303595000000001</v>
      </c>
      <c r="LY57" s="91">
        <v>-1.4618180000000001</v>
      </c>
      <c r="LZ57" s="91">
        <v>51.841777</v>
      </c>
      <c r="MA57" s="78">
        <v>54.989331999999997</v>
      </c>
      <c r="MB57" s="91">
        <v>0.180867</v>
      </c>
      <c r="MC57" s="91">
        <v>55.170198999999997</v>
      </c>
      <c r="MD57" s="78">
        <v>34.661413000000003</v>
      </c>
      <c r="ME57" s="91">
        <v>-4.8070740000000001</v>
      </c>
      <c r="MF57" s="91">
        <v>29.854339</v>
      </c>
      <c r="MG57" s="78">
        <v>-57.362247000000004</v>
      </c>
      <c r="MH57" s="91">
        <v>-7.7484840000000004</v>
      </c>
      <c r="MI57" s="91">
        <v>-65.110731000000001</v>
      </c>
      <c r="MJ57" s="78">
        <v>28.388483999999998</v>
      </c>
      <c r="MK57" s="78">
        <v>-2.6929219999999998</v>
      </c>
      <c r="ML57" s="91">
        <v>25.695561999999999</v>
      </c>
      <c r="MM57" s="78">
        <v>-38.996642999999999</v>
      </c>
      <c r="MN57" s="78">
        <v>-14.549676</v>
      </c>
      <c r="MO57" s="78">
        <v>-53.546318999999997</v>
      </c>
      <c r="MP57" s="78">
        <v>6.9763130000000002</v>
      </c>
      <c r="MQ57" s="78">
        <v>-21.227688000000001</v>
      </c>
      <c r="MR57" s="78">
        <v>-14.251374999999999</v>
      </c>
      <c r="MS57" s="78">
        <v>18.101199000000001</v>
      </c>
      <c r="MT57" s="78">
        <v>-14.175786</v>
      </c>
      <c r="MU57" s="91">
        <v>3.9254129999999998</v>
      </c>
      <c r="MV57" s="78">
        <v>7.6532169999999997</v>
      </c>
      <c r="MW57" s="78">
        <v>-19.730511</v>
      </c>
      <c r="MX57" s="91">
        <v>-12.077294</v>
      </c>
      <c r="MY57" s="78">
        <v>60.188175000000001</v>
      </c>
      <c r="MZ57" s="78">
        <v>-12.526061</v>
      </c>
      <c r="NA57" s="91">
        <v>47.662114000000003</v>
      </c>
      <c r="NB57" s="78">
        <v>-3.2072790000000002</v>
      </c>
      <c r="NC57" s="78">
        <v>-22.609881000000001</v>
      </c>
      <c r="ND57" s="91">
        <v>-25.817160000000001</v>
      </c>
      <c r="NE57" s="78">
        <v>-101.32283099999999</v>
      </c>
      <c r="NF57" s="78">
        <v>-33.071482000000003</v>
      </c>
      <c r="NG57" s="91">
        <v>-134.39431300000001</v>
      </c>
      <c r="NH57" s="78">
        <f t="shared" si="80"/>
        <v>63.372728000000038</v>
      </c>
      <c r="NI57" s="91">
        <f t="shared" si="81"/>
        <v>-154.42051599999999</v>
      </c>
      <c r="NJ57" s="91">
        <f t="shared" si="76"/>
        <v>-91.047787999999997</v>
      </c>
      <c r="NK57" s="59">
        <f>NK8-NK25</f>
        <v>-90.937235000001237</v>
      </c>
      <c r="NL57" s="91">
        <v>106.77919900000001</v>
      </c>
      <c r="NM57" s="91">
        <v>-0.38034699999999999</v>
      </c>
      <c r="NN57" s="91">
        <v>106.39885200000001</v>
      </c>
      <c r="NO57" s="91">
        <v>62.783178999999997</v>
      </c>
      <c r="NP57" s="91">
        <v>-4.9763599999999997</v>
      </c>
      <c r="NQ57" s="91">
        <v>57.806818999999997</v>
      </c>
      <c r="NR57" s="91">
        <v>-15.165186</v>
      </c>
      <c r="NS57" s="91">
        <v>-3.5269220000000008</v>
      </c>
      <c r="NT57" s="91">
        <v>-18.692108000000001</v>
      </c>
      <c r="NU57" s="91">
        <v>25.380632000000002</v>
      </c>
      <c r="NV57" s="91">
        <v>-6.257612</v>
      </c>
      <c r="NW57" s="91">
        <v>19.12302</v>
      </c>
      <c r="NX57" s="91">
        <f t="shared" ref="NX57:OE57" si="86">NX8-NX25</f>
        <v>4.2514380000000074</v>
      </c>
      <c r="NY57" s="91">
        <f t="shared" si="86"/>
        <v>-15.534357000000002</v>
      </c>
      <c r="NZ57" s="91">
        <f t="shared" si="86"/>
        <v>-11.282918999999993</v>
      </c>
      <c r="OA57" s="91">
        <f t="shared" si="86"/>
        <v>16.650891999999999</v>
      </c>
      <c r="OB57" s="91">
        <f t="shared" si="86"/>
        <v>-17.204090000000001</v>
      </c>
      <c r="OC57" s="206">
        <f t="shared" si="86"/>
        <v>-0.55319800000000896</v>
      </c>
      <c r="OD57" s="91">
        <f t="shared" si="86"/>
        <v>30.077027000000015</v>
      </c>
      <c r="OE57" s="91">
        <f t="shared" si="86"/>
        <v>-3.0887370000000001</v>
      </c>
      <c r="OF57" s="91">
        <v>26.988289999999999</v>
      </c>
      <c r="OG57" s="91">
        <f>OG8-OG25</f>
        <v>52.124553999999989</v>
      </c>
      <c r="OH57" s="91">
        <f>OH8-OH25</f>
        <v>-18.354635999999999</v>
      </c>
      <c r="OI57" s="91">
        <f>OI8-OI25</f>
        <v>33.76991799999999</v>
      </c>
      <c r="OJ57" s="91">
        <v>45.278215000000003</v>
      </c>
      <c r="OK57" s="91">
        <f>OK8-OK25</f>
        <v>-22.177221000000003</v>
      </c>
      <c r="OL57" s="91">
        <v>23.100994</v>
      </c>
      <c r="OM57" s="91">
        <v>38.442444000000002</v>
      </c>
      <c r="ON57" s="91">
        <f>ON8-ON25</f>
        <v>-8.6963570000000008</v>
      </c>
      <c r="OO57" s="91">
        <v>29.746086999999999</v>
      </c>
      <c r="OP57" s="91">
        <v>-14.475948000000017</v>
      </c>
      <c r="OQ57" s="91">
        <v>-16.103704</v>
      </c>
      <c r="OR57" s="91">
        <v>-30.579651999999999</v>
      </c>
      <c r="OS57" s="91">
        <v>-148.75501200000002</v>
      </c>
      <c r="OT57" s="91">
        <f>OT8-OT25</f>
        <v>-24.186931999999999</v>
      </c>
      <c r="OU57" s="91">
        <v>-172.94194400000001</v>
      </c>
      <c r="OV57" s="78">
        <f t="shared" si="82"/>
        <v>203.37143399999997</v>
      </c>
      <c r="OW57" s="91">
        <f t="shared" si="83"/>
        <v>-140.48727500000001</v>
      </c>
      <c r="OX57" s="91">
        <f t="shared" si="9"/>
        <v>62.884158999999983</v>
      </c>
      <c r="OY57" s="59">
        <f>OY8-OY25</f>
        <v>62.889981999999691</v>
      </c>
      <c r="OZ57" s="91">
        <v>81.048528000000033</v>
      </c>
      <c r="PA57" s="91">
        <v>3.4305699999999995</v>
      </c>
      <c r="PB57" s="91">
        <v>84.479097999999993</v>
      </c>
      <c r="PC57" s="91">
        <v>40.482351000000023</v>
      </c>
      <c r="PD57" s="91">
        <v>-5.4985569999999999</v>
      </c>
      <c r="PE57" s="91">
        <v>34.983794000000003</v>
      </c>
      <c r="PF57" s="91">
        <v>-50.473062999999996</v>
      </c>
      <c r="PG57" s="91">
        <v>-5.5407049999999973</v>
      </c>
      <c r="PH57" s="91">
        <v>-56.013767999999999</v>
      </c>
      <c r="PI57" s="91">
        <v>-6.540167999999996</v>
      </c>
      <c r="PJ57" s="91">
        <v>-12.744896000000002</v>
      </c>
      <c r="PK57" s="91">
        <v>-19.285063999999998</v>
      </c>
      <c r="PL57" s="91">
        <v>29.979838000000001</v>
      </c>
      <c r="PM57" s="91">
        <v>-9.8968320000000016</v>
      </c>
      <c r="PN57" s="91">
        <v>20.083006000000001</v>
      </c>
      <c r="PO57" s="91">
        <v>13.258370000000184</v>
      </c>
      <c r="PP57" s="91">
        <v>-5.9035419999999981</v>
      </c>
      <c r="PQ57" s="91">
        <v>7.3548279999999995</v>
      </c>
      <c r="PR57" s="55">
        <v>9.5072089999999996</v>
      </c>
      <c r="PS57" s="91">
        <v>6.4428669999999997</v>
      </c>
      <c r="PT57" s="91">
        <v>15.950075999999999</v>
      </c>
      <c r="PU57" s="91">
        <v>21.240728000000018</v>
      </c>
      <c r="PV57" s="91">
        <v>-34.566809999999997</v>
      </c>
      <c r="PW57" s="91">
        <v>-13.326081999999985</v>
      </c>
      <c r="PX57" s="91">
        <v>-4.9993110000000005</v>
      </c>
      <c r="PY57" s="91">
        <v>-3.8162500000000001</v>
      </c>
      <c r="PZ57" s="91">
        <v>-8.8155610000000006</v>
      </c>
      <c r="QA57" s="91">
        <v>15.231927000000042</v>
      </c>
      <c r="QB57" s="91">
        <v>-15.065824999999998</v>
      </c>
      <c r="QC57" s="91">
        <v>0.166102</v>
      </c>
      <c r="QD57" s="91">
        <v>-6.6985409999999987</v>
      </c>
      <c r="QE57" s="91">
        <v>-16.738298</v>
      </c>
      <c r="QF57" s="91">
        <v>-23.436838999999999</v>
      </c>
      <c r="QG57" s="55">
        <v>-150.98456299999998</v>
      </c>
      <c r="QH57" s="91">
        <v>-47.155143000000002</v>
      </c>
      <c r="QI57" s="91">
        <v>-198.13970599999999</v>
      </c>
      <c r="QJ57" s="78">
        <f t="shared" si="38"/>
        <v>-8.9466949999996928</v>
      </c>
      <c r="QK57" s="91">
        <f t="shared" si="39"/>
        <v>-147.05342100000001</v>
      </c>
      <c r="QL57" s="78">
        <f t="shared" si="40"/>
        <v>-156.00011599999999</v>
      </c>
      <c r="QM57" s="59">
        <f>QM8-QM25</f>
        <v>-155.9213720000007</v>
      </c>
      <c r="QN57" s="78">
        <v>86.086884999999995</v>
      </c>
      <c r="QO57" s="78">
        <v>0.86984499999999976</v>
      </c>
      <c r="QP57" s="78">
        <v>86.956729999999993</v>
      </c>
      <c r="QQ57" s="78">
        <v>40.017811999999999</v>
      </c>
      <c r="QR57" s="78">
        <v>1.2032149999999993</v>
      </c>
      <c r="QS57" s="78">
        <v>41.221026999999999</v>
      </c>
      <c r="QT57" s="78">
        <v>-61.694271999999998</v>
      </c>
      <c r="QU57" s="78">
        <v>1.3634440000000003</v>
      </c>
      <c r="QV57" s="78">
        <v>-60.330827999999997</v>
      </c>
      <c r="QW57" s="78">
        <v>4.112914</v>
      </c>
      <c r="QX57" s="78">
        <v>7.2199519999999993</v>
      </c>
      <c r="QY57" s="78">
        <v>11.332865999999999</v>
      </c>
      <c r="QZ57" s="78">
        <v>-3.3657630000000154</v>
      </c>
      <c r="RA57" s="78">
        <v>1.4140360000000003</v>
      </c>
      <c r="RB57" s="78">
        <v>-1.951727</v>
      </c>
      <c r="RC57" s="78">
        <v>21.465787000000002</v>
      </c>
      <c r="RD57" s="78">
        <v>-3.0435820000000007</v>
      </c>
      <c r="RE57" s="78">
        <v>18.422205000000002</v>
      </c>
      <c r="RF57" s="78">
        <v>-42.072253000000003</v>
      </c>
      <c r="RG57" s="78">
        <v>4.6798780000000004</v>
      </c>
      <c r="RH57" s="78">
        <v>-37.392375000000001</v>
      </c>
      <c r="RI57" s="78">
        <v>30.631950000000074</v>
      </c>
      <c r="RJ57" s="78">
        <v>-3.999136</v>
      </c>
      <c r="RK57" s="78">
        <v>26.632814</v>
      </c>
      <c r="RL57" s="78">
        <v>23.329847999999998</v>
      </c>
      <c r="RM57" s="78">
        <v>1.3913180000000018</v>
      </c>
      <c r="RN57" s="78">
        <v>24.721166</v>
      </c>
      <c r="RO57" s="78">
        <v>17.606687999999963</v>
      </c>
      <c r="RP57" s="78">
        <v>-11.335379</v>
      </c>
      <c r="RQ57" s="78">
        <v>6.2713089999999996</v>
      </c>
      <c r="RR57" s="78">
        <v>-10.110660999999936</v>
      </c>
      <c r="RS57" s="78">
        <v>-4.6594629999999997</v>
      </c>
      <c r="RT57" s="78">
        <v>-14.770123999999999</v>
      </c>
      <c r="RU57" s="78">
        <v>-140.009308</v>
      </c>
      <c r="RV57" s="78">
        <v>-9.3904199999999989</v>
      </c>
      <c r="RW57" s="78">
        <v>-149.39972800000001</v>
      </c>
      <c r="RX57" s="78">
        <f t="shared" si="41"/>
        <v>-34.000372999999925</v>
      </c>
      <c r="RY57" s="91">
        <f t="shared" si="42"/>
        <v>-14.286292</v>
      </c>
      <c r="RZ57" s="78">
        <f t="shared" si="43"/>
        <v>-48.286665000000028</v>
      </c>
      <c r="SA57" s="59">
        <f>SA8-SA25</f>
        <v>-48.310144999999466</v>
      </c>
      <c r="SB57" s="78">
        <v>43.270637999999963</v>
      </c>
      <c r="SC57" s="78">
        <v>25.806576</v>
      </c>
      <c r="SD57" s="78">
        <v>69.077213999999969</v>
      </c>
      <c r="SE57" s="78">
        <v>28.967931999999962</v>
      </c>
      <c r="SF57" s="78">
        <v>6.648085</v>
      </c>
      <c r="SG57" s="78">
        <v>35.616016999999999</v>
      </c>
      <c r="SH57" s="78">
        <v>34.232326999999998</v>
      </c>
      <c r="SI57" s="78">
        <v>-4.675656</v>
      </c>
      <c r="SJ57" s="78">
        <v>29.556671000000001</v>
      </c>
      <c r="SK57" s="78">
        <v>-16.948549</v>
      </c>
      <c r="SL57" s="78">
        <v>1.2762449999999994</v>
      </c>
      <c r="SM57" s="78">
        <v>-15.672304</v>
      </c>
      <c r="SN57" s="78">
        <f t="shared" ref="SN57" si="87">SP57-SO57</f>
        <v>14.604461000000002</v>
      </c>
      <c r="SO57" s="78">
        <f>SO8-SO25</f>
        <v>-12.414747000000002</v>
      </c>
      <c r="SP57" s="78">
        <v>2.1897139999999999</v>
      </c>
      <c r="SQ57" s="78">
        <v>-3.2979909999999109</v>
      </c>
      <c r="SR57" s="78">
        <v>13.958949</v>
      </c>
      <c r="SS57" s="78">
        <v>10.660958000000001</v>
      </c>
      <c r="ST57" s="78">
        <v>-55.954451999999947</v>
      </c>
      <c r="SU57" s="78">
        <v>-13.840678999999998</v>
      </c>
      <c r="SV57" s="78">
        <v>-69.795130999999969</v>
      </c>
      <c r="SW57" s="78">
        <v>10.591872999999998</v>
      </c>
      <c r="SX57" s="78">
        <v>-6.1349959999999975</v>
      </c>
      <c r="SY57" s="78">
        <v>4.4568770000000004</v>
      </c>
      <c r="SZ57" s="78">
        <v>60.787928999999963</v>
      </c>
      <c r="TA57" s="78">
        <v>-23.430631000000002</v>
      </c>
      <c r="TB57" s="78">
        <v>37.357298</v>
      </c>
      <c r="TC57" s="78">
        <v>-22.885901999999998</v>
      </c>
      <c r="TD57" s="78">
        <v>4.7089929999999995</v>
      </c>
      <c r="TE57" s="78">
        <v>-18.176908999999998</v>
      </c>
      <c r="TF57" s="78">
        <v>15.153921000000025</v>
      </c>
      <c r="TG57" s="78">
        <v>-16.109034999999999</v>
      </c>
      <c r="TH57" s="78">
        <v>-0.95511400000000002</v>
      </c>
      <c r="TI57" s="78">
        <v>-91.097751000000002</v>
      </c>
      <c r="TJ57" s="78">
        <v>-40.428297999999998</v>
      </c>
      <c r="TK57" s="78">
        <v>-131.526049</v>
      </c>
      <c r="TL57" s="78">
        <f t="shared" si="45"/>
        <v>17.424436000000043</v>
      </c>
      <c r="TM57" s="91">
        <f t="shared" si="46"/>
        <v>-64.635193999999998</v>
      </c>
      <c r="TN57" s="78">
        <f t="shared" si="47"/>
        <v>-47.210757999999984</v>
      </c>
      <c r="TO57" s="78">
        <v>44.834117999999819</v>
      </c>
      <c r="TP57" s="91">
        <v>6.17699</v>
      </c>
      <c r="TQ57" s="78">
        <v>51.011107999999808</v>
      </c>
      <c r="TR57" s="78">
        <f>TR8-TR25</f>
        <v>50.870311999999842</v>
      </c>
      <c r="TS57" s="78">
        <f>TS8-TS25</f>
        <v>-4.2229309999999991</v>
      </c>
      <c r="TT57" s="78">
        <v>46.647381000000003</v>
      </c>
      <c r="TU57" s="78">
        <v>28.383206000000087</v>
      </c>
      <c r="TV57" s="78">
        <v>-12.350020000000001</v>
      </c>
      <c r="TW57" s="78">
        <v>16.033186000000001</v>
      </c>
      <c r="TX57" s="78">
        <f t="shared" si="49"/>
        <v>7.759323000000002</v>
      </c>
      <c r="TY57" s="78">
        <f>TY8-TY25</f>
        <v>-10.112970000000002</v>
      </c>
      <c r="TZ57" s="78">
        <v>-2.353647</v>
      </c>
      <c r="UA57" s="78"/>
      <c r="UB57" s="78"/>
      <c r="UC57" s="78"/>
      <c r="UD57" s="78"/>
      <c r="UE57" s="78"/>
      <c r="UF57" s="78"/>
      <c r="UG57" s="78"/>
      <c r="UH57" s="78"/>
      <c r="UI57" s="78"/>
      <c r="UJ57" s="78"/>
      <c r="UK57" s="78"/>
      <c r="UL57" s="78"/>
      <c r="UM57" s="78"/>
      <c r="UN57" s="78"/>
      <c r="UO57" s="78"/>
      <c r="UP57" s="78"/>
      <c r="UQ57" s="78"/>
      <c r="UR57" s="78"/>
      <c r="US57" s="78"/>
      <c r="UT57" s="78"/>
      <c r="UU57" s="78"/>
      <c r="UV57" s="78"/>
      <c r="UW57" s="78"/>
      <c r="UX57" s="78"/>
      <c r="UY57" s="295">
        <f t="shared" si="50"/>
        <v>89.522347999999994</v>
      </c>
      <c r="UZ57" s="296">
        <f t="shared" si="51"/>
        <v>29.055250000000001</v>
      </c>
      <c r="VA57" s="296">
        <f t="shared" si="52"/>
        <v>118.57759799999999</v>
      </c>
      <c r="VB57" s="295">
        <f t="shared" si="53"/>
        <v>131.846959</v>
      </c>
      <c r="VC57" s="296">
        <f t="shared" si="54"/>
        <v>-20.508931</v>
      </c>
      <c r="VD57" s="296">
        <f t="shared" si="55"/>
        <v>111.33802799999999</v>
      </c>
      <c r="VE57" s="306">
        <f t="shared" si="56"/>
        <v>-7.2395700000000005</v>
      </c>
      <c r="VF57" s="297">
        <f t="shared" si="57"/>
        <v>-6.1053437766550189</v>
      </c>
    </row>
    <row r="58" spans="1:578" ht="18">
      <c r="A58" s="246" t="s">
        <v>182</v>
      </c>
      <c r="C58" s="244" t="s">
        <v>183</v>
      </c>
      <c r="GC58" s="12"/>
      <c r="SK58" s="12"/>
      <c r="TB58" s="12"/>
      <c r="TH58" s="12"/>
      <c r="TI58" s="12"/>
      <c r="TM58" s="12"/>
      <c r="TR58" s="12"/>
      <c r="TU58" s="12"/>
      <c r="TZ58" s="12"/>
      <c r="UA58" s="12"/>
      <c r="UE58" s="12"/>
      <c r="UH58" s="12"/>
      <c r="UI58" s="12"/>
      <c r="UM58" s="12"/>
      <c r="UP58" s="12"/>
      <c r="UQ58" s="12"/>
      <c r="UU58" s="12"/>
      <c r="UX58" s="12"/>
      <c r="UY58" s="12"/>
      <c r="VC58" s="12"/>
    </row>
    <row r="59" spans="1:578" ht="18">
      <c r="OP59" s="12"/>
      <c r="OS59" s="12"/>
      <c r="OY59" s="234"/>
      <c r="ST59" s="12"/>
      <c r="SU59" s="12"/>
      <c r="SV59" s="12"/>
      <c r="TU59" s="12"/>
    </row>
    <row r="60" spans="1:578">
      <c r="W60" s="133"/>
      <c r="AL60" s="133"/>
      <c r="BC60" s="133"/>
      <c r="CP60" s="133"/>
      <c r="CQ60" s="133"/>
      <c r="VD60" s="133"/>
    </row>
  </sheetData>
  <mergeCells count="248">
    <mergeCell ref="AM6:AM7"/>
    <mergeCell ref="AY6:AY7"/>
    <mergeCell ref="SB5:TK5"/>
    <mergeCell ref="SB6:SD6"/>
    <mergeCell ref="SE6:SG6"/>
    <mergeCell ref="VB6:VD6"/>
    <mergeCell ref="TF6:TH6"/>
    <mergeCell ref="SA6:SA7"/>
    <mergeCell ref="A5:A6"/>
    <mergeCell ref="C5:C7"/>
    <mergeCell ref="UP6:UR6"/>
    <mergeCell ref="US6:UU6"/>
    <mergeCell ref="UV6:UX6"/>
    <mergeCell ref="TL5:TN5"/>
    <mergeCell ref="TL6:TN6"/>
    <mergeCell ref="UY5:VA5"/>
    <mergeCell ref="UY6:VA6"/>
    <mergeCell ref="TO6:TQ6"/>
    <mergeCell ref="TR6:TT6"/>
    <mergeCell ref="TU6:TW6"/>
    <mergeCell ref="TX6:TZ6"/>
    <mergeCell ref="UA6:UC6"/>
    <mergeCell ref="UD6:UF6"/>
    <mergeCell ref="UG6:UI6"/>
    <mergeCell ref="UJ6:UL6"/>
    <mergeCell ref="UM6:UO6"/>
    <mergeCell ref="CN5:CP5"/>
    <mergeCell ref="CX6:CZ6"/>
    <mergeCell ref="CU6:CW6"/>
    <mergeCell ref="DA6:DC6"/>
    <mergeCell ref="CQ6:CQ7"/>
    <mergeCell ref="CN6:CP6"/>
    <mergeCell ref="RO6:RQ6"/>
    <mergeCell ref="RR6:RT6"/>
    <mergeCell ref="OZ5:QI5"/>
    <mergeCell ref="OZ6:PB6"/>
    <mergeCell ref="PC6:PE6"/>
    <mergeCell ref="PF6:PH6"/>
    <mergeCell ref="PI6:PK6"/>
    <mergeCell ref="PL6:PN6"/>
    <mergeCell ref="PX6:PZ6"/>
    <mergeCell ref="PO6:PQ6"/>
    <mergeCell ref="CR6:CT6"/>
    <mergeCell ref="RC6:RE6"/>
    <mergeCell ref="RF6:RH6"/>
    <mergeCell ref="RI6:RK6"/>
    <mergeCell ref="RL6:RN6"/>
    <mergeCell ref="DD6:DF6"/>
    <mergeCell ref="DJ6:DL6"/>
    <mergeCell ref="AZ5:BB5"/>
    <mergeCell ref="CK6:CM6"/>
    <mergeCell ref="AN5:AY5"/>
    <mergeCell ref="AR6:AR7"/>
    <mergeCell ref="AT6:AT7"/>
    <mergeCell ref="AU6:AU7"/>
    <mergeCell ref="AV6:AV7"/>
    <mergeCell ref="AS6:AS7"/>
    <mergeCell ref="AW6:AW7"/>
    <mergeCell ref="AX6:AX7"/>
    <mergeCell ref="CE6:CG6"/>
    <mergeCell ref="BC6:BC7"/>
    <mergeCell ref="BD6:BF6"/>
    <mergeCell ref="BY6:CA6"/>
    <mergeCell ref="BP6:BR6"/>
    <mergeCell ref="BS6:BU6"/>
    <mergeCell ref="BV6:BX6"/>
    <mergeCell ref="BG6:BI6"/>
    <mergeCell ref="BJ6:BL6"/>
    <mergeCell ref="BM6:BO6"/>
    <mergeCell ref="AO6:AO7"/>
    <mergeCell ref="AQ6:AQ7"/>
    <mergeCell ref="AP6:AP7"/>
    <mergeCell ref="EF5:FO5"/>
    <mergeCell ref="FG6:FI6"/>
    <mergeCell ref="EB5:ED5"/>
    <mergeCell ref="OS6:OU6"/>
    <mergeCell ref="LT5:LV5"/>
    <mergeCell ref="HH5:IQ5"/>
    <mergeCell ref="DM6:DO6"/>
    <mergeCell ref="CH6:CJ6"/>
    <mergeCell ref="BD5:CM5"/>
    <mergeCell ref="IR5:IT5"/>
    <mergeCell ref="IR6:IT6"/>
    <mergeCell ref="JH6:JJ6"/>
    <mergeCell ref="KF6:KH6"/>
    <mergeCell ref="KI6:KI7"/>
    <mergeCell ref="LN6:LP6"/>
    <mergeCell ref="KJ5:LS5"/>
    <mergeCell ref="KJ6:KL6"/>
    <mergeCell ref="KM6:KO6"/>
    <mergeCell ref="KP6:KR6"/>
    <mergeCell ref="LE6:LG6"/>
    <mergeCell ref="LH6:LJ6"/>
    <mergeCell ref="CR5:EA5"/>
    <mergeCell ref="DG6:DI6"/>
    <mergeCell ref="CB6:CD6"/>
    <mergeCell ref="B5:B6"/>
    <mergeCell ref="H5:S5"/>
    <mergeCell ref="T5:V5"/>
    <mergeCell ref="X5:AI5"/>
    <mergeCell ref="AJ5:AL5"/>
    <mergeCell ref="W6:W7"/>
    <mergeCell ref="G6:G7"/>
    <mergeCell ref="F6:F7"/>
    <mergeCell ref="E6:E7"/>
    <mergeCell ref="D6:D7"/>
    <mergeCell ref="H6:H7"/>
    <mergeCell ref="I6:I7"/>
    <mergeCell ref="J6:J7"/>
    <mergeCell ref="K6:K7"/>
    <mergeCell ref="Q6:Q7"/>
    <mergeCell ref="N6:N7"/>
    <mergeCell ref="O6:O7"/>
    <mergeCell ref="R6:R7"/>
    <mergeCell ref="P6:P7"/>
    <mergeCell ref="L6:L7"/>
    <mergeCell ref="M6:M7"/>
    <mergeCell ref="EO6:EQ6"/>
    <mergeCell ref="AN6:AN7"/>
    <mergeCell ref="S6:S7"/>
    <mergeCell ref="FM6:FO6"/>
    <mergeCell ref="HW6:HY6"/>
    <mergeCell ref="IV6:IX6"/>
    <mergeCell ref="IY6:JA6"/>
    <mergeCell ref="JQ6:JS6"/>
    <mergeCell ref="JT6:JV6"/>
    <mergeCell ref="JB6:JD6"/>
    <mergeCell ref="JE6:JG6"/>
    <mergeCell ref="II6:IK6"/>
    <mergeCell ref="IL6:IN6"/>
    <mergeCell ref="IO6:IQ6"/>
    <mergeCell ref="IF6:IH6"/>
    <mergeCell ref="HK6:HM6"/>
    <mergeCell ref="HN6:HP6"/>
    <mergeCell ref="HZ6:IB6"/>
    <mergeCell ref="IC6:IE6"/>
    <mergeCell ref="HH6:HJ6"/>
    <mergeCell ref="JK6:JM6"/>
    <mergeCell ref="HG6:HG7"/>
    <mergeCell ref="HQ6:HS6"/>
    <mergeCell ref="HT6:HV6"/>
    <mergeCell ref="EI6:EK6"/>
    <mergeCell ref="EL6:EN6"/>
    <mergeCell ref="DP6:DR6"/>
    <mergeCell ref="DS6:DU6"/>
    <mergeCell ref="DV6:DX6"/>
    <mergeCell ref="DY6:EA6"/>
    <mergeCell ref="EE6:EE7"/>
    <mergeCell ref="EB6:ED6"/>
    <mergeCell ref="EF6:EH6"/>
    <mergeCell ref="NE6:NG6"/>
    <mergeCell ref="FA6:FC6"/>
    <mergeCell ref="FD6:FF6"/>
    <mergeCell ref="EU6:EW6"/>
    <mergeCell ref="ER6:ET6"/>
    <mergeCell ref="EX6:EZ6"/>
    <mergeCell ref="FP6:FR6"/>
    <mergeCell ref="FS6:FS7"/>
    <mergeCell ref="JN6:JP6"/>
    <mergeCell ref="NB6:ND6"/>
    <mergeCell ref="FJ6:FL6"/>
    <mergeCell ref="IU6:IU7"/>
    <mergeCell ref="HD5:HF5"/>
    <mergeCell ref="FT5:HC5"/>
    <mergeCell ref="FT6:FV6"/>
    <mergeCell ref="FW6:FY6"/>
    <mergeCell ref="FZ6:GB6"/>
    <mergeCell ref="GC6:GE6"/>
    <mergeCell ref="GF6:GH6"/>
    <mergeCell ref="GI6:GK6"/>
    <mergeCell ref="HA6:HC6"/>
    <mergeCell ref="GO6:GQ6"/>
    <mergeCell ref="GR6:GT6"/>
    <mergeCell ref="GU6:GW6"/>
    <mergeCell ref="GX6:GZ6"/>
    <mergeCell ref="GL6:GN6"/>
    <mergeCell ref="FP5:FR5"/>
    <mergeCell ref="HD6:HF6"/>
    <mergeCell ref="VB5:VD5"/>
    <mergeCell ref="KV6:KX6"/>
    <mergeCell ref="KY6:LA6"/>
    <mergeCell ref="MP6:MR6"/>
    <mergeCell ref="MS6:MU6"/>
    <mergeCell ref="NR6:NT6"/>
    <mergeCell ref="LK6:LM6"/>
    <mergeCell ref="LQ6:LS6"/>
    <mergeCell ref="KS6:KU6"/>
    <mergeCell ref="QJ6:QL6"/>
    <mergeCell ref="QN5:RW5"/>
    <mergeCell ref="QN6:QP6"/>
    <mergeCell ref="QJ5:QL5"/>
    <mergeCell ref="OP6:OR6"/>
    <mergeCell ref="OM6:OO6"/>
    <mergeCell ref="MV6:MX6"/>
    <mergeCell ref="LB6:LD6"/>
    <mergeCell ref="LX6:LZ6"/>
    <mergeCell ref="NU6:NW6"/>
    <mergeCell ref="NX6:NZ6"/>
    <mergeCell ref="NL6:NN6"/>
    <mergeCell ref="OV5:OX5"/>
    <mergeCell ref="TO5:UX5"/>
    <mergeCell ref="NK6:NK7"/>
    <mergeCell ref="OD6:OF6"/>
    <mergeCell ref="RX5:RZ5"/>
    <mergeCell ref="RX6:RZ6"/>
    <mergeCell ref="JW6:JY6"/>
    <mergeCell ref="JZ6:KB6"/>
    <mergeCell ref="KC6:KE6"/>
    <mergeCell ref="PU6:PW6"/>
    <mergeCell ref="LT6:LV6"/>
    <mergeCell ref="OA6:OC6"/>
    <mergeCell ref="MA6:MC6"/>
    <mergeCell ref="LW6:LW7"/>
    <mergeCell ref="MD6:MF6"/>
    <mergeCell ref="MG6:MI6"/>
    <mergeCell ref="MJ6:ML6"/>
    <mergeCell ref="MM6:MO6"/>
    <mergeCell ref="OG6:OI6"/>
    <mergeCell ref="NH5:NJ5"/>
    <mergeCell ref="NH6:NJ6"/>
    <mergeCell ref="LX5:NG5"/>
    <mergeCell ref="MY6:NA6"/>
    <mergeCell ref="KF5:KH5"/>
    <mergeCell ref="IV5:KE5"/>
    <mergeCell ref="NO6:NQ6"/>
    <mergeCell ref="NL5:OU5"/>
    <mergeCell ref="QM6:QM7"/>
    <mergeCell ref="QD6:QF6"/>
    <mergeCell ref="QG6:QI6"/>
    <mergeCell ref="QQ6:QS6"/>
    <mergeCell ref="QT6:QV6"/>
    <mergeCell ref="QW6:QY6"/>
    <mergeCell ref="QZ6:RB6"/>
    <mergeCell ref="QA6:QC6"/>
    <mergeCell ref="OY6:OY7"/>
    <mergeCell ref="OJ6:OL6"/>
    <mergeCell ref="OV6:OX6"/>
    <mergeCell ref="PR6:PT6"/>
    <mergeCell ref="RU6:RW6"/>
    <mergeCell ref="TI6:TK6"/>
    <mergeCell ref="SH6:SJ6"/>
    <mergeCell ref="SK6:SM6"/>
    <mergeCell ref="SN6:SP6"/>
    <mergeCell ref="SQ6:SS6"/>
    <mergeCell ref="ST6:SV6"/>
    <mergeCell ref="SW6:SY6"/>
    <mergeCell ref="SZ6:TB6"/>
    <mergeCell ref="TC6:TE6"/>
  </mergeCells>
  <conditionalFormatting sqref="BE9:BE13">
    <cfRule type="cellIs" dxfId="197" priority="1237" operator="equal">
      <formula>0</formula>
    </cfRule>
  </conditionalFormatting>
  <conditionalFormatting sqref="BE27 BE29:BE30 BE32 BE34:BE37 BE43:BE44">
    <cfRule type="cellIs" dxfId="196" priority="1251" operator="equal">
      <formula>0</formula>
    </cfRule>
  </conditionalFormatting>
  <conditionalFormatting sqref="BE48:BE54">
    <cfRule type="cellIs" dxfId="195" priority="1227" operator="equal">
      <formula>0</formula>
    </cfRule>
  </conditionalFormatting>
  <conditionalFormatting sqref="BH9:BH13">
    <cfRule type="cellIs" dxfId="194" priority="1236" operator="equal">
      <formula>0</formula>
    </cfRule>
  </conditionalFormatting>
  <conditionalFormatting sqref="BH27 BH29:BH30 BH32 BH34:BH37">
    <cfRule type="cellIs" dxfId="193" priority="1250" operator="equal">
      <formula>0</formula>
    </cfRule>
  </conditionalFormatting>
  <conditionalFormatting sqref="BH43:BH44">
    <cfRule type="cellIs" dxfId="192" priority="1249" operator="equal">
      <formula>0</formula>
    </cfRule>
  </conditionalFormatting>
  <conditionalFormatting sqref="BH48:BH54">
    <cfRule type="cellIs" dxfId="191" priority="1226" operator="equal">
      <formula>0</formula>
    </cfRule>
  </conditionalFormatting>
  <conditionalFormatting sqref="BK9:BK13">
    <cfRule type="cellIs" dxfId="190" priority="1235" operator="equal">
      <formula>0</formula>
    </cfRule>
  </conditionalFormatting>
  <conditionalFormatting sqref="BK27 BK29:BK30 BK32 BK34:BK37">
    <cfRule type="cellIs" dxfId="189" priority="1247" operator="equal">
      <formula>0</formula>
    </cfRule>
  </conditionalFormatting>
  <conditionalFormatting sqref="BK43:BK44">
    <cfRule type="cellIs" dxfId="188" priority="1246" operator="equal">
      <formula>0</formula>
    </cfRule>
  </conditionalFormatting>
  <conditionalFormatting sqref="BK48:BK54">
    <cfRule type="cellIs" dxfId="187" priority="1225" operator="equal">
      <formula>0</formula>
    </cfRule>
  </conditionalFormatting>
  <conditionalFormatting sqref="BN9:BN13">
    <cfRule type="cellIs" dxfId="186" priority="1234" operator="equal">
      <formula>0</formula>
    </cfRule>
  </conditionalFormatting>
  <conditionalFormatting sqref="BN27 BN29:BN30 BN32 BN34:BN37">
    <cfRule type="cellIs" dxfId="185" priority="1240" operator="equal">
      <formula>0</formula>
    </cfRule>
  </conditionalFormatting>
  <conditionalFormatting sqref="BN43:BN44">
    <cfRule type="cellIs" dxfId="184" priority="1239" operator="equal">
      <formula>0</formula>
    </cfRule>
  </conditionalFormatting>
  <conditionalFormatting sqref="BN48:BN54">
    <cfRule type="cellIs" dxfId="183" priority="1224" operator="equal">
      <formula>0</formula>
    </cfRule>
  </conditionalFormatting>
  <conditionalFormatting sqref="BQ9:BQ13">
    <cfRule type="cellIs" dxfId="182" priority="1233" operator="equal">
      <formula>0</formula>
    </cfRule>
  </conditionalFormatting>
  <conditionalFormatting sqref="BQ27 BT27 BW27 BZ27 CC27 CF27 BQ29:BQ30 BT29:BT30 BW29:BW30 BZ29:BZ30 CC29:CC30 CF29:CF30 BQ32 BT32 BW32 BZ32 CC32 CF32 BQ34:BQ37 BT34:BT37 BW34:BW37 BZ34:BZ37 CC34:CC37 CF34:CF37">
    <cfRule type="cellIs" dxfId="181" priority="1244" operator="equal">
      <formula>0</formula>
    </cfRule>
  </conditionalFormatting>
  <conditionalFormatting sqref="BQ43:BQ44 BT43:BT44 BW43:BW44 BZ43:BZ44 CC43:CC44 CF43:CF44">
    <cfRule type="cellIs" dxfId="180" priority="1243" operator="equal">
      <formula>0</formula>
    </cfRule>
  </conditionalFormatting>
  <conditionalFormatting sqref="BQ48:BQ54">
    <cfRule type="cellIs" dxfId="179" priority="1223" operator="equal">
      <formula>0</formula>
    </cfRule>
  </conditionalFormatting>
  <conditionalFormatting sqref="BT9:BT13">
    <cfRule type="cellIs" dxfId="178" priority="1232" operator="equal">
      <formula>0</formula>
    </cfRule>
  </conditionalFormatting>
  <conditionalFormatting sqref="BT48:BT54">
    <cfRule type="cellIs" dxfId="177" priority="1222" operator="equal">
      <formula>0</formula>
    </cfRule>
  </conditionalFormatting>
  <conditionalFormatting sqref="BW9:BW13">
    <cfRule type="cellIs" dxfId="176" priority="1231" operator="equal">
      <formula>0</formula>
    </cfRule>
  </conditionalFormatting>
  <conditionalFormatting sqref="BW48:BW54">
    <cfRule type="cellIs" dxfId="175" priority="1221" operator="equal">
      <formula>0</formula>
    </cfRule>
  </conditionalFormatting>
  <conditionalFormatting sqref="BZ9:BZ13">
    <cfRule type="cellIs" dxfId="174" priority="1230" operator="equal">
      <formula>0</formula>
    </cfRule>
  </conditionalFormatting>
  <conditionalFormatting sqref="BZ48:BZ54">
    <cfRule type="cellIs" dxfId="173" priority="1220" operator="equal">
      <formula>0</formula>
    </cfRule>
  </conditionalFormatting>
  <conditionalFormatting sqref="CC9:CC13">
    <cfRule type="cellIs" dxfId="172" priority="1229" operator="equal">
      <formula>0</formula>
    </cfRule>
  </conditionalFormatting>
  <conditionalFormatting sqref="CC48:CC54">
    <cfRule type="cellIs" dxfId="171" priority="1219" operator="equal">
      <formula>0</formula>
    </cfRule>
  </conditionalFormatting>
  <conditionalFormatting sqref="CF9:CF13">
    <cfRule type="cellIs" dxfId="170" priority="1228" operator="equal">
      <formula>0</formula>
    </cfRule>
  </conditionalFormatting>
  <conditionalFormatting sqref="CF48:CF54">
    <cfRule type="cellIs" dxfId="169" priority="1218" operator="equal">
      <formula>0</formula>
    </cfRule>
  </conditionalFormatting>
  <conditionalFormatting sqref="CI24 CL24">
    <cfRule type="cellIs" dxfId="168" priority="1266" operator="equal">
      <formula>0</formula>
    </cfRule>
  </conditionalFormatting>
  <conditionalFormatting sqref="CI27 CL27 CI29:CI30 CL29:CL30 CI32 CL32 CI34:CI37 CL34:CL37">
    <cfRule type="cellIs" dxfId="167" priority="1288" operator="equal">
      <formula>0</formula>
    </cfRule>
  </conditionalFormatting>
  <conditionalFormatting sqref="CI43:CI44 CL43:CL44">
    <cfRule type="cellIs" dxfId="166" priority="1287" operator="equal">
      <formula>0</formula>
    </cfRule>
  </conditionalFormatting>
  <conditionalFormatting sqref="CI48:CI54 CL48:CL54">
    <cfRule type="cellIs" dxfId="165" priority="1286" operator="equal">
      <formula>0</formula>
    </cfRule>
  </conditionalFormatting>
  <conditionalFormatting sqref="CI56 CL56">
    <cfRule type="cellIs" dxfId="164" priority="1274" operator="equal">
      <formula>0</formula>
    </cfRule>
  </conditionalFormatting>
  <conditionalFormatting sqref="CS24">
    <cfRule type="cellIs" dxfId="163" priority="1213" operator="equal">
      <formula>0</formula>
    </cfRule>
  </conditionalFormatting>
  <conditionalFormatting sqref="CS27 CS29:CS30 CS32 CS34:CS37">
    <cfRule type="cellIs" dxfId="162" priority="1217" operator="equal">
      <formula>0</formula>
    </cfRule>
  </conditionalFormatting>
  <conditionalFormatting sqref="CS43:CS44">
    <cfRule type="cellIs" dxfId="161" priority="1216" operator="equal">
      <formula>0</formula>
    </cfRule>
  </conditionalFormatting>
  <conditionalFormatting sqref="CS48:CS54">
    <cfRule type="cellIs" dxfId="160" priority="1215" operator="equal">
      <formula>0</formula>
    </cfRule>
  </conditionalFormatting>
  <conditionalFormatting sqref="CS56">
    <cfRule type="cellIs" dxfId="159" priority="1214" operator="equal">
      <formula>0</formula>
    </cfRule>
  </conditionalFormatting>
  <conditionalFormatting sqref="CV24 CY24">
    <cfRule type="cellIs" dxfId="158" priority="1208" operator="equal">
      <formula>0</formula>
    </cfRule>
  </conditionalFormatting>
  <conditionalFormatting sqref="CV27 CY27 CV29:CV30 CY29:CY30 CV32 CY32 CV34:CV37 CY34:CY37">
    <cfRule type="cellIs" dxfId="157" priority="1212" operator="equal">
      <formula>0</formula>
    </cfRule>
  </conditionalFormatting>
  <conditionalFormatting sqref="CV43:CV44 CY43:CY44">
    <cfRule type="cellIs" dxfId="156" priority="1211" operator="equal">
      <formula>0</formula>
    </cfRule>
  </conditionalFormatting>
  <conditionalFormatting sqref="CV48:CV54 CY48:CY54">
    <cfRule type="cellIs" dxfId="155" priority="1210" operator="equal">
      <formula>0</formula>
    </cfRule>
  </conditionalFormatting>
  <conditionalFormatting sqref="CV56 CY56">
    <cfRule type="cellIs" dxfId="154" priority="1209" operator="equal">
      <formula>0</formula>
    </cfRule>
  </conditionalFormatting>
  <conditionalFormatting sqref="DB24 DE24 DH24 DK24 DN24 DQ24 DT24 DW24 DZ24">
    <cfRule type="cellIs" dxfId="153" priority="1203" operator="equal">
      <formula>0</formula>
    </cfRule>
  </conditionalFormatting>
  <conditionalFormatting sqref="DB27 DE27 DH27 DK27 DN27 DQ27 DT27 DW27 DZ27 DB29:DB30 DE29:DE30 DH29:DH30 DK29:DK30 DN29:DN30 DQ29:DQ30 DT29:DT30 DW29:DW30 DZ29:DZ30 DB32 DE32 DH32 DK32 DN32 DQ32 DT32 DW32 DZ32 DB34:DB37 DE34:DE37 DH34:DH37 DK34:DK37 DN34:DN37 DQ34:DQ37 DT34:DT37 DW34:DW37 DZ34:DZ37">
    <cfRule type="cellIs" dxfId="152" priority="1207" operator="equal">
      <formula>0</formula>
    </cfRule>
  </conditionalFormatting>
  <conditionalFormatting sqref="DB43:DB44 DE43:DE44 DH43:DH44 DK43:DK44 DN43:DN44 DQ43:DQ44 DT43:DT44 DW43:DW44 DZ43:DZ44">
    <cfRule type="cellIs" dxfId="151" priority="1206" operator="equal">
      <formula>0</formula>
    </cfRule>
  </conditionalFormatting>
  <conditionalFormatting sqref="DB48:DB54 DE48:DE54 DH48:DH54 DK48:DK54 DN48:DN54 DQ48:DQ54 DT48:DT54 DW48:DW54 DZ48:DZ54">
    <cfRule type="cellIs" dxfId="150" priority="1205" operator="equal">
      <formula>0</formula>
    </cfRule>
  </conditionalFormatting>
  <conditionalFormatting sqref="DB56 DE56 DH56 DK56 DN56 DQ56 DT56 DW56 DZ56">
    <cfRule type="cellIs" dxfId="149" priority="1204" operator="equal">
      <formula>0</formula>
    </cfRule>
  </conditionalFormatting>
  <conditionalFormatting sqref="EC27 EC29:EC30 EC32 EC34:EC37">
    <cfRule type="cellIs" dxfId="148" priority="1201" operator="equal">
      <formula>0</formula>
    </cfRule>
  </conditionalFormatting>
  <conditionalFormatting sqref="EC43:EC44">
    <cfRule type="cellIs" dxfId="147" priority="1200" operator="equal">
      <formula>0</formula>
    </cfRule>
  </conditionalFormatting>
  <conditionalFormatting sqref="EC48:EC51">
    <cfRule type="cellIs" dxfId="146" priority="1199" operator="equal">
      <formula>0</formula>
    </cfRule>
  </conditionalFormatting>
  <conditionalFormatting sqref="HK39:HP57">
    <cfRule type="cellIs" dxfId="145" priority="1190" operator="between">
      <formula>-0.00000045</formula>
      <formula>0.00000045</formula>
    </cfRule>
  </conditionalFormatting>
  <conditionalFormatting sqref="HK8:HV38">
    <cfRule type="cellIs" dxfId="144" priority="1186" operator="between">
      <formula>-0.00000045</formula>
      <formula>0.00000045</formula>
    </cfRule>
  </conditionalFormatting>
  <conditionalFormatting sqref="HQ39:HV41">
    <cfRule type="cellIs" dxfId="143" priority="1193" operator="between">
      <formula>-0.00000045</formula>
      <formula>0.00000045</formula>
    </cfRule>
  </conditionalFormatting>
  <conditionalFormatting sqref="HQ42:IT57">
    <cfRule type="cellIs" dxfId="142" priority="1163" operator="between">
      <formula>-0.00000045</formula>
      <formula>0.00000045</formula>
    </cfRule>
  </conditionalFormatting>
  <conditionalFormatting sqref="HW8:IT41 CR8:HJ57 QD10:QI26 OZ24:QC26 MG39:MI39 MG40:MH40 MG41:MI41 PJ52:QC52 QD52:QF55">
    <cfRule type="cellIs" dxfId="141" priority="1202" operator="between">
      <formula>-0.00000045</formula>
      <formula>0.00000045</formula>
    </cfRule>
  </conditionalFormatting>
  <conditionalFormatting sqref="IU8:KI57">
    <cfRule type="cellIs" dxfId="140" priority="668" operator="between">
      <formula>-0.00000045</formula>
      <formula>0.00000045</formula>
    </cfRule>
  </conditionalFormatting>
  <conditionalFormatting sqref="KJ8:KL41">
    <cfRule type="cellIs" dxfId="139" priority="789" operator="between">
      <formula>-0.00000045</formula>
      <formula>0.00000045</formula>
    </cfRule>
  </conditionalFormatting>
  <conditionalFormatting sqref="KJ52:KM57">
    <cfRule type="cellIs" dxfId="138" priority="775" operator="between">
      <formula>-0.00000045</formula>
      <formula>0.00000045</formula>
    </cfRule>
  </conditionalFormatting>
  <conditionalFormatting sqref="KJ42:KN51">
    <cfRule type="cellIs" dxfId="137" priority="738" operator="between">
      <formula>-0.00000045</formula>
      <formula>0.00000045</formula>
    </cfRule>
  </conditionalFormatting>
  <conditionalFormatting sqref="KM9:KM26">
    <cfRule type="cellIs" dxfId="136" priority="781" operator="between">
      <formula>-0.00000045</formula>
      <formula>0.00000045</formula>
    </cfRule>
  </conditionalFormatting>
  <conditionalFormatting sqref="KM8:KN8 KN9:KN23 KN24:KO24">
    <cfRule type="cellIs" dxfId="135" priority="786" operator="between">
      <formula>-0.00000045</formula>
      <formula>0.00000045</formula>
    </cfRule>
  </conditionalFormatting>
  <conditionalFormatting sqref="KM27:KN41">
    <cfRule type="cellIs" dxfId="134" priority="780" operator="between">
      <formula>-0.00000045</formula>
      <formula>0.00000045</formula>
    </cfRule>
  </conditionalFormatting>
  <conditionalFormatting sqref="KN25:KN26">
    <cfRule type="cellIs" dxfId="133" priority="774" operator="between">
      <formula>-0.00000045</formula>
      <formula>0.00000045</formula>
    </cfRule>
  </conditionalFormatting>
  <conditionalFormatting sqref="KN56:KN57">
    <cfRule type="cellIs" dxfId="132" priority="773" operator="between">
      <formula>-0.00000045</formula>
      <formula>0.00000045</formula>
    </cfRule>
  </conditionalFormatting>
  <conditionalFormatting sqref="KO8:KO23">
    <cfRule type="cellIs" dxfId="131" priority="772" operator="between">
      <formula>-0.00000045</formula>
      <formula>0.00000045</formula>
    </cfRule>
  </conditionalFormatting>
  <conditionalFormatting sqref="KO25:KO55">
    <cfRule type="cellIs" dxfId="130" priority="737" operator="between">
      <formula>-0.00000045</formula>
      <formula>0.00000045</formula>
    </cfRule>
  </conditionalFormatting>
  <conditionalFormatting sqref="KO57">
    <cfRule type="cellIs" dxfId="129" priority="769" operator="between">
      <formula>-0.00000045</formula>
      <formula>0.00000045</formula>
    </cfRule>
  </conditionalFormatting>
  <conditionalFormatting sqref="KP8:KR26">
    <cfRule type="cellIs" dxfId="128" priority="763" operator="between">
      <formula>-0.00000045</formula>
      <formula>0.00000045</formula>
    </cfRule>
  </conditionalFormatting>
  <conditionalFormatting sqref="KP52:KR57">
    <cfRule type="cellIs" dxfId="127" priority="755" operator="between">
      <formula>-0.00000045</formula>
      <formula>0.00000045</formula>
    </cfRule>
  </conditionalFormatting>
  <conditionalFormatting sqref="KP27:KT51">
    <cfRule type="cellIs" dxfId="126" priority="734" operator="between">
      <formula>-0.00000045</formula>
      <formula>0.00000045</formula>
    </cfRule>
  </conditionalFormatting>
  <conditionalFormatting sqref="KS25:KT26 KN52:KN54">
    <cfRule type="cellIs" dxfId="125" priority="790" operator="between">
      <formula>-0.00000045</formula>
      <formula>0.00000045</formula>
    </cfRule>
  </conditionalFormatting>
  <conditionalFormatting sqref="KS52:KT56 KS57:KU57">
    <cfRule type="cellIs" dxfId="124" priority="767" operator="between">
      <formula>-0.00000045</formula>
      <formula>0.00000045</formula>
    </cfRule>
  </conditionalFormatting>
  <conditionalFormatting sqref="KS8:KU24">
    <cfRule type="cellIs" dxfId="123" priority="721" operator="between">
      <formula>-0.00000045</formula>
      <formula>0.00000045</formula>
    </cfRule>
  </conditionalFormatting>
  <conditionalFormatting sqref="KU25:KU56">
    <cfRule type="cellIs" dxfId="122" priority="743" operator="between">
      <formula>-0.00000045</formula>
      <formula>0.00000045</formula>
    </cfRule>
  </conditionalFormatting>
  <conditionalFormatting sqref="KV8:KX57">
    <cfRule type="cellIs" dxfId="121" priority="708" operator="between">
      <formula>-0.00000045</formula>
      <formula>0.00000045</formula>
    </cfRule>
  </conditionalFormatting>
  <conditionalFormatting sqref="KY52:KY57">
    <cfRule type="cellIs" dxfId="120" priority="942" operator="between">
      <formula>-0.00000045</formula>
      <formula>0.00000045</formula>
    </cfRule>
  </conditionalFormatting>
  <conditionalFormatting sqref="KY8:KZ51">
    <cfRule type="cellIs" dxfId="119" priority="694" operator="between">
      <formula>-0.00000045</formula>
      <formula>0.00000045</formula>
    </cfRule>
  </conditionalFormatting>
  <conditionalFormatting sqref="KZ52:KZ54">
    <cfRule type="cellIs" dxfId="118" priority="954" operator="between">
      <formula>-0.00000045</formula>
      <formula>0.00000045</formula>
    </cfRule>
  </conditionalFormatting>
  <conditionalFormatting sqref="KZ56:KZ57">
    <cfRule type="cellIs" dxfId="117" priority="940" operator="between">
      <formula>-0.00000045</formula>
      <formula>0.00000045</formula>
    </cfRule>
  </conditionalFormatting>
  <conditionalFormatting sqref="LA8:LA57">
    <cfRule type="cellIs" dxfId="116" priority="691" operator="between">
      <formula>-0.00000045</formula>
      <formula>0.00000045</formula>
    </cfRule>
  </conditionalFormatting>
  <conditionalFormatting sqref="LB9:LB26">
    <cfRule type="cellIs" dxfId="115" priority="929" operator="between">
      <formula>-0.00000045</formula>
      <formula>0.00000045</formula>
    </cfRule>
  </conditionalFormatting>
  <conditionalFormatting sqref="LB8:LC8 LC9:LC23 LC24:LD24">
    <cfRule type="cellIs" dxfId="114" priority="934" operator="between">
      <formula>-0.00000045</formula>
      <formula>0.00000045</formula>
    </cfRule>
  </conditionalFormatting>
  <conditionalFormatting sqref="LB27:LC57">
    <cfRule type="cellIs" dxfId="113" priority="690" operator="between">
      <formula>-0.00000045</formula>
      <formula>0.00000045</formula>
    </cfRule>
  </conditionalFormatting>
  <conditionalFormatting sqref="LC25:LC26">
    <cfRule type="cellIs" dxfId="112" priority="922" operator="between">
      <formula>-0.00000045</formula>
      <formula>0.00000045</formula>
    </cfRule>
  </conditionalFormatting>
  <conditionalFormatting sqref="LD8:LD23">
    <cfRule type="cellIs" dxfId="111" priority="920" operator="between">
      <formula>-0.00000045</formula>
      <formula>0.00000045</formula>
    </cfRule>
  </conditionalFormatting>
  <conditionalFormatting sqref="LD25:LD55">
    <cfRule type="cellIs" dxfId="110" priority="918" operator="between">
      <formula>-0.00000045</formula>
      <formula>0.00000045</formula>
    </cfRule>
  </conditionalFormatting>
  <conditionalFormatting sqref="LD57">
    <cfRule type="cellIs" dxfId="109" priority="917" operator="between">
      <formula>-0.00000045</formula>
      <formula>0.00000045</formula>
    </cfRule>
  </conditionalFormatting>
  <conditionalFormatting sqref="LE9:LE26">
    <cfRule type="cellIs" dxfId="108" priority="910" operator="between">
      <formula>-0.00000045</formula>
      <formula>0.00000045</formula>
    </cfRule>
  </conditionalFormatting>
  <conditionalFormatting sqref="LE52:LE57">
    <cfRule type="cellIs" dxfId="107" priority="904" operator="between">
      <formula>-0.00000045</formula>
      <formula>0.00000045</formula>
    </cfRule>
  </conditionalFormatting>
  <conditionalFormatting sqref="LE8:LF8 LF9:LF23 LF24:LG24">
    <cfRule type="cellIs" dxfId="106" priority="915" operator="between">
      <formula>-0.00000045</formula>
      <formula>0.00000045</formula>
    </cfRule>
  </conditionalFormatting>
  <conditionalFormatting sqref="LE27:LF51">
    <cfRule type="cellIs" dxfId="105" priority="907" operator="between">
      <formula>-0.00000045</formula>
      <formula>0.00000045</formula>
    </cfRule>
  </conditionalFormatting>
  <conditionalFormatting sqref="LF25:LF26">
    <cfRule type="cellIs" dxfId="104" priority="903" operator="between">
      <formula>-0.00000045</formula>
      <formula>0.00000045</formula>
    </cfRule>
  </conditionalFormatting>
  <conditionalFormatting sqref="LF52:LF54">
    <cfRule type="cellIs" dxfId="103" priority="916" operator="between">
      <formula>-0.00000045</formula>
      <formula>0.00000045</formula>
    </cfRule>
  </conditionalFormatting>
  <conditionalFormatting sqref="LF56:LF57">
    <cfRule type="cellIs" dxfId="102" priority="902" operator="between">
      <formula>-0.00000045</formula>
      <formula>0.00000045</formula>
    </cfRule>
  </conditionalFormatting>
  <conditionalFormatting sqref="LG8:LG23">
    <cfRule type="cellIs" dxfId="101" priority="901" operator="between">
      <formula>-0.00000045</formula>
      <formula>0.00000045</formula>
    </cfRule>
  </conditionalFormatting>
  <conditionalFormatting sqref="LG25:LG55">
    <cfRule type="cellIs" dxfId="100" priority="689" operator="between">
      <formula>-0.00000045</formula>
      <formula>0.00000045</formula>
    </cfRule>
  </conditionalFormatting>
  <conditionalFormatting sqref="LG57:LS57">
    <cfRule type="cellIs" dxfId="99" priority="898" operator="between">
      <formula>-0.00000045</formula>
      <formula>0.00000045</formula>
    </cfRule>
  </conditionalFormatting>
  <conditionalFormatting sqref="LH8:LS56">
    <cfRule type="cellIs" dxfId="98" priority="606" operator="between">
      <formula>-0.00000045</formula>
      <formula>0.00000045</formula>
    </cfRule>
  </conditionalFormatting>
  <conditionalFormatting sqref="LT8:LU57">
    <cfRule type="cellIs" dxfId="97" priority="599" operator="between">
      <formula>-0.00000045</formula>
      <formula>0.00000045</formula>
    </cfRule>
  </conditionalFormatting>
  <conditionalFormatting sqref="LV42:LW57">
    <cfRule type="cellIs" dxfId="96" priority="510" operator="between">
      <formula>-0.00000045</formula>
      <formula>0.00000045</formula>
    </cfRule>
  </conditionalFormatting>
  <conditionalFormatting sqref="LV39:MF41">
    <cfRule type="cellIs" dxfId="95" priority="597" operator="between">
      <formula>-0.00000045</formula>
      <formula>0.00000045</formula>
    </cfRule>
  </conditionalFormatting>
  <conditionalFormatting sqref="LV8:NG38">
    <cfRule type="cellIs" dxfId="94" priority="515" operator="between">
      <formula>-0.00000045</formula>
      <formula>0.00000045</formula>
    </cfRule>
  </conditionalFormatting>
  <conditionalFormatting sqref="LX48:MC57">
    <cfRule type="cellIs" dxfId="93" priority="593" operator="between">
      <formula>-0.00000045</formula>
      <formula>0.00000045</formula>
    </cfRule>
  </conditionalFormatting>
  <conditionalFormatting sqref="LX42:MH45">
    <cfRule type="cellIs" dxfId="92" priority="649" operator="between">
      <formula>-0.00000045</formula>
      <formula>0.00000045</formula>
    </cfRule>
  </conditionalFormatting>
  <conditionalFormatting sqref="MD52:MF57">
    <cfRule type="cellIs" dxfId="91" priority="592" operator="between">
      <formula>-0.00000045</formula>
      <formula>0.00000045</formula>
    </cfRule>
  </conditionalFormatting>
  <conditionalFormatting sqref="MD48:NG51">
    <cfRule type="cellIs" dxfId="90" priority="550" operator="between">
      <formula>-0.00000045</formula>
      <formula>0.00000045</formula>
    </cfRule>
  </conditionalFormatting>
  <conditionalFormatting sqref="MG52:MX55">
    <cfRule type="cellIs" dxfId="89" priority="573" operator="between">
      <formula>-0.00000045</formula>
      <formula>0.00000045</formula>
    </cfRule>
  </conditionalFormatting>
  <conditionalFormatting sqref="MI42:NG42">
    <cfRule type="cellIs" dxfId="88" priority="552" operator="between">
      <formula>-0.00000045</formula>
      <formula>0.00000045</formula>
    </cfRule>
  </conditionalFormatting>
  <conditionalFormatting sqref="MI44:NG45">
    <cfRule type="cellIs" dxfId="87" priority="551" operator="between">
      <formula>-0.00000045</formula>
      <formula>0.00000045</formula>
    </cfRule>
  </conditionalFormatting>
  <conditionalFormatting sqref="MY52:NA53 MY54:MZ55">
    <cfRule type="cellIs" dxfId="86" priority="567" operator="between">
      <formula>-0.00000045</formula>
      <formula>0.00000045</formula>
    </cfRule>
  </conditionalFormatting>
  <conditionalFormatting sqref="NA54 NA56">
    <cfRule type="cellIs" dxfId="85" priority="527" operator="between">
      <formula>-0.00000045</formula>
      <formula>0.00000045</formula>
    </cfRule>
  </conditionalFormatting>
  <conditionalFormatting sqref="NB52:NG55 MG57:NG57">
    <cfRule type="cellIs" dxfId="84" priority="555" operator="between">
      <formula>-0.00000045</formula>
      <formula>0.00000045</formula>
    </cfRule>
  </conditionalFormatting>
  <conditionalFormatting sqref="ND56">
    <cfRule type="cellIs" dxfId="83" priority="509" operator="between">
      <formula>-0.00000045</formula>
      <formula>0.00000045</formula>
    </cfRule>
  </conditionalFormatting>
  <conditionalFormatting sqref="NH8:NI57">
    <cfRule type="cellIs" dxfId="82" priority="503" operator="between">
      <formula>-0.00000045</formula>
      <formula>0.00000045</formula>
    </cfRule>
  </conditionalFormatting>
  <conditionalFormatting sqref="NJ8:NK38">
    <cfRule type="cellIs" dxfId="81" priority="445" operator="between">
      <formula>-0.00000045</formula>
      <formula>0.00000045</formula>
    </cfRule>
  </conditionalFormatting>
  <conditionalFormatting sqref="NJ42:NK57">
    <cfRule type="cellIs" dxfId="80" priority="440" operator="between">
      <formula>-0.00000045</formula>
      <formula>0.00000045</formula>
    </cfRule>
  </conditionalFormatting>
  <conditionalFormatting sqref="NJ39:NW41">
    <cfRule type="cellIs" dxfId="79" priority="507" operator="between">
      <formula>-0.00000045</formula>
      <formula>0.00000045</formula>
    </cfRule>
  </conditionalFormatting>
  <conditionalFormatting sqref="NL27:NW38">
    <cfRule type="cellIs" dxfId="78" priority="482" operator="between">
      <formula>-0.00000045</formula>
      <formula>0.00000045</formula>
    </cfRule>
  </conditionalFormatting>
  <conditionalFormatting sqref="NL42:NW45">
    <cfRule type="cellIs" dxfId="77" priority="480" operator="between">
      <formula>-0.00000045</formula>
      <formula>0.00000045</formula>
    </cfRule>
  </conditionalFormatting>
  <conditionalFormatting sqref="NL48:NW57">
    <cfRule type="cellIs" dxfId="76" priority="478" operator="between">
      <formula>-0.00000045</formula>
      <formula>0.00000045</formula>
    </cfRule>
  </conditionalFormatting>
  <conditionalFormatting sqref="NL8:OL26 OM8:OU51 MJ39:NG41 MJ43:NG43 LX46:NG47 OZ47:PK47">
    <cfRule type="cellIs" dxfId="75" priority="554" operator="between">
      <formula>-0.00000045</formula>
      <formula>0.00000045</formula>
    </cfRule>
  </conditionalFormatting>
  <conditionalFormatting sqref="NL46:OL47">
    <cfRule type="cellIs" dxfId="74" priority="488" operator="between">
      <formula>-0.00000045</formula>
      <formula>0.00000045</formula>
    </cfRule>
  </conditionalFormatting>
  <conditionalFormatting sqref="NX27:OL45">
    <cfRule type="cellIs" dxfId="73" priority="466" operator="between">
      <formula>-0.00000045</formula>
      <formula>0.00000045</formula>
    </cfRule>
  </conditionalFormatting>
  <conditionalFormatting sqref="NX48:OL55">
    <cfRule type="cellIs" dxfId="72" priority="463" operator="between">
      <formula>-0.00000045</formula>
      <formula>0.00000045</formula>
    </cfRule>
  </conditionalFormatting>
  <conditionalFormatting sqref="NX56:OO57">
    <cfRule type="cellIs" dxfId="71" priority="437" operator="between">
      <formula>-0.00000045</formula>
      <formula>0.00000045</formula>
    </cfRule>
  </conditionalFormatting>
  <conditionalFormatting sqref="OM52:OO55">
    <cfRule type="cellIs" dxfId="70" priority="439" operator="between">
      <formula>-0.00000045</formula>
      <formula>0.00000045</formula>
    </cfRule>
  </conditionalFormatting>
  <conditionalFormatting sqref="OP52:OU57 QG52:QI57 NG56 OZ56:QF56">
    <cfRule type="cellIs" dxfId="69" priority="508" operator="between">
      <formula>-0.00000045</formula>
      <formula>0.00000045</formula>
    </cfRule>
  </conditionalFormatting>
  <conditionalFormatting sqref="OV8:OW57">
    <cfRule type="cellIs" dxfId="68" priority="429" operator="between">
      <formula>-0.00000045</formula>
      <formula>0.00000045</formula>
    </cfRule>
  </conditionalFormatting>
  <conditionalFormatting sqref="OX8:OY56">
    <cfRule type="cellIs" dxfId="67" priority="341" operator="between">
      <formula>-0.00000045</formula>
      <formula>0.00000045</formula>
    </cfRule>
  </conditionalFormatting>
  <conditionalFormatting sqref="OX57:QF57">
    <cfRule type="cellIs" dxfId="66" priority="340" operator="between">
      <formula>-0.00000045</formula>
      <formula>0.00000045</formula>
    </cfRule>
  </conditionalFormatting>
  <conditionalFormatting sqref="OZ48:PI52">
    <cfRule type="cellIs" dxfId="65" priority="401" operator="between">
      <formula>-0.00000045</formula>
      <formula>0.00000045</formula>
    </cfRule>
  </conditionalFormatting>
  <conditionalFormatting sqref="OZ53:QC55">
    <cfRule type="cellIs" dxfId="64" priority="370" operator="between">
      <formula>-0.00000045</formula>
      <formula>0.00000045</formula>
    </cfRule>
  </conditionalFormatting>
  <conditionalFormatting sqref="OZ27:QD46">
    <cfRule type="cellIs" dxfId="63" priority="322" operator="between">
      <formula>-0.00000045</formula>
      <formula>0.00000045</formula>
    </cfRule>
  </conditionalFormatting>
  <conditionalFormatting sqref="OZ8:QI9 PD10:PN22 OZ10:PC23 PD23:PH23 PJ23:PN23">
    <cfRule type="cellIs" dxfId="62" priority="384" operator="between">
      <formula>-0.00000045</formula>
      <formula>0.00000045</formula>
    </cfRule>
  </conditionalFormatting>
  <conditionalFormatting sqref="PJ48:PK51">
    <cfRule type="cellIs" dxfId="61" priority="402" operator="between">
      <formula>-0.00000045</formula>
      <formula>0.00000045</formula>
    </cfRule>
  </conditionalFormatting>
  <conditionalFormatting sqref="PL47:QD51">
    <cfRule type="cellIs" dxfId="60" priority="320" operator="between">
      <formula>-0.00000045</formula>
      <formula>0.00000045</formula>
    </cfRule>
  </conditionalFormatting>
  <conditionalFormatting sqref="PO10:QC23">
    <cfRule type="cellIs" dxfId="59" priority="372" operator="between">
      <formula>-0.00000045</formula>
      <formula>0.00000045</formula>
    </cfRule>
  </conditionalFormatting>
  <conditionalFormatting sqref="QE27:QI51">
    <cfRule type="cellIs" dxfId="58" priority="313" operator="between">
      <formula>-0.00000045</formula>
      <formula>0.00000045</formula>
    </cfRule>
  </conditionalFormatting>
  <conditionalFormatting sqref="QJ8:VD57">
    <cfRule type="cellIs" dxfId="57" priority="1" operator="between">
      <formula>-0.00000045</formula>
      <formula>0.00000045</formula>
    </cfRule>
  </conditionalFormatting>
  <conditionalFormatting sqref="VE8:VF57">
    <cfRule type="containsErrors" dxfId="56" priority="225">
      <formula>ISERROR(VE8)</formula>
    </cfRule>
    <cfRule type="cellIs" dxfId="55" priority="224" operator="equal">
      <formula>0</formula>
    </cfRule>
  </conditionalFormatting>
  <pageMargins left="0.25" right="0.25" top="0.75" bottom="0.75" header="0.3" footer="0.3"/>
  <pageSetup paperSize="8" scale="56" fitToWidth="0" orientation="landscape" errors="dash" r:id="rId1"/>
  <ignoredErrors>
    <ignoredError sqref="AT13:CM13 BE25:BV28 BZ25 AT19:CM19 AT14:CG18 CI14:CJ18 CL14:CM18 CT13:CT19" formula="1"/>
    <ignoredError sqref="VE58:VF58" formulaRange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D5F3E8"/>
  </sheetPr>
  <dimension ref="A1:HV52"/>
  <sheetViews>
    <sheetView zoomScale="70" zoomScaleNormal="70" zoomScaleSheetLayoutView="70" workbookViewId="0">
      <pane xSplit="3" ySplit="6" topLeftCell="EA7" activePane="bottomRight" state="frozen"/>
      <selection pane="topRight" activeCell="JA25" sqref="JA25"/>
      <selection pane="bottomLeft" activeCell="JA25" sqref="JA25"/>
      <selection pane="bottomRight" activeCell="HV56" sqref="HV56"/>
    </sheetView>
  </sheetViews>
  <sheetFormatPr defaultColWidth="9" defaultRowHeight="15.5" outlineLevelCol="2"/>
  <cols>
    <col min="1" max="1" width="11.58203125" style="2" hidden="1" customWidth="1"/>
    <col min="2" max="2" width="28.58203125" style="3" hidden="1" customWidth="1"/>
    <col min="3" max="3" width="49" style="2" customWidth="1"/>
    <col min="4" max="4" width="10.08203125" style="2" hidden="1" customWidth="1" outlineLevel="1"/>
    <col min="5" max="5" width="10.5" style="2" hidden="1" customWidth="1" outlineLevel="1"/>
    <col min="6" max="18" width="11.08203125" style="2" hidden="1" customWidth="1" outlineLevel="2"/>
    <col min="19" max="19" width="10.5" style="2" hidden="1" customWidth="1" outlineLevel="1" collapsed="1"/>
    <col min="20" max="32" width="11.08203125" style="2" hidden="1" customWidth="1" outlineLevel="2"/>
    <col min="33" max="33" width="10.08203125" style="2" hidden="1" customWidth="1" outlineLevel="1" collapsed="1"/>
    <col min="34" max="45" width="6.08203125" style="2" hidden="1" customWidth="1" outlineLevel="2"/>
    <col min="46" max="46" width="11.5" style="2" hidden="1" customWidth="1" outlineLevel="2"/>
    <col min="47" max="47" width="10.5" style="2" hidden="1" customWidth="1" outlineLevel="1" collapsed="1"/>
    <col min="48" max="59" width="6.5" style="2" hidden="1" customWidth="1" outlineLevel="2"/>
    <col min="60" max="60" width="11.08203125" style="2" hidden="1" customWidth="1" outlineLevel="1" collapsed="1"/>
    <col min="61" max="61" width="10.58203125" style="2" hidden="1" customWidth="1" collapsed="1"/>
    <col min="62" max="63" width="6.08203125" style="2" hidden="1" customWidth="1" outlineLevel="1"/>
    <col min="64" max="64" width="7.58203125" style="2" hidden="1" customWidth="1" outlineLevel="1"/>
    <col min="65" max="67" width="6.08203125" style="2" hidden="1" customWidth="1" outlineLevel="1"/>
    <col min="68" max="68" width="7.5" style="2" hidden="1" customWidth="1" outlineLevel="1"/>
    <col min="69" max="69" width="7.58203125" style="2" hidden="1" customWidth="1" outlineLevel="1"/>
    <col min="70" max="70" width="6.08203125" style="2" hidden="1" customWidth="1" outlineLevel="1"/>
    <col min="71" max="71" width="7.08203125" style="2" hidden="1" customWidth="1" outlineLevel="1"/>
    <col min="72" max="72" width="8.58203125" style="2" hidden="1" customWidth="1" outlineLevel="1"/>
    <col min="73" max="74" width="7.58203125" style="2" hidden="1" customWidth="1" outlineLevel="1"/>
    <col min="75" max="75" width="10.58203125" style="2" hidden="1" customWidth="1" collapsed="1"/>
    <col min="76" max="80" width="8.58203125" style="2" hidden="1" customWidth="1" outlineLevel="1"/>
    <col min="81" max="82" width="7.58203125" style="2" hidden="1" customWidth="1" outlineLevel="1"/>
    <col min="83" max="86" width="6.5" style="2" hidden="1" customWidth="1" outlineLevel="1"/>
    <col min="87" max="87" width="7.08203125" style="2" hidden="1" customWidth="1" outlineLevel="1"/>
    <col min="88" max="88" width="8.58203125" style="2" hidden="1" customWidth="1" outlineLevel="1"/>
    <col min="89" max="89" width="10.58203125" style="2" hidden="1" customWidth="1" collapsed="1"/>
    <col min="90" max="90" width="8.58203125" style="2" hidden="1" customWidth="1" outlineLevel="1"/>
    <col min="91" max="91" width="9" style="2" hidden="1" customWidth="1" outlineLevel="1"/>
    <col min="92" max="92" width="6.5" style="2" hidden="1" customWidth="1" outlineLevel="1"/>
    <col min="93" max="93" width="9.58203125" style="2" hidden="1" customWidth="1" outlineLevel="1"/>
    <col min="94" max="94" width="9" style="2" hidden="1" customWidth="1" outlineLevel="1"/>
    <col min="95" max="95" width="8.58203125" style="2" hidden="1" customWidth="1" outlineLevel="1"/>
    <col min="96" max="100" width="6.5" style="2" hidden="1" customWidth="1" outlineLevel="1"/>
    <col min="101" max="101" width="8.58203125" style="2" hidden="1" customWidth="1" outlineLevel="1"/>
    <col min="102" max="102" width="9.08203125" style="2" hidden="1" customWidth="1" outlineLevel="1"/>
    <col min="103" max="103" width="10.58203125" style="2" hidden="1" customWidth="1" collapsed="1"/>
    <col min="104" max="116" width="9.58203125" style="2" hidden="1" customWidth="1" outlineLevel="1"/>
    <col min="117" max="117" width="9.58203125" style="2" hidden="1" customWidth="1" collapsed="1"/>
    <col min="118" max="130" width="9.58203125" style="2" hidden="1" customWidth="1" outlineLevel="1"/>
    <col min="131" max="131" width="9.08203125" style="2" bestFit="1" customWidth="1" collapsed="1"/>
    <col min="132" max="144" width="9.58203125" style="2" hidden="1" customWidth="1" outlineLevel="1"/>
    <col min="145" max="145" width="9.08203125" style="2" bestFit="1" customWidth="1" collapsed="1"/>
    <col min="146" max="157" width="9.58203125" style="2" hidden="1" customWidth="1" outlineLevel="1"/>
    <col min="158" max="158" width="8.08203125" style="2" hidden="1" customWidth="1" outlineLevel="1"/>
    <col min="159" max="159" width="9.08203125" style="2" customWidth="1" collapsed="1"/>
    <col min="160" max="163" width="7.58203125" style="2" hidden="1" customWidth="1" outlineLevel="1"/>
    <col min="164" max="165" width="8.08203125" style="2" hidden="1" customWidth="1" outlineLevel="1"/>
    <col min="166" max="166" width="7.58203125" style="2" hidden="1" customWidth="1" outlineLevel="1"/>
    <col min="167" max="168" width="8.08203125" style="2" hidden="1" customWidth="1" outlineLevel="1"/>
    <col min="169" max="171" width="9.58203125" style="2" hidden="1" customWidth="1" outlineLevel="1"/>
    <col min="172" max="172" width="9.58203125" style="2" hidden="1" customWidth="1" outlineLevel="1" collapsed="1"/>
    <col min="173" max="173" width="9.08203125" style="2" customWidth="1" collapsed="1"/>
    <col min="174" max="186" width="9.58203125" style="2" hidden="1" customWidth="1" outlineLevel="1"/>
    <col min="187" max="187" width="9.58203125" style="2" customWidth="1" collapsed="1"/>
    <col min="188" max="200" width="9.58203125" style="2" hidden="1" customWidth="1" outlineLevel="1"/>
    <col min="201" max="201" width="9.58203125" style="2" customWidth="1" collapsed="1"/>
    <col min="202" max="213" width="9.58203125" style="2" hidden="1" customWidth="1" outlineLevel="1"/>
    <col min="214" max="214" width="9.58203125" style="2" customWidth="1" collapsed="1"/>
    <col min="215" max="218" width="9.58203125" style="2" customWidth="1"/>
    <col min="219" max="226" width="9.58203125" style="2" hidden="1" customWidth="1" outlineLevel="1"/>
    <col min="227" max="227" width="11" style="105" customWidth="1" collapsed="1"/>
    <col min="228" max="228" width="11.25" style="2" customWidth="1" collapsed="1"/>
    <col min="229" max="229" width="12.58203125" style="105" customWidth="1"/>
    <col min="230" max="230" width="13.5" style="105" customWidth="1"/>
    <col min="231" max="16384" width="9" style="3"/>
  </cols>
  <sheetData>
    <row r="1" spans="1:230" ht="15.75" hidden="1" customHeight="1">
      <c r="D1" s="2">
        <v>2009</v>
      </c>
      <c r="E1" s="2">
        <v>2010</v>
      </c>
      <c r="F1" s="2">
        <v>2011</v>
      </c>
      <c r="G1" s="2">
        <v>2011</v>
      </c>
      <c r="H1" s="2">
        <v>2011</v>
      </c>
      <c r="I1" s="2">
        <v>2011</v>
      </c>
      <c r="J1" s="2">
        <v>2011</v>
      </c>
      <c r="K1" s="2">
        <v>2011</v>
      </c>
      <c r="L1" s="2">
        <v>2011</v>
      </c>
      <c r="M1" s="2">
        <v>2011</v>
      </c>
      <c r="N1" s="2">
        <v>2011</v>
      </c>
      <c r="O1" s="2">
        <v>2011</v>
      </c>
      <c r="P1" s="2">
        <v>2011</v>
      </c>
      <c r="Q1" s="2">
        <v>2011</v>
      </c>
      <c r="R1" s="2">
        <v>2011</v>
      </c>
      <c r="S1" s="2">
        <v>2011</v>
      </c>
      <c r="T1" s="2">
        <v>2012</v>
      </c>
      <c r="U1" s="2">
        <v>2012</v>
      </c>
      <c r="V1" s="2">
        <v>2012</v>
      </c>
      <c r="W1" s="2">
        <v>2012</v>
      </c>
      <c r="X1" s="2">
        <v>2012</v>
      </c>
      <c r="Y1" s="2">
        <v>2012</v>
      </c>
      <c r="Z1" s="2">
        <v>2012</v>
      </c>
      <c r="AA1" s="2">
        <v>2012</v>
      </c>
      <c r="AB1" s="2">
        <v>2012</v>
      </c>
      <c r="AC1" s="2">
        <v>2012</v>
      </c>
      <c r="AD1" s="2">
        <v>2012</v>
      </c>
      <c r="AE1" s="2">
        <v>2012</v>
      </c>
      <c r="AF1" s="2">
        <v>2012</v>
      </c>
      <c r="AG1" s="2">
        <v>2012</v>
      </c>
      <c r="AH1" s="2">
        <v>2013</v>
      </c>
      <c r="AI1" s="2">
        <v>2013</v>
      </c>
      <c r="AJ1" s="2">
        <v>2013</v>
      </c>
      <c r="AK1" s="2">
        <v>2013</v>
      </c>
      <c r="AL1" s="2">
        <v>2013</v>
      </c>
      <c r="AM1" s="2">
        <v>2013</v>
      </c>
      <c r="AN1" s="2">
        <v>2013</v>
      </c>
      <c r="AO1" s="2">
        <v>2013</v>
      </c>
      <c r="AP1" s="2">
        <v>2013</v>
      </c>
      <c r="AQ1" s="2">
        <v>2013</v>
      </c>
      <c r="AR1" s="2">
        <v>2013</v>
      </c>
      <c r="AS1" s="2">
        <v>2013</v>
      </c>
      <c r="AT1" s="2">
        <v>2013</v>
      </c>
      <c r="AU1" s="2">
        <v>2013</v>
      </c>
      <c r="AV1" s="2">
        <v>2014</v>
      </c>
      <c r="AW1" s="2">
        <v>2014</v>
      </c>
      <c r="AX1" s="2">
        <v>2014</v>
      </c>
      <c r="AY1" s="2">
        <v>2014</v>
      </c>
      <c r="AZ1" s="2">
        <v>2014</v>
      </c>
      <c r="BA1" s="2">
        <v>2014</v>
      </c>
      <c r="BB1" s="2">
        <v>2014</v>
      </c>
      <c r="BC1" s="2">
        <v>2014</v>
      </c>
      <c r="BD1" s="2">
        <v>2014</v>
      </c>
      <c r="BE1" s="2">
        <v>2014</v>
      </c>
      <c r="BF1" s="2">
        <v>2014</v>
      </c>
      <c r="BG1" s="2">
        <v>2014</v>
      </c>
      <c r="BH1" s="2">
        <v>2014</v>
      </c>
      <c r="BI1" s="2">
        <v>2014</v>
      </c>
      <c r="BJ1" s="2">
        <v>2015</v>
      </c>
      <c r="BK1" s="2">
        <v>2015</v>
      </c>
      <c r="BL1" s="2">
        <v>2015</v>
      </c>
      <c r="BM1" s="2">
        <v>2015</v>
      </c>
      <c r="BN1" s="2">
        <v>2015</v>
      </c>
      <c r="BO1" s="2">
        <v>2015</v>
      </c>
      <c r="BP1" s="2">
        <v>2015</v>
      </c>
      <c r="BQ1" s="2">
        <v>2015</v>
      </c>
      <c r="BR1" s="2">
        <v>2015</v>
      </c>
      <c r="BS1" s="2">
        <v>2015</v>
      </c>
      <c r="BT1" s="2">
        <v>2015</v>
      </c>
      <c r="BU1" s="2">
        <v>2015</v>
      </c>
      <c r="BV1" s="2">
        <v>2015</v>
      </c>
      <c r="BW1" s="2">
        <v>2015</v>
      </c>
      <c r="BX1" s="2">
        <v>2016</v>
      </c>
      <c r="BY1" s="2">
        <v>2016</v>
      </c>
      <c r="BZ1" s="2">
        <v>2016</v>
      </c>
      <c r="CA1" s="2">
        <v>2016</v>
      </c>
      <c r="CB1" s="2">
        <v>2016</v>
      </c>
      <c r="CC1" s="2">
        <v>2016</v>
      </c>
      <c r="CD1" s="2">
        <v>2016</v>
      </c>
      <c r="CE1" s="2">
        <v>2016</v>
      </c>
      <c r="CF1" s="2">
        <v>2016</v>
      </c>
      <c r="CG1" s="2">
        <v>2016</v>
      </c>
      <c r="CH1" s="2">
        <v>2016</v>
      </c>
      <c r="CI1" s="2">
        <v>2016</v>
      </c>
      <c r="CJ1" s="2">
        <v>2016</v>
      </c>
      <c r="CK1" s="2">
        <v>2016</v>
      </c>
      <c r="CL1" s="2">
        <v>2017</v>
      </c>
      <c r="CM1" s="2">
        <v>2017</v>
      </c>
      <c r="CN1" s="2">
        <v>2017</v>
      </c>
      <c r="CO1" s="2">
        <v>2017</v>
      </c>
      <c r="CP1" s="2">
        <v>2017</v>
      </c>
      <c r="CQ1" s="2">
        <v>2017</v>
      </c>
      <c r="CR1" s="2">
        <v>2017</v>
      </c>
      <c r="CS1" s="2">
        <v>2017</v>
      </c>
      <c r="CT1" s="2">
        <v>2017</v>
      </c>
      <c r="CU1" s="2">
        <v>2017</v>
      </c>
      <c r="CV1" s="2">
        <v>2017</v>
      </c>
      <c r="CW1" s="2">
        <v>2017</v>
      </c>
      <c r="CX1" s="2">
        <v>2017</v>
      </c>
      <c r="CY1" s="2">
        <v>2017</v>
      </c>
      <c r="CZ1" s="2">
        <v>2018</v>
      </c>
      <c r="DA1" s="2">
        <v>2018</v>
      </c>
      <c r="DB1" s="2">
        <v>2018</v>
      </c>
      <c r="DC1" s="2">
        <v>2018</v>
      </c>
      <c r="DD1" s="2">
        <v>2018</v>
      </c>
      <c r="DE1" s="2">
        <v>2018</v>
      </c>
      <c r="DF1" s="2">
        <v>2018</v>
      </c>
      <c r="DG1" s="2">
        <v>2018</v>
      </c>
      <c r="DH1" s="2">
        <v>2018</v>
      </c>
      <c r="DI1" s="2">
        <v>2018</v>
      </c>
      <c r="DJ1" s="2">
        <v>2018</v>
      </c>
      <c r="DK1" s="2">
        <v>2018</v>
      </c>
      <c r="DL1" s="2">
        <v>2018</v>
      </c>
      <c r="DM1" s="2">
        <v>2018</v>
      </c>
      <c r="DN1" s="2">
        <v>2019</v>
      </c>
      <c r="DO1" s="2">
        <v>2019</v>
      </c>
      <c r="DP1" s="2">
        <v>2019</v>
      </c>
      <c r="DQ1" s="2">
        <v>2019</v>
      </c>
      <c r="DR1" s="2">
        <v>2019</v>
      </c>
      <c r="DS1" s="2">
        <v>2019</v>
      </c>
      <c r="DT1" s="2">
        <v>2019</v>
      </c>
      <c r="DU1" s="2">
        <v>2019</v>
      </c>
      <c r="DV1" s="2">
        <v>2019</v>
      </c>
      <c r="DW1" s="2">
        <v>2019</v>
      </c>
      <c r="DX1" s="2">
        <v>2019</v>
      </c>
      <c r="DY1" s="2">
        <v>2019</v>
      </c>
      <c r="DZ1" s="2">
        <v>2019</v>
      </c>
      <c r="EA1" s="2">
        <v>2019</v>
      </c>
      <c r="EB1" s="2">
        <v>2020</v>
      </c>
      <c r="EC1" s="2">
        <v>2020</v>
      </c>
      <c r="ED1" s="2">
        <v>2020</v>
      </c>
      <c r="EE1" s="2">
        <v>2020</v>
      </c>
      <c r="EF1" s="2">
        <v>2020</v>
      </c>
      <c r="EG1" s="2">
        <v>2020</v>
      </c>
      <c r="EH1" s="2">
        <v>2020</v>
      </c>
      <c r="EI1" s="2">
        <v>2020</v>
      </c>
      <c r="EJ1" s="2">
        <v>2020</v>
      </c>
      <c r="EK1" s="2">
        <v>2020</v>
      </c>
      <c r="EL1" s="2">
        <v>2020</v>
      </c>
      <c r="EM1" s="2">
        <v>2020</v>
      </c>
      <c r="EN1" s="2">
        <v>2020</v>
      </c>
      <c r="EO1" s="2">
        <v>2020</v>
      </c>
      <c r="EP1" s="2">
        <v>2021</v>
      </c>
      <c r="EQ1" s="2">
        <v>2021</v>
      </c>
      <c r="ER1" s="2">
        <v>2021</v>
      </c>
      <c r="ES1" s="2">
        <v>2021</v>
      </c>
      <c r="ET1" s="2">
        <v>2021</v>
      </c>
      <c r="EU1" s="2">
        <v>2021</v>
      </c>
      <c r="EV1" s="2">
        <v>2021</v>
      </c>
      <c r="EW1" s="2">
        <v>2021</v>
      </c>
      <c r="EX1" s="2">
        <v>2021</v>
      </c>
      <c r="EY1" s="2">
        <v>2021</v>
      </c>
      <c r="EZ1" s="2">
        <v>2021</v>
      </c>
      <c r="FA1" s="2">
        <v>2021</v>
      </c>
      <c r="FB1" s="2">
        <v>2021</v>
      </c>
      <c r="FC1" s="2">
        <v>2021</v>
      </c>
      <c r="FD1" s="2">
        <v>2022</v>
      </c>
      <c r="FE1" s="2">
        <v>2022</v>
      </c>
      <c r="FF1" s="2">
        <v>2022</v>
      </c>
      <c r="FG1" s="2">
        <v>2022</v>
      </c>
      <c r="FH1" s="2">
        <v>2022</v>
      </c>
      <c r="FI1" s="2">
        <v>2022</v>
      </c>
      <c r="FJ1" s="2">
        <v>2022</v>
      </c>
      <c r="FK1" s="2">
        <v>2022</v>
      </c>
      <c r="FL1" s="2">
        <v>2022</v>
      </c>
      <c r="FM1" s="2">
        <v>2022</v>
      </c>
      <c r="FN1" s="2">
        <v>2022</v>
      </c>
      <c r="FO1" s="2">
        <v>2022</v>
      </c>
      <c r="FP1" s="2">
        <v>2022</v>
      </c>
      <c r="FQ1" s="2">
        <v>2022</v>
      </c>
      <c r="FR1" s="2">
        <v>2023</v>
      </c>
      <c r="FS1" s="2">
        <v>2023</v>
      </c>
      <c r="FT1" s="2">
        <v>2023</v>
      </c>
      <c r="FU1" s="2">
        <v>2023</v>
      </c>
      <c r="FV1" s="2">
        <v>2023</v>
      </c>
      <c r="FW1" s="2">
        <v>2023</v>
      </c>
      <c r="FX1" s="2">
        <v>2023</v>
      </c>
      <c r="FY1" s="2">
        <v>2023</v>
      </c>
      <c r="FZ1" s="2">
        <v>2023</v>
      </c>
      <c r="GA1" s="2">
        <v>2023</v>
      </c>
      <c r="GB1" s="2">
        <v>2023</v>
      </c>
      <c r="GC1" s="2">
        <v>2023</v>
      </c>
      <c r="GD1" s="2">
        <v>2023</v>
      </c>
    </row>
    <row r="2" spans="1:230" ht="38.65" hidden="1" customHeight="1"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1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  <c r="AC2" s="2" t="s">
        <v>0</v>
      </c>
      <c r="AD2" s="2" t="s">
        <v>0</v>
      </c>
      <c r="AE2" s="2" t="s">
        <v>0</v>
      </c>
      <c r="AF2" s="2" t="s">
        <v>1</v>
      </c>
      <c r="AG2" s="2" t="s">
        <v>0</v>
      </c>
      <c r="AH2" s="2" t="s">
        <v>0</v>
      </c>
      <c r="AI2" s="2" t="s">
        <v>0</v>
      </c>
      <c r="AJ2" s="2" t="s">
        <v>0</v>
      </c>
      <c r="AK2" s="2" t="s">
        <v>0</v>
      </c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1</v>
      </c>
      <c r="AU2" s="2" t="s">
        <v>0</v>
      </c>
      <c r="AV2" s="2" t="s">
        <v>0</v>
      </c>
      <c r="AW2" s="2" t="s">
        <v>0</v>
      </c>
      <c r="AX2" s="2" t="s">
        <v>0</v>
      </c>
      <c r="AY2" s="2" t="s">
        <v>0</v>
      </c>
      <c r="AZ2" s="2" t="s">
        <v>0</v>
      </c>
      <c r="BA2" s="2" t="s">
        <v>0</v>
      </c>
      <c r="BB2" s="2" t="s">
        <v>0</v>
      </c>
      <c r="BC2" s="2" t="s">
        <v>0</v>
      </c>
      <c r="BD2" s="2" t="s">
        <v>0</v>
      </c>
      <c r="BE2" s="2" t="s">
        <v>0</v>
      </c>
      <c r="BF2" s="2" t="s">
        <v>0</v>
      </c>
      <c r="BG2" s="2" t="s">
        <v>0</v>
      </c>
      <c r="BH2" s="2" t="s">
        <v>1</v>
      </c>
      <c r="BI2" s="2" t="s">
        <v>0</v>
      </c>
      <c r="BJ2" s="2" t="s">
        <v>0</v>
      </c>
      <c r="BK2" s="2" t="s">
        <v>0</v>
      </c>
      <c r="BL2" s="2" t="s">
        <v>0</v>
      </c>
      <c r="BM2" s="2" t="s">
        <v>0</v>
      </c>
      <c r="BN2" s="2" t="s">
        <v>0</v>
      </c>
      <c r="BO2" s="2" t="s">
        <v>0</v>
      </c>
      <c r="BP2" s="2" t="s">
        <v>0</v>
      </c>
      <c r="BQ2" s="2" t="s">
        <v>0</v>
      </c>
      <c r="BR2" s="2" t="s">
        <v>0</v>
      </c>
      <c r="BS2" s="2" t="s">
        <v>0</v>
      </c>
      <c r="BT2" s="2" t="s">
        <v>0</v>
      </c>
      <c r="BU2" s="2" t="s">
        <v>0</v>
      </c>
      <c r="BV2" s="2" t="s">
        <v>1</v>
      </c>
      <c r="BW2" s="2" t="s">
        <v>0</v>
      </c>
      <c r="BX2" s="2" t="s">
        <v>0</v>
      </c>
      <c r="BY2" s="2" t="s">
        <v>0</v>
      </c>
      <c r="BZ2" s="2" t="s">
        <v>0</v>
      </c>
      <c r="CA2" s="2" t="s">
        <v>0</v>
      </c>
      <c r="CB2" s="2" t="s">
        <v>0</v>
      </c>
      <c r="CC2" s="2" t="s">
        <v>0</v>
      </c>
      <c r="CD2" s="2" t="s">
        <v>0</v>
      </c>
      <c r="CE2" s="2" t="s">
        <v>0</v>
      </c>
      <c r="CF2" s="2" t="s">
        <v>0</v>
      </c>
      <c r="CG2" s="2" t="s">
        <v>0</v>
      </c>
      <c r="CH2" s="2" t="s">
        <v>0</v>
      </c>
      <c r="CI2" s="2" t="s">
        <v>0</v>
      </c>
      <c r="CJ2" s="2" t="s">
        <v>1</v>
      </c>
      <c r="CK2" s="2" t="s">
        <v>0</v>
      </c>
      <c r="CL2" s="2" t="s">
        <v>0</v>
      </c>
      <c r="CM2" s="2" t="s">
        <v>0</v>
      </c>
      <c r="CN2" s="2" t="s">
        <v>0</v>
      </c>
      <c r="CO2" s="2" t="s">
        <v>0</v>
      </c>
      <c r="CP2" s="2" t="s">
        <v>0</v>
      </c>
      <c r="CQ2" s="2" t="s">
        <v>0</v>
      </c>
      <c r="CR2" s="2" t="s">
        <v>0</v>
      </c>
      <c r="CS2" s="2" t="s">
        <v>0</v>
      </c>
      <c r="CT2" s="2" t="s">
        <v>0</v>
      </c>
      <c r="CU2" s="2" t="s">
        <v>0</v>
      </c>
      <c r="CV2" s="2" t="s">
        <v>0</v>
      </c>
      <c r="CW2" s="2" t="s">
        <v>0</v>
      </c>
      <c r="CX2" s="2" t="s">
        <v>1</v>
      </c>
      <c r="CY2" s="2" t="s">
        <v>0</v>
      </c>
      <c r="CZ2" s="2" t="s">
        <v>0</v>
      </c>
      <c r="DA2" s="2" t="s">
        <v>0</v>
      </c>
      <c r="DB2" s="2" t="s">
        <v>0</v>
      </c>
      <c r="DC2" s="2" t="s">
        <v>0</v>
      </c>
      <c r="DD2" s="2" t="s">
        <v>0</v>
      </c>
      <c r="DE2" s="2" t="s">
        <v>0</v>
      </c>
      <c r="DF2" s="2" t="s">
        <v>0</v>
      </c>
      <c r="DG2" s="2" t="s">
        <v>0</v>
      </c>
      <c r="DH2" s="2" t="s">
        <v>0</v>
      </c>
      <c r="DI2" s="2" t="s">
        <v>0</v>
      </c>
      <c r="DJ2" s="2" t="s">
        <v>0</v>
      </c>
      <c r="DK2" s="2" t="s">
        <v>0</v>
      </c>
      <c r="DL2" s="2" t="s">
        <v>1</v>
      </c>
      <c r="DM2" s="2" t="s">
        <v>0</v>
      </c>
      <c r="DN2" s="2" t="s">
        <v>0</v>
      </c>
      <c r="DO2" s="2" t="s">
        <v>0</v>
      </c>
      <c r="DP2" s="2" t="s">
        <v>0</v>
      </c>
      <c r="DQ2" s="2" t="s">
        <v>0</v>
      </c>
      <c r="DR2" s="2" t="s">
        <v>0</v>
      </c>
      <c r="DS2" s="2" t="s">
        <v>0</v>
      </c>
      <c r="DT2" s="2" t="s">
        <v>0</v>
      </c>
      <c r="DU2" s="2" t="s">
        <v>0</v>
      </c>
      <c r="DV2" s="2" t="s">
        <v>0</v>
      </c>
      <c r="DW2" s="2" t="s">
        <v>0</v>
      </c>
      <c r="DX2" s="2" t="s">
        <v>0</v>
      </c>
      <c r="DY2" s="2" t="s">
        <v>0</v>
      </c>
      <c r="DZ2" s="2" t="s">
        <v>1</v>
      </c>
      <c r="EA2" s="2" t="s">
        <v>0</v>
      </c>
      <c r="EB2" s="2" t="s">
        <v>0</v>
      </c>
      <c r="EC2" s="2" t="s">
        <v>0</v>
      </c>
      <c r="ED2" s="2" t="s">
        <v>0</v>
      </c>
      <c r="EE2" s="2" t="s">
        <v>0</v>
      </c>
      <c r="EF2" s="2" t="s">
        <v>0</v>
      </c>
      <c r="EG2" s="2" t="s">
        <v>0</v>
      </c>
      <c r="EH2" s="2" t="s">
        <v>0</v>
      </c>
      <c r="EI2" s="2" t="s">
        <v>0</v>
      </c>
      <c r="EJ2" s="2" t="s">
        <v>0</v>
      </c>
      <c r="EK2" s="2" t="s">
        <v>0</v>
      </c>
      <c r="EL2" s="2" t="s">
        <v>0</v>
      </c>
      <c r="EM2" s="2" t="s">
        <v>0</v>
      </c>
      <c r="EN2" s="2" t="s">
        <v>1</v>
      </c>
      <c r="EO2" s="2" t="s">
        <v>0</v>
      </c>
      <c r="EP2" s="2" t="s">
        <v>0</v>
      </c>
      <c r="EQ2" s="2" t="s">
        <v>0</v>
      </c>
      <c r="ER2" s="2" t="s">
        <v>0</v>
      </c>
      <c r="ES2" s="2" t="s">
        <v>0</v>
      </c>
      <c r="ET2" s="2" t="s">
        <v>0</v>
      </c>
      <c r="EU2" s="2" t="s">
        <v>0</v>
      </c>
      <c r="EV2" s="2" t="s">
        <v>0</v>
      </c>
      <c r="EW2" s="2" t="s">
        <v>0</v>
      </c>
      <c r="EX2" s="2" t="s">
        <v>0</v>
      </c>
      <c r="EY2" s="2" t="s">
        <v>0</v>
      </c>
      <c r="EZ2" s="2" t="s">
        <v>0</v>
      </c>
      <c r="FA2" s="2" t="s">
        <v>0</v>
      </c>
      <c r="FB2" s="2" t="s">
        <v>1</v>
      </c>
      <c r="FC2" s="2" t="s">
        <v>0</v>
      </c>
      <c r="FD2" s="2" t="s">
        <v>0</v>
      </c>
      <c r="FE2" s="2" t="s">
        <v>0</v>
      </c>
      <c r="FF2" s="2" t="s">
        <v>0</v>
      </c>
      <c r="FG2" s="2" t="s">
        <v>0</v>
      </c>
      <c r="FH2" s="2" t="s">
        <v>0</v>
      </c>
      <c r="FI2" s="2" t="s">
        <v>0</v>
      </c>
      <c r="FJ2" s="2" t="s">
        <v>0</v>
      </c>
      <c r="FK2" s="2" t="s">
        <v>0</v>
      </c>
      <c r="FL2" s="2" t="s">
        <v>0</v>
      </c>
      <c r="FM2" s="2" t="s">
        <v>0</v>
      </c>
      <c r="FN2" s="2" t="s">
        <v>0</v>
      </c>
      <c r="FO2" s="2" t="s">
        <v>0</v>
      </c>
      <c r="FP2" s="2" t="s">
        <v>1</v>
      </c>
      <c r="FQ2" s="2" t="s">
        <v>0</v>
      </c>
      <c r="FR2" s="2" t="s">
        <v>0</v>
      </c>
      <c r="FS2" s="2" t="s">
        <v>0</v>
      </c>
      <c r="FT2" s="2" t="s">
        <v>0</v>
      </c>
      <c r="FU2" s="2" t="s">
        <v>0</v>
      </c>
      <c r="FV2" s="2" t="s">
        <v>0</v>
      </c>
      <c r="FW2" s="2" t="s">
        <v>0</v>
      </c>
      <c r="FX2" s="2" t="s">
        <v>0</v>
      </c>
      <c r="FY2" s="2" t="s">
        <v>0</v>
      </c>
      <c r="FZ2" s="2" t="s">
        <v>0</v>
      </c>
      <c r="GA2" s="2" t="s">
        <v>0</v>
      </c>
      <c r="GB2" s="2" t="s">
        <v>0</v>
      </c>
      <c r="GC2" s="2" t="s">
        <v>0</v>
      </c>
      <c r="GD2" s="2" t="s">
        <v>1</v>
      </c>
    </row>
    <row r="3" spans="1:230" ht="27" customHeight="1">
      <c r="A3" s="35" t="s">
        <v>245</v>
      </c>
      <c r="C3" s="35" t="s">
        <v>246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16"/>
      <c r="BQ3" s="16"/>
      <c r="BR3" s="16"/>
      <c r="BS3" s="16"/>
      <c r="BT3" s="16"/>
      <c r="BU3" s="16"/>
      <c r="BV3" s="4"/>
      <c r="BW3" s="4"/>
      <c r="BX3" s="16"/>
      <c r="BY3" s="16"/>
      <c r="BZ3" s="16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212"/>
      <c r="FD3" s="16"/>
      <c r="FE3" s="212"/>
      <c r="FF3" s="212"/>
      <c r="FG3" s="212"/>
      <c r="FI3" s="16"/>
      <c r="FJ3" s="212"/>
      <c r="FK3" s="4"/>
      <c r="FL3" s="169"/>
      <c r="FM3" s="4"/>
      <c r="FN3" s="4"/>
      <c r="FO3" s="4"/>
      <c r="FP3" s="4"/>
      <c r="FQ3" s="4"/>
      <c r="FR3" s="237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103"/>
      <c r="HT3" s="4"/>
      <c r="HU3" s="103"/>
      <c r="HV3" s="103"/>
    </row>
    <row r="4" spans="1:230" ht="20">
      <c r="A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145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25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254"/>
      <c r="EB4" s="192"/>
      <c r="EC4" s="192"/>
      <c r="ED4" s="192"/>
      <c r="EE4" s="192"/>
      <c r="EF4" s="192"/>
      <c r="EG4" s="192"/>
      <c r="EH4" s="192"/>
      <c r="EI4" s="192"/>
      <c r="EJ4" s="192"/>
      <c r="EK4" s="192"/>
      <c r="EL4" s="192"/>
      <c r="EM4" s="192"/>
      <c r="EN4" s="4"/>
      <c r="EO4" s="254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12"/>
      <c r="FC4" s="254"/>
      <c r="FD4" s="16"/>
      <c r="FE4" s="16"/>
      <c r="FF4" s="16"/>
      <c r="FG4" s="16"/>
      <c r="FH4" s="16"/>
      <c r="FI4" s="16"/>
      <c r="FJ4" s="16"/>
      <c r="FK4" s="4"/>
      <c r="FL4" s="4"/>
      <c r="FM4" s="4"/>
      <c r="FN4" s="4"/>
      <c r="FO4" s="4"/>
      <c r="FP4" s="4"/>
      <c r="FQ4" s="326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254"/>
      <c r="GF4" s="254"/>
      <c r="GG4" s="254"/>
      <c r="GH4" s="254"/>
      <c r="GI4" s="254"/>
      <c r="GJ4" s="254"/>
      <c r="GK4" s="254"/>
      <c r="GL4" s="254"/>
      <c r="GM4" s="254"/>
      <c r="GN4" s="254"/>
      <c r="GO4" s="4"/>
      <c r="GP4" s="4"/>
      <c r="GQ4" s="4"/>
      <c r="GR4" s="254"/>
      <c r="GS4" s="25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208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103"/>
      <c r="HT4" s="16"/>
      <c r="HU4" s="103"/>
      <c r="HV4" s="103"/>
    </row>
    <row r="5" spans="1:230" ht="75.650000000000006" customHeight="1">
      <c r="A5" s="342"/>
      <c r="B5" s="353" t="s">
        <v>4</v>
      </c>
      <c r="C5" s="342"/>
      <c r="D5" s="329">
        <v>2009</v>
      </c>
      <c r="E5" s="329">
        <v>2010</v>
      </c>
      <c r="F5" s="335">
        <v>2011</v>
      </c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7"/>
      <c r="R5" s="20">
        <v>2011</v>
      </c>
      <c r="S5" s="329">
        <v>2011</v>
      </c>
      <c r="T5" s="335">
        <v>2012</v>
      </c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7"/>
      <c r="AF5" s="20">
        <v>2012</v>
      </c>
      <c r="AG5" s="329">
        <v>2012</v>
      </c>
      <c r="AH5" s="335">
        <v>2013</v>
      </c>
      <c r="AI5" s="336"/>
      <c r="AJ5" s="336"/>
      <c r="AK5" s="336"/>
      <c r="AL5" s="336"/>
      <c r="AM5" s="336"/>
      <c r="AN5" s="336"/>
      <c r="AO5" s="336"/>
      <c r="AP5" s="336"/>
      <c r="AQ5" s="336"/>
      <c r="AR5" s="336"/>
      <c r="AS5" s="337"/>
      <c r="AT5" s="20">
        <v>2013</v>
      </c>
      <c r="AU5" s="330">
        <v>2013</v>
      </c>
      <c r="AV5" s="335">
        <v>2014</v>
      </c>
      <c r="AW5" s="336"/>
      <c r="AX5" s="336"/>
      <c r="AY5" s="336"/>
      <c r="AZ5" s="336"/>
      <c r="BA5" s="336"/>
      <c r="BB5" s="336"/>
      <c r="BC5" s="336"/>
      <c r="BD5" s="336"/>
      <c r="BE5" s="336"/>
      <c r="BF5" s="336"/>
      <c r="BG5" s="337"/>
      <c r="BH5" s="20">
        <v>2014</v>
      </c>
      <c r="BI5" s="20">
        <v>2014</v>
      </c>
      <c r="BJ5" s="335">
        <v>2015</v>
      </c>
      <c r="BK5" s="336"/>
      <c r="BL5" s="336"/>
      <c r="BM5" s="336"/>
      <c r="BN5" s="336"/>
      <c r="BO5" s="336"/>
      <c r="BP5" s="336"/>
      <c r="BQ5" s="336"/>
      <c r="BR5" s="336"/>
      <c r="BS5" s="336"/>
      <c r="BT5" s="336"/>
      <c r="BU5" s="337"/>
      <c r="BV5" s="134">
        <v>2015</v>
      </c>
      <c r="BW5" s="20">
        <v>2015</v>
      </c>
      <c r="BX5" s="335">
        <v>2016</v>
      </c>
      <c r="BY5" s="336"/>
      <c r="BZ5" s="336"/>
      <c r="CA5" s="336"/>
      <c r="CB5" s="336"/>
      <c r="CC5" s="336"/>
      <c r="CD5" s="336"/>
      <c r="CE5" s="336"/>
      <c r="CF5" s="336"/>
      <c r="CG5" s="336"/>
      <c r="CH5" s="336"/>
      <c r="CI5" s="337"/>
      <c r="CJ5" s="134">
        <v>2016</v>
      </c>
      <c r="CK5" s="20">
        <v>2016</v>
      </c>
      <c r="CL5" s="335">
        <v>2017</v>
      </c>
      <c r="CM5" s="336"/>
      <c r="CN5" s="336"/>
      <c r="CO5" s="336"/>
      <c r="CP5" s="336"/>
      <c r="CQ5" s="336"/>
      <c r="CR5" s="336"/>
      <c r="CS5" s="336"/>
      <c r="CT5" s="336"/>
      <c r="CU5" s="336"/>
      <c r="CV5" s="336"/>
      <c r="CW5" s="337"/>
      <c r="CX5" s="134">
        <v>2017</v>
      </c>
      <c r="CY5" s="20">
        <v>2017</v>
      </c>
      <c r="CZ5" s="335">
        <v>2018</v>
      </c>
      <c r="DA5" s="336"/>
      <c r="DB5" s="336"/>
      <c r="DC5" s="336"/>
      <c r="DD5" s="336"/>
      <c r="DE5" s="336"/>
      <c r="DF5" s="336"/>
      <c r="DG5" s="336"/>
      <c r="DH5" s="336"/>
      <c r="DI5" s="336"/>
      <c r="DJ5" s="336"/>
      <c r="DK5" s="337"/>
      <c r="DL5" s="134">
        <v>2018</v>
      </c>
      <c r="DM5" s="20">
        <v>2018</v>
      </c>
      <c r="DN5" s="335">
        <v>2019</v>
      </c>
      <c r="DO5" s="336"/>
      <c r="DP5" s="336"/>
      <c r="DQ5" s="336"/>
      <c r="DR5" s="336"/>
      <c r="DS5" s="336"/>
      <c r="DT5" s="336"/>
      <c r="DU5" s="336"/>
      <c r="DV5" s="336"/>
      <c r="DW5" s="336"/>
      <c r="DX5" s="336"/>
      <c r="DY5" s="337"/>
      <c r="DZ5" s="134">
        <v>2019</v>
      </c>
      <c r="EA5" s="20">
        <v>2019</v>
      </c>
      <c r="EB5" s="335">
        <v>2020</v>
      </c>
      <c r="EC5" s="336"/>
      <c r="ED5" s="336"/>
      <c r="EE5" s="336"/>
      <c r="EF5" s="336"/>
      <c r="EG5" s="336"/>
      <c r="EH5" s="336"/>
      <c r="EI5" s="336"/>
      <c r="EJ5" s="336"/>
      <c r="EK5" s="336"/>
      <c r="EL5" s="336"/>
      <c r="EM5" s="337"/>
      <c r="EN5" s="134">
        <v>2020</v>
      </c>
      <c r="EO5" s="134">
        <v>2020</v>
      </c>
      <c r="EP5" s="335">
        <v>2021</v>
      </c>
      <c r="EQ5" s="336"/>
      <c r="ER5" s="336"/>
      <c r="ES5" s="336"/>
      <c r="ET5" s="336"/>
      <c r="EU5" s="336"/>
      <c r="EV5" s="336"/>
      <c r="EW5" s="336"/>
      <c r="EX5" s="336"/>
      <c r="EY5" s="336"/>
      <c r="EZ5" s="336"/>
      <c r="FA5" s="337"/>
      <c r="FB5" s="134">
        <v>2021</v>
      </c>
      <c r="FC5" s="20">
        <v>2021</v>
      </c>
      <c r="FD5" s="335">
        <v>2022</v>
      </c>
      <c r="FE5" s="336"/>
      <c r="FF5" s="336"/>
      <c r="FG5" s="336"/>
      <c r="FH5" s="336"/>
      <c r="FI5" s="336"/>
      <c r="FJ5" s="336"/>
      <c r="FK5" s="336"/>
      <c r="FL5" s="336"/>
      <c r="FM5" s="336"/>
      <c r="FN5" s="336"/>
      <c r="FO5" s="337"/>
      <c r="FP5" s="134">
        <v>2022</v>
      </c>
      <c r="FQ5" s="20">
        <v>2022</v>
      </c>
      <c r="FR5" s="20">
        <v>2023</v>
      </c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>
        <v>2023</v>
      </c>
      <c r="GE5" s="20">
        <v>2023</v>
      </c>
      <c r="GF5" s="335">
        <v>2024</v>
      </c>
      <c r="GG5" s="336"/>
      <c r="GH5" s="336"/>
      <c r="GI5" s="336"/>
      <c r="GJ5" s="336"/>
      <c r="GK5" s="336"/>
      <c r="GL5" s="336"/>
      <c r="GM5" s="336"/>
      <c r="GN5" s="336"/>
      <c r="GO5" s="336"/>
      <c r="GP5" s="336"/>
      <c r="GQ5" s="337"/>
      <c r="GR5" s="20">
        <v>2024</v>
      </c>
      <c r="GS5" s="20">
        <v>2024</v>
      </c>
      <c r="GT5" s="335">
        <v>2025</v>
      </c>
      <c r="GU5" s="336"/>
      <c r="GV5" s="336"/>
      <c r="GW5" s="336"/>
      <c r="GX5" s="336"/>
      <c r="GY5" s="336"/>
      <c r="GZ5" s="336"/>
      <c r="HA5" s="336"/>
      <c r="HB5" s="336"/>
      <c r="HC5" s="336"/>
      <c r="HD5" s="336"/>
      <c r="HE5" s="337"/>
      <c r="HF5" s="20">
        <v>2025</v>
      </c>
      <c r="HG5" s="335">
        <v>2026</v>
      </c>
      <c r="HH5" s="336"/>
      <c r="HI5" s="336"/>
      <c r="HJ5" s="336"/>
      <c r="HK5" s="336"/>
      <c r="HL5" s="336"/>
      <c r="HM5" s="336"/>
      <c r="HN5" s="336"/>
      <c r="HO5" s="336"/>
      <c r="HP5" s="336"/>
      <c r="HQ5" s="336"/>
      <c r="HR5" s="337"/>
      <c r="HS5" s="298">
        <v>2025</v>
      </c>
      <c r="HT5" s="270">
        <v>2026</v>
      </c>
      <c r="HU5" s="271" t="s">
        <v>5</v>
      </c>
      <c r="HV5" s="271" t="str">
        <f>HU5</f>
        <v>2026/2025</v>
      </c>
    </row>
    <row r="6" spans="1:230" ht="63" customHeight="1">
      <c r="A6" s="343"/>
      <c r="B6" s="353"/>
      <c r="C6" s="343"/>
      <c r="D6" s="24" t="s">
        <v>0</v>
      </c>
      <c r="E6" s="24" t="s">
        <v>0</v>
      </c>
      <c r="F6" s="25" t="s">
        <v>6</v>
      </c>
      <c r="G6" s="25" t="s">
        <v>7</v>
      </c>
      <c r="H6" s="25" t="s">
        <v>8</v>
      </c>
      <c r="I6" s="25" t="s">
        <v>9</v>
      </c>
      <c r="J6" s="25" t="s">
        <v>10</v>
      </c>
      <c r="K6" s="25" t="s">
        <v>11</v>
      </c>
      <c r="L6" s="25" t="s">
        <v>12</v>
      </c>
      <c r="M6" s="25" t="s">
        <v>13</v>
      </c>
      <c r="N6" s="25" t="s">
        <v>14</v>
      </c>
      <c r="O6" s="25" t="s">
        <v>15</v>
      </c>
      <c r="P6" s="25" t="s">
        <v>16</v>
      </c>
      <c r="Q6" s="25" t="s">
        <v>17</v>
      </c>
      <c r="R6" s="24" t="s">
        <v>1</v>
      </c>
      <c r="S6" s="24" t="s">
        <v>0</v>
      </c>
      <c r="T6" s="25" t="s">
        <v>6</v>
      </c>
      <c r="U6" s="25" t="s">
        <v>7</v>
      </c>
      <c r="V6" s="25" t="s">
        <v>8</v>
      </c>
      <c r="W6" s="25" t="s">
        <v>9</v>
      </c>
      <c r="X6" s="25" t="s">
        <v>10</v>
      </c>
      <c r="Y6" s="25" t="s">
        <v>11</v>
      </c>
      <c r="Z6" s="25" t="s">
        <v>12</v>
      </c>
      <c r="AA6" s="25" t="s">
        <v>13</v>
      </c>
      <c r="AB6" s="25" t="s">
        <v>14</v>
      </c>
      <c r="AC6" s="25" t="s">
        <v>15</v>
      </c>
      <c r="AD6" s="25" t="s">
        <v>16</v>
      </c>
      <c r="AE6" s="25" t="s">
        <v>17</v>
      </c>
      <c r="AF6" s="24" t="s">
        <v>1</v>
      </c>
      <c r="AG6" s="24" t="s">
        <v>0</v>
      </c>
      <c r="AH6" s="25" t="s">
        <v>6</v>
      </c>
      <c r="AI6" s="25" t="s">
        <v>7</v>
      </c>
      <c r="AJ6" s="25" t="s">
        <v>8</v>
      </c>
      <c r="AK6" s="25" t="s">
        <v>9</v>
      </c>
      <c r="AL6" s="25" t="s">
        <v>10</v>
      </c>
      <c r="AM6" s="25" t="s">
        <v>11</v>
      </c>
      <c r="AN6" s="25" t="s">
        <v>12</v>
      </c>
      <c r="AO6" s="25" t="s">
        <v>13</v>
      </c>
      <c r="AP6" s="25" t="s">
        <v>14</v>
      </c>
      <c r="AQ6" s="25" t="s">
        <v>15</v>
      </c>
      <c r="AR6" s="25" t="s">
        <v>16</v>
      </c>
      <c r="AS6" s="25" t="s">
        <v>17</v>
      </c>
      <c r="AT6" s="24" t="s">
        <v>1</v>
      </c>
      <c r="AU6" s="24" t="s">
        <v>0</v>
      </c>
      <c r="AV6" s="24" t="s">
        <v>6</v>
      </c>
      <c r="AW6" s="24" t="s">
        <v>7</v>
      </c>
      <c r="AX6" s="24" t="s">
        <v>8</v>
      </c>
      <c r="AY6" s="24" t="s">
        <v>9</v>
      </c>
      <c r="AZ6" s="24" t="s">
        <v>10</v>
      </c>
      <c r="BA6" s="24" t="s">
        <v>11</v>
      </c>
      <c r="BB6" s="24" t="s">
        <v>12</v>
      </c>
      <c r="BC6" s="24" t="s">
        <v>13</v>
      </c>
      <c r="BD6" s="24" t="s">
        <v>14</v>
      </c>
      <c r="BE6" s="24" t="s">
        <v>15</v>
      </c>
      <c r="BF6" s="24" t="s">
        <v>16</v>
      </c>
      <c r="BG6" s="24" t="s">
        <v>17</v>
      </c>
      <c r="BH6" s="129" t="s">
        <v>1</v>
      </c>
      <c r="BI6" s="24" t="s">
        <v>0</v>
      </c>
      <c r="BJ6" s="24" t="s">
        <v>6</v>
      </c>
      <c r="BK6" s="24" t="s">
        <v>7</v>
      </c>
      <c r="BL6" s="24" t="s">
        <v>8</v>
      </c>
      <c r="BM6" s="24" t="s">
        <v>9</v>
      </c>
      <c r="BN6" s="24" t="s">
        <v>10</v>
      </c>
      <c r="BO6" s="24" t="s">
        <v>11</v>
      </c>
      <c r="BP6" s="24" t="s">
        <v>12</v>
      </c>
      <c r="BQ6" s="24" t="s">
        <v>13</v>
      </c>
      <c r="BR6" s="24" t="s">
        <v>14</v>
      </c>
      <c r="BS6" s="24" t="s">
        <v>15</v>
      </c>
      <c r="BT6" s="24" t="s">
        <v>16</v>
      </c>
      <c r="BU6" s="24" t="s">
        <v>17</v>
      </c>
      <c r="BV6" s="24" t="s">
        <v>1</v>
      </c>
      <c r="BW6" s="24" t="s">
        <v>0</v>
      </c>
      <c r="BX6" s="24" t="s">
        <v>6</v>
      </c>
      <c r="BY6" s="24" t="s">
        <v>7</v>
      </c>
      <c r="BZ6" s="24" t="s">
        <v>8</v>
      </c>
      <c r="CA6" s="24" t="s">
        <v>9</v>
      </c>
      <c r="CB6" s="24" t="s">
        <v>10</v>
      </c>
      <c r="CC6" s="24" t="s">
        <v>11</v>
      </c>
      <c r="CD6" s="24" t="s">
        <v>12</v>
      </c>
      <c r="CE6" s="24" t="s">
        <v>13</v>
      </c>
      <c r="CF6" s="24" t="s">
        <v>14</v>
      </c>
      <c r="CG6" s="24" t="s">
        <v>15</v>
      </c>
      <c r="CH6" s="24" t="s">
        <v>16</v>
      </c>
      <c r="CI6" s="24" t="s">
        <v>17</v>
      </c>
      <c r="CJ6" s="24" t="s">
        <v>1</v>
      </c>
      <c r="CK6" s="24" t="s">
        <v>0</v>
      </c>
      <c r="CL6" s="24" t="s">
        <v>6</v>
      </c>
      <c r="CM6" s="24" t="s">
        <v>7</v>
      </c>
      <c r="CN6" s="24" t="s">
        <v>8</v>
      </c>
      <c r="CO6" s="24" t="s">
        <v>9</v>
      </c>
      <c r="CP6" s="24" t="s">
        <v>10</v>
      </c>
      <c r="CQ6" s="24" t="s">
        <v>11</v>
      </c>
      <c r="CR6" s="24" t="s">
        <v>12</v>
      </c>
      <c r="CS6" s="24" t="s">
        <v>13</v>
      </c>
      <c r="CT6" s="24" t="s">
        <v>14</v>
      </c>
      <c r="CU6" s="24" t="s">
        <v>15</v>
      </c>
      <c r="CV6" s="24" t="s">
        <v>16</v>
      </c>
      <c r="CW6" s="24" t="s">
        <v>17</v>
      </c>
      <c r="CX6" s="24" t="s">
        <v>1</v>
      </c>
      <c r="CY6" s="24" t="s">
        <v>0</v>
      </c>
      <c r="CZ6" s="24" t="s">
        <v>6</v>
      </c>
      <c r="DA6" s="24" t="s">
        <v>7</v>
      </c>
      <c r="DB6" s="24" t="s">
        <v>8</v>
      </c>
      <c r="DC6" s="24" t="s">
        <v>9</v>
      </c>
      <c r="DD6" s="24" t="s">
        <v>10</v>
      </c>
      <c r="DE6" s="24" t="s">
        <v>11</v>
      </c>
      <c r="DF6" s="24" t="s">
        <v>12</v>
      </c>
      <c r="DG6" s="24" t="s">
        <v>13</v>
      </c>
      <c r="DH6" s="24" t="s">
        <v>14</v>
      </c>
      <c r="DI6" s="24" t="s">
        <v>15</v>
      </c>
      <c r="DJ6" s="24" t="s">
        <v>16</v>
      </c>
      <c r="DK6" s="24" t="s">
        <v>17</v>
      </c>
      <c r="DL6" s="129" t="str">
        <f>CX6</f>
        <v>I-XII</v>
      </c>
      <c r="DM6" s="24" t="s">
        <v>18</v>
      </c>
      <c r="DN6" s="129" t="str">
        <f t="shared" ref="DN6:DY6" si="0">CZ6</f>
        <v>I</v>
      </c>
      <c r="DO6" s="129" t="str">
        <f t="shared" si="0"/>
        <v>II</v>
      </c>
      <c r="DP6" s="129" t="str">
        <f t="shared" si="0"/>
        <v>III</v>
      </c>
      <c r="DQ6" s="129" t="str">
        <f t="shared" si="0"/>
        <v>IV</v>
      </c>
      <c r="DR6" s="129" t="str">
        <f t="shared" si="0"/>
        <v>V</v>
      </c>
      <c r="DS6" s="129" t="str">
        <f t="shared" si="0"/>
        <v>VI</v>
      </c>
      <c r="DT6" s="129" t="str">
        <f t="shared" si="0"/>
        <v>VII</v>
      </c>
      <c r="DU6" s="129" t="str">
        <f t="shared" si="0"/>
        <v>VIII</v>
      </c>
      <c r="DV6" s="129" t="str">
        <f t="shared" si="0"/>
        <v>IX</v>
      </c>
      <c r="DW6" s="129" t="str">
        <f t="shared" si="0"/>
        <v>X</v>
      </c>
      <c r="DX6" s="129" t="str">
        <f t="shared" si="0"/>
        <v>XI</v>
      </c>
      <c r="DY6" s="129" t="str">
        <f t="shared" si="0"/>
        <v>XII</v>
      </c>
      <c r="DZ6" s="129" t="str">
        <f>DL6</f>
        <v>I-XII</v>
      </c>
      <c r="EA6" s="24" t="s">
        <v>18</v>
      </c>
      <c r="EB6" s="129" t="str">
        <f t="shared" ref="EB6:EM6" si="1">DN6</f>
        <v>I</v>
      </c>
      <c r="EC6" s="129" t="str">
        <f t="shared" si="1"/>
        <v>II</v>
      </c>
      <c r="ED6" s="129" t="str">
        <f t="shared" si="1"/>
        <v>III</v>
      </c>
      <c r="EE6" s="129" t="str">
        <f t="shared" si="1"/>
        <v>IV</v>
      </c>
      <c r="EF6" s="129" t="str">
        <f t="shared" si="1"/>
        <v>V</v>
      </c>
      <c r="EG6" s="129" t="str">
        <f t="shared" si="1"/>
        <v>VI</v>
      </c>
      <c r="EH6" s="129" t="str">
        <f t="shared" si="1"/>
        <v>VII</v>
      </c>
      <c r="EI6" s="129" t="str">
        <f t="shared" si="1"/>
        <v>VIII</v>
      </c>
      <c r="EJ6" s="129" t="str">
        <f t="shared" si="1"/>
        <v>IX</v>
      </c>
      <c r="EK6" s="129" t="str">
        <f t="shared" si="1"/>
        <v>X</v>
      </c>
      <c r="EL6" s="129" t="str">
        <f t="shared" si="1"/>
        <v>XI</v>
      </c>
      <c r="EM6" s="129" t="str">
        <f t="shared" si="1"/>
        <v>XII</v>
      </c>
      <c r="EN6" s="129" t="str">
        <f>DZ6</f>
        <v>I-XII</v>
      </c>
      <c r="EO6" s="24" t="s">
        <v>18</v>
      </c>
      <c r="EP6" s="129" t="str">
        <f t="shared" ref="EP6:FA6" si="2">EB6</f>
        <v>I</v>
      </c>
      <c r="EQ6" s="129" t="str">
        <f t="shared" si="2"/>
        <v>II</v>
      </c>
      <c r="ER6" s="129" t="str">
        <f t="shared" si="2"/>
        <v>III</v>
      </c>
      <c r="ES6" s="129" t="str">
        <f t="shared" si="2"/>
        <v>IV</v>
      </c>
      <c r="ET6" s="129" t="str">
        <f t="shared" si="2"/>
        <v>V</v>
      </c>
      <c r="EU6" s="129" t="str">
        <f t="shared" si="2"/>
        <v>VI</v>
      </c>
      <c r="EV6" s="129" t="str">
        <f t="shared" si="2"/>
        <v>VII</v>
      </c>
      <c r="EW6" s="129" t="str">
        <f t="shared" si="2"/>
        <v>VIII</v>
      </c>
      <c r="EX6" s="129" t="str">
        <f t="shared" si="2"/>
        <v>IX</v>
      </c>
      <c r="EY6" s="129" t="str">
        <f t="shared" si="2"/>
        <v>X</v>
      </c>
      <c r="EZ6" s="129" t="str">
        <f t="shared" si="2"/>
        <v>XI</v>
      </c>
      <c r="FA6" s="129" t="str">
        <f t="shared" si="2"/>
        <v>XII</v>
      </c>
      <c r="FB6" s="129" t="str">
        <f>EN6</f>
        <v>I-XII</v>
      </c>
      <c r="FC6" s="24" t="s">
        <v>18</v>
      </c>
      <c r="FD6" s="129" t="s">
        <v>6</v>
      </c>
      <c r="FE6" s="129" t="s">
        <v>7</v>
      </c>
      <c r="FF6" s="129" t="s">
        <v>8</v>
      </c>
      <c r="FG6" s="129" t="s">
        <v>9</v>
      </c>
      <c r="FH6" s="129" t="s">
        <v>10</v>
      </c>
      <c r="FI6" s="129" t="s">
        <v>11</v>
      </c>
      <c r="FJ6" s="129" t="s">
        <v>12</v>
      </c>
      <c r="FK6" s="129" t="s">
        <v>13</v>
      </c>
      <c r="FL6" s="129" t="s">
        <v>14</v>
      </c>
      <c r="FM6" s="129" t="s">
        <v>15</v>
      </c>
      <c r="FN6" s="129" t="s">
        <v>16</v>
      </c>
      <c r="FO6" s="129" t="s">
        <v>17</v>
      </c>
      <c r="FP6" s="129" t="str">
        <f>FB6</f>
        <v>I-XII</v>
      </c>
      <c r="FQ6" s="24" t="s">
        <v>18</v>
      </c>
      <c r="FR6" s="129" t="s">
        <v>6</v>
      </c>
      <c r="FS6" s="129" t="s">
        <v>7</v>
      </c>
      <c r="FT6" s="129" t="s">
        <v>8</v>
      </c>
      <c r="FU6" s="129" t="s">
        <v>9</v>
      </c>
      <c r="FV6" s="129" t="s">
        <v>10</v>
      </c>
      <c r="FW6" s="129" t="s">
        <v>11</v>
      </c>
      <c r="FX6" s="129" t="s">
        <v>12</v>
      </c>
      <c r="FY6" s="129" t="s">
        <v>13</v>
      </c>
      <c r="FZ6" s="129" t="s">
        <v>14</v>
      </c>
      <c r="GA6" s="129" t="s">
        <v>15</v>
      </c>
      <c r="GB6" s="129" t="s">
        <v>16</v>
      </c>
      <c r="GC6" s="129" t="s">
        <v>17</v>
      </c>
      <c r="GD6" s="129" t="str">
        <f>FP6</f>
        <v>I-XII</v>
      </c>
      <c r="GE6" s="24" t="s">
        <v>18</v>
      </c>
      <c r="GF6" s="129" t="s">
        <v>6</v>
      </c>
      <c r="GG6" s="129" t="s">
        <v>7</v>
      </c>
      <c r="GH6" s="129" t="s">
        <v>8</v>
      </c>
      <c r="GI6" s="129" t="s">
        <v>9</v>
      </c>
      <c r="GJ6" s="129" t="s">
        <v>10</v>
      </c>
      <c r="GK6" s="129" t="s">
        <v>11</v>
      </c>
      <c r="GL6" s="129" t="s">
        <v>12</v>
      </c>
      <c r="GM6" s="129" t="s">
        <v>13</v>
      </c>
      <c r="GN6" s="129" t="s">
        <v>14</v>
      </c>
      <c r="GO6" s="129" t="s">
        <v>15</v>
      </c>
      <c r="GP6" s="129" t="s">
        <v>16</v>
      </c>
      <c r="GQ6" s="129" t="s">
        <v>17</v>
      </c>
      <c r="GR6" s="129" t="str">
        <f>GD6</f>
        <v>I-XII</v>
      </c>
      <c r="GS6" s="24" t="s">
        <v>18</v>
      </c>
      <c r="GT6" s="129" t="s">
        <v>6</v>
      </c>
      <c r="GU6" s="129" t="s">
        <v>7</v>
      </c>
      <c r="GV6" s="129" t="s">
        <v>8</v>
      </c>
      <c r="GW6" s="129" t="s">
        <v>9</v>
      </c>
      <c r="GX6" s="129" t="s">
        <v>10</v>
      </c>
      <c r="GY6" s="129" t="s">
        <v>11</v>
      </c>
      <c r="GZ6" s="129" t="s">
        <v>12</v>
      </c>
      <c r="HA6" s="129" t="s">
        <v>13</v>
      </c>
      <c r="HB6" s="129" t="s">
        <v>14</v>
      </c>
      <c r="HC6" s="129" t="s">
        <v>15</v>
      </c>
      <c r="HD6" s="129" t="s">
        <v>16</v>
      </c>
      <c r="HE6" s="129" t="s">
        <v>17</v>
      </c>
      <c r="HF6" s="129" t="str">
        <f>GR6</f>
        <v>I-XII</v>
      </c>
      <c r="HG6" s="129" t="s">
        <v>6</v>
      </c>
      <c r="HH6" s="129" t="s">
        <v>7</v>
      </c>
      <c r="HI6" s="129" t="s">
        <v>8</v>
      </c>
      <c r="HJ6" s="129" t="s">
        <v>9</v>
      </c>
      <c r="HK6" s="129" t="s">
        <v>10</v>
      </c>
      <c r="HL6" s="129" t="s">
        <v>11</v>
      </c>
      <c r="HM6" s="129" t="s">
        <v>12</v>
      </c>
      <c r="HN6" s="129" t="s">
        <v>13</v>
      </c>
      <c r="HO6" s="129" t="s">
        <v>14</v>
      </c>
      <c r="HP6" s="129" t="s">
        <v>15</v>
      </c>
      <c r="HQ6" s="129" t="s">
        <v>16</v>
      </c>
      <c r="HR6" s="129" t="s">
        <v>17</v>
      </c>
      <c r="HS6" s="288" t="str">
        <f>Kopbudžets!HU6</f>
        <v>I-IV</v>
      </c>
      <c r="HT6" s="272" t="str">
        <f>HS6</f>
        <v>I-IV</v>
      </c>
      <c r="HU6" s="273" t="str">
        <f>"Izmaiņas "&amp;HT6&amp;" "&amp;HU5&amp;",
milj. euro"</f>
        <v>Izmaiņas I-IV 2026/2025,
milj. euro</v>
      </c>
      <c r="HV6" s="273" t="str">
        <f>"Izmaiņas "&amp;HT6&amp;" "&amp;HV5&amp;",
%"</f>
        <v>Izmaiņas I-IV 2026/2025,
%</v>
      </c>
    </row>
    <row r="7" spans="1:230" s="12" customFormat="1" ht="20">
      <c r="A7" s="40" t="s">
        <v>25</v>
      </c>
      <c r="B7" s="13"/>
      <c r="C7" s="40" t="s">
        <v>247</v>
      </c>
      <c r="D7" s="40">
        <v>245.00120090380815</v>
      </c>
      <c r="E7" s="40">
        <v>325.2118620696678</v>
      </c>
      <c r="F7" s="40">
        <v>18.812670388899324</v>
      </c>
      <c r="G7" s="40">
        <v>25.867911964075333</v>
      </c>
      <c r="H7" s="40">
        <v>29.730846722557072</v>
      </c>
      <c r="I7" s="40">
        <v>21.508662443583134</v>
      </c>
      <c r="J7" s="40">
        <v>22.555560298461593</v>
      </c>
      <c r="K7" s="40">
        <v>27.64593115577032</v>
      </c>
      <c r="L7" s="40">
        <v>25.862671527196767</v>
      </c>
      <c r="M7" s="40">
        <v>24.497726250846611</v>
      </c>
      <c r="N7" s="40">
        <v>23.190509729597444</v>
      </c>
      <c r="O7" s="40">
        <v>28.792933734014035</v>
      </c>
      <c r="P7" s="40">
        <v>25.652282855532981</v>
      </c>
      <c r="Q7" s="40">
        <v>55.000829534265598</v>
      </c>
      <c r="R7" s="40">
        <v>329.11853660480023</v>
      </c>
      <c r="S7" s="40">
        <v>331.45776691659461</v>
      </c>
      <c r="T7" s="40">
        <v>31.57480179395678</v>
      </c>
      <c r="U7" s="40">
        <v>24.961645067472578</v>
      </c>
      <c r="V7" s="40">
        <v>26.921648140875693</v>
      </c>
      <c r="W7" s="40">
        <v>32.787320504721087</v>
      </c>
      <c r="X7" s="40">
        <v>25.64720320316902</v>
      </c>
      <c r="Y7" s="40">
        <v>30.79862664412838</v>
      </c>
      <c r="Z7" s="40">
        <v>27.364262297881062</v>
      </c>
      <c r="AA7" s="40">
        <v>25.633599125787558</v>
      </c>
      <c r="AB7" s="40">
        <v>24.672379496986363</v>
      </c>
      <c r="AC7" s="40">
        <v>30.941911258330915</v>
      </c>
      <c r="AD7" s="40">
        <v>25.330779278433251</v>
      </c>
      <c r="AE7" s="40">
        <v>40.491650588215208</v>
      </c>
      <c r="AF7" s="40">
        <v>347.12572779893117</v>
      </c>
      <c r="AG7" s="40">
        <v>341.38841951666086</v>
      </c>
      <c r="AH7" s="40">
        <v>23.077092617571896</v>
      </c>
      <c r="AI7" s="40">
        <v>27.709221916779075</v>
      </c>
      <c r="AJ7" s="40">
        <v>28.414165258023573</v>
      </c>
      <c r="AK7" s="40">
        <v>25.172809204273168</v>
      </c>
      <c r="AL7" s="40">
        <v>26.59431363509599</v>
      </c>
      <c r="AM7" s="40">
        <v>29.726286418403994</v>
      </c>
      <c r="AN7" s="40">
        <v>34.320261410009053</v>
      </c>
      <c r="AO7" s="40">
        <v>30.593107039800568</v>
      </c>
      <c r="AP7" s="40">
        <v>26.254355410612348</v>
      </c>
      <c r="AQ7" s="40">
        <v>26.323450065736676</v>
      </c>
      <c r="AR7" s="40">
        <v>21.63432621328279</v>
      </c>
      <c r="AS7" s="40">
        <v>34.726837069794705</v>
      </c>
      <c r="AT7" s="40">
        <v>334.5462262593839</v>
      </c>
      <c r="AU7" s="40">
        <v>329.6074579744826</v>
      </c>
      <c r="AV7" s="40">
        <f>AV8+AV9+AV10+AV11+AV15</f>
        <v>20.689442000000003</v>
      </c>
      <c r="AW7" s="40">
        <f>AW8+AW9+AW10+AW11+AW15</f>
        <v>24.305702</v>
      </c>
      <c r="AX7" s="40">
        <f t="shared" ref="AX7:BE7" si="3">AX8+AX9+AX10+AX11+AX15</f>
        <v>28.887360000000001</v>
      </c>
      <c r="AY7" s="40">
        <f t="shared" si="3"/>
        <v>24.867307</v>
      </c>
      <c r="AZ7" s="40">
        <f t="shared" si="3"/>
        <v>18.642696999999998</v>
      </c>
      <c r="BA7" s="40">
        <f t="shared" si="3"/>
        <v>24.303128000000001</v>
      </c>
      <c r="BB7" s="40">
        <f t="shared" si="3"/>
        <v>24.990452999999999</v>
      </c>
      <c r="BC7" s="40">
        <f t="shared" si="3"/>
        <v>27.110219999999998</v>
      </c>
      <c r="BD7" s="40">
        <f t="shared" si="3"/>
        <v>25.196623000000002</v>
      </c>
      <c r="BE7" s="40">
        <f t="shared" si="3"/>
        <v>29.536773</v>
      </c>
      <c r="BF7" s="40">
        <f>BF8+BF9+BF10+BF11+BF15</f>
        <v>28.793465999999999</v>
      </c>
      <c r="BG7" s="40">
        <f>BG8+BG9+BG10+BG11+BG15</f>
        <v>47.601040999999995</v>
      </c>
      <c r="BH7" s="39">
        <f>SUM(AV7:BG7)</f>
        <v>324.92421200000001</v>
      </c>
      <c r="BI7" s="39">
        <f>BI8+BI9+BI10+BI11+BI15</f>
        <v>318.17965500000003</v>
      </c>
      <c r="BJ7" s="40">
        <f>BJ8+BJ9+BJ10+BJ11+BJ15</f>
        <v>20.672380999999998</v>
      </c>
      <c r="BK7" s="40">
        <v>27.290821000000001</v>
      </c>
      <c r="BL7" s="40">
        <v>26.862766000000001</v>
      </c>
      <c r="BM7" s="40">
        <v>26.669875999999999</v>
      </c>
      <c r="BN7" s="40">
        <v>26.230224999999994</v>
      </c>
      <c r="BO7" s="40">
        <v>38.696420000000003</v>
      </c>
      <c r="BP7" s="40">
        <v>29.925621000000003</v>
      </c>
      <c r="BQ7" s="40">
        <v>26.590499000000001</v>
      </c>
      <c r="BR7" s="40">
        <v>28.030401999999999</v>
      </c>
      <c r="BS7" s="40">
        <v>24.409802000000003</v>
      </c>
      <c r="BT7" s="40">
        <v>30.999077000000003</v>
      </c>
      <c r="BU7" s="40">
        <v>33.223047000000001</v>
      </c>
      <c r="BV7" s="39">
        <f>SUM(BJ7:BU7)</f>
        <v>339.60093699999999</v>
      </c>
      <c r="BW7" s="39">
        <f>BW8+BW9+BW10+BW11+BW15</f>
        <v>330.69929599999995</v>
      </c>
      <c r="BX7" s="39">
        <v>21.470410000000001</v>
      </c>
      <c r="BY7" s="39">
        <v>26.999328999999999</v>
      </c>
      <c r="BZ7" s="39">
        <v>30.891093000000001</v>
      </c>
      <c r="CA7" s="39">
        <v>41.317531000000002</v>
      </c>
      <c r="CB7" s="39">
        <v>23.520394</v>
      </c>
      <c r="CC7" s="39">
        <v>22.552227000000002</v>
      </c>
      <c r="CD7" s="39">
        <v>26.835414999999998</v>
      </c>
      <c r="CE7" s="39">
        <v>25.265607999999997</v>
      </c>
      <c r="CF7" s="39">
        <v>23.436753</v>
      </c>
      <c r="CG7" s="39">
        <v>25.200111</v>
      </c>
      <c r="CH7" s="39">
        <v>22.386709999999997</v>
      </c>
      <c r="CI7" s="39">
        <v>28.836711999999999</v>
      </c>
      <c r="CJ7" s="39">
        <f>SUM(BX7:CI7)</f>
        <v>318.71229299999999</v>
      </c>
      <c r="CK7" s="39">
        <f>CK8+CK9+CK10+CK11+CK15</f>
        <v>315.53499100000005</v>
      </c>
      <c r="CL7" s="39">
        <v>18.539543999999999</v>
      </c>
      <c r="CM7" s="39">
        <v>37.221825000000003</v>
      </c>
      <c r="CN7" s="39">
        <v>29.404529</v>
      </c>
      <c r="CO7" s="39">
        <v>28.389564</v>
      </c>
      <c r="CP7" s="39">
        <v>24.150618999999999</v>
      </c>
      <c r="CQ7" s="39">
        <v>28.714750000000002</v>
      </c>
      <c r="CR7" s="39">
        <v>31.351008999999998</v>
      </c>
      <c r="CS7" s="39">
        <v>32.672165999999997</v>
      </c>
      <c r="CT7" s="39">
        <v>25.701481999999999</v>
      </c>
      <c r="CU7" s="39">
        <v>31.138041000000001</v>
      </c>
      <c r="CV7" s="39">
        <v>34.305498000000007</v>
      </c>
      <c r="CW7" s="39">
        <v>44.326743999999998</v>
      </c>
      <c r="CX7" s="39">
        <f>CL7+CM7+CN7+CO7+CP7+CQ7+CR7+CS7+CT7+CU7+CV7+CW7</f>
        <v>365.91577100000001</v>
      </c>
      <c r="CY7" s="39">
        <f>CY8+CY9+CY10+CY11+CY15</f>
        <v>362.75484399999999</v>
      </c>
      <c r="CZ7" s="39">
        <v>29.627258000000001</v>
      </c>
      <c r="DA7" s="39">
        <v>33.699686</v>
      </c>
      <c r="DB7" s="39">
        <v>32.257049000000002</v>
      </c>
      <c r="DC7" s="39">
        <v>39.474426000000001</v>
      </c>
      <c r="DD7" s="39">
        <v>31.154902</v>
      </c>
      <c r="DE7" s="39">
        <v>37.163547000000001</v>
      </c>
      <c r="DF7" s="39">
        <v>41.088161999999997</v>
      </c>
      <c r="DG7" s="39">
        <v>40.760375000000003</v>
      </c>
      <c r="DH7" s="39">
        <v>32.346617999999999</v>
      </c>
      <c r="DI7" s="39">
        <v>38.456449999999997</v>
      </c>
      <c r="DJ7" s="39">
        <v>33.954386</v>
      </c>
      <c r="DK7" s="39">
        <v>43.485418000000003</v>
      </c>
      <c r="DL7" s="39">
        <f>SUM(CZ7:DK7)</f>
        <v>433.46827699999994</v>
      </c>
      <c r="DM7" s="39">
        <f>DM8+DM9+DM10+DM11+DM15</f>
        <v>427.41589199999999</v>
      </c>
      <c r="DN7" s="39">
        <v>41.238937</v>
      </c>
      <c r="DO7" s="39">
        <v>43.638049000000002</v>
      </c>
      <c r="DP7" s="39">
        <v>26.879946</v>
      </c>
      <c r="DQ7" s="39">
        <v>59.915511000000002</v>
      </c>
      <c r="DR7" s="39">
        <v>24.385777000000001</v>
      </c>
      <c r="DS7" s="39">
        <v>23.322209999999998</v>
      </c>
      <c r="DT7" s="39">
        <v>60.799998000000002</v>
      </c>
      <c r="DU7" s="39">
        <v>38.017980999999999</v>
      </c>
      <c r="DV7" s="39">
        <v>31.378335</v>
      </c>
      <c r="DW7" s="39">
        <v>61.278446000000002</v>
      </c>
      <c r="DX7" s="39">
        <v>20.364964000000001</v>
      </c>
      <c r="DY7" s="39">
        <v>35.415075000000002</v>
      </c>
      <c r="DZ7" s="39">
        <f>SUM(DN7:DY7)</f>
        <v>466.63522899999998</v>
      </c>
      <c r="EA7" s="39">
        <f>EA8+EA9+EA10+EA11+EA15</f>
        <v>458.72039699999993</v>
      </c>
      <c r="EB7" s="39">
        <v>34.120120999999997</v>
      </c>
      <c r="EC7" s="39">
        <v>59.812942999999997</v>
      </c>
      <c r="ED7" s="39">
        <v>27.946759</v>
      </c>
      <c r="EE7" s="54">
        <v>59.097912999999998</v>
      </c>
      <c r="EF7" s="40">
        <v>18.785419000000001</v>
      </c>
      <c r="EG7" s="54">
        <v>25.230740000000001</v>
      </c>
      <c r="EH7" s="54">
        <v>52.993043</v>
      </c>
      <c r="EI7" s="40">
        <v>42.699013999999998</v>
      </c>
      <c r="EJ7" s="39">
        <v>33.421537000000001</v>
      </c>
      <c r="EK7" s="39">
        <v>62.095832999999999</v>
      </c>
      <c r="EL7" s="39">
        <v>22.501932</v>
      </c>
      <c r="EM7" s="39">
        <v>36.713583</v>
      </c>
      <c r="EN7" s="39">
        <f>SUM(EB7:EM7)</f>
        <v>475.41883699999994</v>
      </c>
      <c r="EO7" s="39">
        <f>EO8+EO9+EO10+EO11+EO15</f>
        <v>460.57231799999988</v>
      </c>
      <c r="EP7" s="39">
        <v>54.511643999999997</v>
      </c>
      <c r="EQ7" s="39">
        <v>34.683081999999999</v>
      </c>
      <c r="ER7" s="39">
        <v>46.623905000000001</v>
      </c>
      <c r="ES7" s="39">
        <v>56.995337999999997</v>
      </c>
      <c r="ET7" s="39">
        <v>24.019482</v>
      </c>
      <c r="EU7" s="39">
        <v>24.076871000000001</v>
      </c>
      <c r="EV7" s="39">
        <v>61.330174999999997</v>
      </c>
      <c r="EW7" s="39">
        <v>41.780621000000004</v>
      </c>
      <c r="EX7" s="39">
        <v>26.774512999999999</v>
      </c>
      <c r="EY7" s="39">
        <v>60.603881999999999</v>
      </c>
      <c r="EZ7" s="39">
        <v>28.851284</v>
      </c>
      <c r="FA7" s="39">
        <v>50.559128000000001</v>
      </c>
      <c r="FB7" s="39">
        <f>SUM(EP7:FA7)</f>
        <v>510.80992500000002</v>
      </c>
      <c r="FC7" s="39">
        <f>FC8+FC9+FC10+FC11+FC15</f>
        <v>508.04024600000002</v>
      </c>
      <c r="FD7" s="39">
        <v>50.719700000000003</v>
      </c>
      <c r="FE7" s="39">
        <v>63.112107999999999</v>
      </c>
      <c r="FF7" s="39">
        <v>40.917718999999998</v>
      </c>
      <c r="FG7" s="39">
        <v>71.088774999999998</v>
      </c>
      <c r="FH7" s="39">
        <v>27.077736999999999</v>
      </c>
      <c r="FI7" s="39">
        <v>23.027453999999999</v>
      </c>
      <c r="FJ7" s="39">
        <v>60.558942999999999</v>
      </c>
      <c r="FK7" s="39">
        <v>42.965100999999997</v>
      </c>
      <c r="FL7" s="39">
        <v>36.435940000000002</v>
      </c>
      <c r="FM7" s="39">
        <v>76.312593000000007</v>
      </c>
      <c r="FN7" s="39">
        <v>28.670817</v>
      </c>
      <c r="FO7" s="39">
        <v>51.513438999999998</v>
      </c>
      <c r="FP7" s="39">
        <f>SUM(FD7:FO7)</f>
        <v>572.40032599999995</v>
      </c>
      <c r="FQ7" s="39">
        <f>FQ8+FQ9+FQ10+FQ11+FQ15</f>
        <v>563.83939900000007</v>
      </c>
      <c r="FR7" s="39">
        <v>42.654006000000003</v>
      </c>
      <c r="FS7" s="39">
        <v>58.599350000000001</v>
      </c>
      <c r="FT7" s="39">
        <v>40.119236999999998</v>
      </c>
      <c r="FU7" s="39">
        <v>71.435249999999996</v>
      </c>
      <c r="FV7" s="39">
        <v>33.156973999999998</v>
      </c>
      <c r="FW7" s="39">
        <v>36.388531</v>
      </c>
      <c r="FX7" s="39">
        <v>80.289851999999996</v>
      </c>
      <c r="FY7" s="39">
        <v>54.077153000000003</v>
      </c>
      <c r="FZ7" s="39">
        <v>34.079107999999998</v>
      </c>
      <c r="GA7" s="39">
        <v>77.102935000000002</v>
      </c>
      <c r="GB7" s="39">
        <v>39.663769000000002</v>
      </c>
      <c r="GC7" s="39">
        <v>46.000188999999999</v>
      </c>
      <c r="GD7" s="39">
        <f>SUM(FR7:GC7)</f>
        <v>613.56635399999993</v>
      </c>
      <c r="GE7" s="39">
        <f>GE8+GE9+GE10+GE11+GE15</f>
        <v>603.59470999999996</v>
      </c>
      <c r="GF7" s="39">
        <v>54.654083</v>
      </c>
      <c r="GG7" s="39">
        <v>51.597071999999997</v>
      </c>
      <c r="GH7" s="39">
        <v>45.255625000000002</v>
      </c>
      <c r="GI7" s="39">
        <v>90.957577999999998</v>
      </c>
      <c r="GJ7" s="39">
        <v>36.929707000000001</v>
      </c>
      <c r="GK7" s="39">
        <v>43.929881000000002</v>
      </c>
      <c r="GL7" s="39">
        <v>80.444209000000001</v>
      </c>
      <c r="GM7" s="39">
        <v>41.952719000000002</v>
      </c>
      <c r="GN7" s="39">
        <v>35.351958000000003</v>
      </c>
      <c r="GO7" s="39">
        <v>60.427034999999997</v>
      </c>
      <c r="GP7" s="39">
        <v>61.527267000000002</v>
      </c>
      <c r="GQ7" s="39">
        <v>74.435292000000004</v>
      </c>
      <c r="GR7" s="39">
        <f>SUM(GF7:GQ7)</f>
        <v>677.46242600000016</v>
      </c>
      <c r="GS7" s="39">
        <f>GS8+GS9+GS10+GS11+GS15</f>
        <v>662.18639399999995</v>
      </c>
      <c r="GT7" s="39">
        <v>43.670037999999998</v>
      </c>
      <c r="GU7" s="39">
        <v>55.903902000000002</v>
      </c>
      <c r="GV7" s="39">
        <v>46.895594000000003</v>
      </c>
      <c r="GW7" s="39">
        <v>70.871750000000006</v>
      </c>
      <c r="GX7" s="39">
        <v>69.729723000000007</v>
      </c>
      <c r="GY7" s="39">
        <v>95.569502</v>
      </c>
      <c r="GZ7" s="39">
        <v>79.425875000000005</v>
      </c>
      <c r="HA7" s="39">
        <v>56.172002999999997</v>
      </c>
      <c r="HB7" s="39">
        <v>54.288274000000001</v>
      </c>
      <c r="HC7" s="39">
        <v>76.191197000000003</v>
      </c>
      <c r="HD7" s="39">
        <v>33.926285999999998</v>
      </c>
      <c r="HE7" s="39">
        <v>52.238152999999997</v>
      </c>
      <c r="HF7" s="39">
        <f>SUM(GT7:HE7)</f>
        <v>734.88229699999999</v>
      </c>
      <c r="HG7" s="39">
        <v>65.775525999999999</v>
      </c>
      <c r="HH7" s="39">
        <v>50.622709999999998</v>
      </c>
      <c r="HI7" s="39">
        <v>57.846145</v>
      </c>
      <c r="HJ7" s="39">
        <v>88.069351999999995</v>
      </c>
      <c r="HK7" s="39"/>
      <c r="HL7" s="39"/>
      <c r="HM7" s="39"/>
      <c r="HN7" s="39"/>
      <c r="HO7" s="39"/>
      <c r="HP7" s="39"/>
      <c r="HQ7" s="39"/>
      <c r="HR7" s="39"/>
      <c r="HS7" s="274">
        <f>ROUND(SUM(GT7+GU7+GV7+GW7),6)</f>
        <v>217.341284</v>
      </c>
      <c r="HT7" s="274">
        <f>ROUND(SUM(HG7+HH7+HI7+HJ7),6)</f>
        <v>262.31373300000001</v>
      </c>
      <c r="HU7" s="279">
        <f t="shared" ref="HU7:HU8" si="4">HT7-HS7</f>
        <v>44.972449000000012</v>
      </c>
      <c r="HV7" s="279">
        <f t="shared" ref="HV7:HV8" si="5">HT7/HS7*100-100</f>
        <v>20.692087656940501</v>
      </c>
    </row>
    <row r="8" spans="1:230" s="12" customFormat="1" ht="21" hidden="1" customHeight="1">
      <c r="A8" s="46" t="s">
        <v>90</v>
      </c>
      <c r="B8" s="13" t="s">
        <v>248</v>
      </c>
      <c r="C8" s="46" t="s">
        <v>29</v>
      </c>
      <c r="D8" s="42">
        <v>1.1041485250510811E-3</v>
      </c>
      <c r="E8" s="42">
        <v>5.6914872425313467E-5</v>
      </c>
      <c r="F8" s="42">
        <v>3.0449456747542701E-3</v>
      </c>
      <c r="G8" s="42">
        <v>-3.0449456747542701E-3</v>
      </c>
      <c r="H8" s="42">
        <v>1.0998799096191827E-3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1.0998799096191827E-3</v>
      </c>
      <c r="S8" s="42">
        <v>2.4572996169629087E-3</v>
      </c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42">
        <v>0</v>
      </c>
      <c r="AG8" s="42">
        <v>5.4495990347237636E-4</v>
      </c>
      <c r="AH8" s="100"/>
      <c r="AI8" s="100"/>
      <c r="AJ8" s="100"/>
      <c r="AK8" s="42">
        <v>4.789386514590128E-3</v>
      </c>
      <c r="AL8" s="100"/>
      <c r="AM8" s="100"/>
      <c r="AN8" s="100"/>
      <c r="AO8" s="100"/>
      <c r="AP8" s="42"/>
      <c r="AQ8" s="42"/>
      <c r="AR8" s="42"/>
      <c r="AS8" s="42">
        <v>1.1382974485062693E-4</v>
      </c>
      <c r="AT8" s="42">
        <v>4.9032162594407546E-3</v>
      </c>
      <c r="AU8" s="42">
        <v>4.789386514590128E-3</v>
      </c>
      <c r="AV8" s="42"/>
      <c r="AW8" s="42"/>
      <c r="AX8" s="42">
        <v>5.7169999999999999E-3</v>
      </c>
      <c r="AY8" s="42"/>
      <c r="AZ8" s="42"/>
      <c r="BA8" s="42"/>
      <c r="BB8" s="42"/>
      <c r="BC8" s="42"/>
      <c r="BD8" s="42">
        <v>0.36699999999999999</v>
      </c>
      <c r="BE8" s="42"/>
      <c r="BF8" s="42"/>
      <c r="BG8" s="42">
        <v>7.2000000000000002E-5</v>
      </c>
      <c r="BH8" s="45">
        <f t="shared" ref="BH8:BH47" si="6">SUM(AV8:BG8)</f>
        <v>0.37278899999999998</v>
      </c>
      <c r="BI8" s="45">
        <v>0.472717</v>
      </c>
      <c r="BJ8" s="42"/>
      <c r="BK8" s="42">
        <v>0</v>
      </c>
      <c r="BL8" s="42">
        <v>1.0716E-2</v>
      </c>
      <c r="BM8" s="42">
        <v>0</v>
      </c>
      <c r="BN8" s="42">
        <v>0</v>
      </c>
      <c r="BO8" s="42">
        <v>0</v>
      </c>
      <c r="BP8" s="42">
        <v>0</v>
      </c>
      <c r="BQ8" s="42">
        <v>1.9999999999999999E-6</v>
      </c>
      <c r="BR8" s="42">
        <v>1.5997999999999998E-2</v>
      </c>
      <c r="BS8" s="42">
        <v>0</v>
      </c>
      <c r="BT8" s="42">
        <v>0</v>
      </c>
      <c r="BU8" s="42">
        <v>0</v>
      </c>
      <c r="BV8" s="45">
        <f t="shared" ref="BV8:BV47" si="7">SUM(BJ8:BU8)</f>
        <v>2.6715999999999997E-2</v>
      </c>
      <c r="BW8" s="45">
        <v>2.6715999999999997E-2</v>
      </c>
      <c r="BX8" s="45">
        <v>0</v>
      </c>
      <c r="BY8" s="45">
        <v>0</v>
      </c>
      <c r="BZ8" s="45">
        <v>0.25812299999999999</v>
      </c>
      <c r="CA8" s="45">
        <v>1.2094000000000001E-2</v>
      </c>
      <c r="CB8" s="45">
        <v>0</v>
      </c>
      <c r="CC8" s="45">
        <v>0</v>
      </c>
      <c r="CD8" s="45">
        <v>0</v>
      </c>
      <c r="CE8" s="45">
        <v>0</v>
      </c>
      <c r="CF8" s="45">
        <v>0</v>
      </c>
      <c r="CG8" s="45">
        <v>0</v>
      </c>
      <c r="CH8" s="45">
        <v>0</v>
      </c>
      <c r="CI8" s="45">
        <v>0</v>
      </c>
      <c r="CJ8" s="45">
        <f t="shared" ref="CJ8:CJ47" si="8">SUM(BX8:CI8)</f>
        <v>0.27021699999999998</v>
      </c>
      <c r="CK8" s="45">
        <v>0.27021699999999998</v>
      </c>
      <c r="CL8" s="45">
        <v>0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f t="shared" ref="CX8:CX46" si="9">CL8+CM8+CN8+CO8+CP8+CQ8+CR8+CS8+CT8+CU8+CV8+CW8</f>
        <v>0</v>
      </c>
      <c r="CY8" s="45"/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f>SUM(CZ8:DK8)</f>
        <v>0</v>
      </c>
      <c r="DM8" s="45"/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0</v>
      </c>
      <c r="DU8" s="45">
        <v>0</v>
      </c>
      <c r="DV8" s="45">
        <v>0</v>
      </c>
      <c r="DW8" s="45">
        <v>0</v>
      </c>
      <c r="DX8" s="45">
        <v>0</v>
      </c>
      <c r="DY8" s="45">
        <v>0</v>
      </c>
      <c r="DZ8" s="45">
        <f>SUM(DN8:DY8)</f>
        <v>0</v>
      </c>
      <c r="EA8" s="45"/>
      <c r="EB8" s="45">
        <v>0</v>
      </c>
      <c r="EC8" s="45">
        <v>0</v>
      </c>
      <c r="ED8" s="45">
        <v>0</v>
      </c>
      <c r="EE8" s="45"/>
      <c r="EF8" s="179"/>
      <c r="EG8" s="184"/>
      <c r="EH8" s="179"/>
      <c r="EI8" s="183"/>
      <c r="EJ8" s="45">
        <v>0</v>
      </c>
      <c r="EK8" s="45">
        <v>0</v>
      </c>
      <c r="EL8" s="45">
        <v>0</v>
      </c>
      <c r="EM8" s="45">
        <v>0</v>
      </c>
      <c r="EN8" s="45">
        <f>SUM(EB8:EM8)</f>
        <v>0</v>
      </c>
      <c r="EO8" s="45"/>
      <c r="EP8" s="45">
        <v>0</v>
      </c>
      <c r="EQ8" s="45">
        <v>0</v>
      </c>
      <c r="ER8" s="45">
        <v>0</v>
      </c>
      <c r="ES8" s="45">
        <v>0</v>
      </c>
      <c r="ET8" s="45">
        <v>0</v>
      </c>
      <c r="EU8" s="45">
        <v>0</v>
      </c>
      <c r="EV8" s="45"/>
      <c r="EW8" s="45"/>
      <c r="EX8" s="45">
        <v>0</v>
      </c>
      <c r="EY8" s="45">
        <v>0</v>
      </c>
      <c r="EZ8" s="45">
        <v>0</v>
      </c>
      <c r="FA8" s="45"/>
      <c r="FB8" s="45">
        <f>SUM(EP8:FA8)</f>
        <v>0</v>
      </c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>
        <f>SUM(FD8:FO8)</f>
        <v>0</v>
      </c>
      <c r="FQ8" s="45"/>
      <c r="FR8" s="45"/>
      <c r="FS8" s="45"/>
      <c r="FT8" s="45">
        <v>0.2</v>
      </c>
      <c r="FU8" s="45"/>
      <c r="FV8" s="45">
        <v>3.4999999999999997E-5</v>
      </c>
      <c r="FW8" s="45">
        <v>-3.4999999999999997E-5</v>
      </c>
      <c r="FX8" s="45"/>
      <c r="FY8" s="45"/>
      <c r="FZ8" s="45"/>
      <c r="GA8" s="45">
        <v>-0.2</v>
      </c>
      <c r="GB8" s="45">
        <v>1.3730000000000001E-3</v>
      </c>
      <c r="GC8" s="45">
        <v>-1.3730000000000001E-3</v>
      </c>
      <c r="GD8" s="45">
        <f>SUM(FR8:GC8)</f>
        <v>0</v>
      </c>
      <c r="GE8" s="45"/>
      <c r="GF8" s="45"/>
      <c r="GG8" s="45"/>
      <c r="GH8" s="45">
        <v>1.1E-4</v>
      </c>
      <c r="GI8" s="45">
        <v>2.3900000000000001E-4</v>
      </c>
      <c r="GJ8" s="45">
        <v>3.1E-4</v>
      </c>
      <c r="GK8" s="45">
        <v>6.0999999999999999E-5</v>
      </c>
      <c r="GL8" s="45">
        <v>2.8E-5</v>
      </c>
      <c r="GM8" s="45">
        <v>-7.4799999999999997E-4</v>
      </c>
      <c r="GN8" s="45"/>
      <c r="GO8" s="45"/>
      <c r="GP8" s="45"/>
      <c r="GQ8" s="45"/>
      <c r="GR8" s="45">
        <f>SUM(GF8:GQ8)</f>
        <v>0</v>
      </c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>
        <v>6.2E-4</v>
      </c>
      <c r="HD8" s="45"/>
      <c r="HE8" s="45">
        <v>-6.2E-4</v>
      </c>
      <c r="HF8" s="45">
        <f>SUM(GT8:HE8)</f>
        <v>0</v>
      </c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283">
        <f>ROUND(SUM(GT8+GU8+GV8+GW8),6)</f>
        <v>0</v>
      </c>
      <c r="HT8" s="283">
        <f>ROUND(SUM(HG8+HH8+HI8+HJ8),6)</f>
        <v>0</v>
      </c>
      <c r="HU8" s="280">
        <f t="shared" si="4"/>
        <v>0</v>
      </c>
      <c r="HV8" s="280" t="e">
        <f t="shared" si="5"/>
        <v>#DIV/0!</v>
      </c>
    </row>
    <row r="9" spans="1:230" s="12" customFormat="1" ht="20.5">
      <c r="A9" s="46" t="s">
        <v>93</v>
      </c>
      <c r="B9" s="13" t="s">
        <v>94</v>
      </c>
      <c r="C9" s="46" t="s">
        <v>95</v>
      </c>
      <c r="D9" s="42">
        <v>103.94739500628909</v>
      </c>
      <c r="E9" s="42">
        <v>106.9190272110005</v>
      </c>
      <c r="F9" s="42">
        <v>5.9357729893398448</v>
      </c>
      <c r="G9" s="42">
        <v>11.710236424380055</v>
      </c>
      <c r="H9" s="42">
        <v>10.783329349292263</v>
      </c>
      <c r="I9" s="42">
        <v>7.0742781771304664</v>
      </c>
      <c r="J9" s="42">
        <v>7.3043195542427197</v>
      </c>
      <c r="K9" s="42">
        <v>6.3779360959812417</v>
      </c>
      <c r="L9" s="42">
        <v>4.9910387533366345</v>
      </c>
      <c r="M9" s="42">
        <v>11.433833615061952</v>
      </c>
      <c r="N9" s="42">
        <v>11.32633138115321</v>
      </c>
      <c r="O9" s="42">
        <v>8.1871204489445137</v>
      </c>
      <c r="P9" s="42">
        <v>9.259846272929579</v>
      </c>
      <c r="Q9" s="42">
        <v>6.9359351967262564</v>
      </c>
      <c r="R9" s="42">
        <v>101.31997825851873</v>
      </c>
      <c r="S9" s="42">
        <v>102.06967660969491</v>
      </c>
      <c r="T9" s="42">
        <v>7.0450310470629081</v>
      </c>
      <c r="U9" s="42">
        <v>9.8369972282457123</v>
      </c>
      <c r="V9" s="42">
        <v>7.6791623269076439</v>
      </c>
      <c r="W9" s="42">
        <v>7.0020332838173944</v>
      </c>
      <c r="X9" s="42">
        <v>6.5034703843461337</v>
      </c>
      <c r="Y9" s="42">
        <v>5.0196968144745906</v>
      </c>
      <c r="Z9" s="42">
        <v>5.9870547122668629</v>
      </c>
      <c r="AA9" s="42">
        <v>10.322045691259584</v>
      </c>
      <c r="AB9" s="42">
        <v>9.6181239719751161</v>
      </c>
      <c r="AC9" s="42">
        <v>7.5931184227750554</v>
      </c>
      <c r="AD9" s="42">
        <v>5.7150073135611077</v>
      </c>
      <c r="AE9" s="42">
        <v>6.5668379804326671</v>
      </c>
      <c r="AF9" s="42">
        <v>88.888579177124754</v>
      </c>
      <c r="AG9" s="42">
        <v>88.939086857786805</v>
      </c>
      <c r="AH9" s="42">
        <v>8.6671831691339278</v>
      </c>
      <c r="AI9" s="42">
        <v>10.50038417538887</v>
      </c>
      <c r="AJ9" s="42">
        <v>8.0442128957717944</v>
      </c>
      <c r="AK9" s="42">
        <v>6.2934730024302654</v>
      </c>
      <c r="AL9" s="42">
        <v>6.7108696023357872</v>
      </c>
      <c r="AM9" s="42">
        <v>5.2541490941998052</v>
      </c>
      <c r="AN9" s="42">
        <v>5.7841105059163009</v>
      </c>
      <c r="AO9" s="42">
        <v>11.700936534225757</v>
      </c>
      <c r="AP9" s="42">
        <v>9.8234614487111624</v>
      </c>
      <c r="AQ9" s="42">
        <v>8.4871116271392868</v>
      </c>
      <c r="AR9" s="42">
        <v>6.5876318290732545</v>
      </c>
      <c r="AS9" s="42">
        <v>7.2662577333082909</v>
      </c>
      <c r="AT9" s="42">
        <v>95.119781617634516</v>
      </c>
      <c r="AU9" s="42">
        <v>94.571682858947867</v>
      </c>
      <c r="AV9" s="42">
        <v>10.179197</v>
      </c>
      <c r="AW9" s="42">
        <v>8.9507720000000006</v>
      </c>
      <c r="AX9" s="42">
        <v>8.7526670000000006</v>
      </c>
      <c r="AY9" s="42">
        <v>8.9155449999999998</v>
      </c>
      <c r="AZ9" s="42">
        <v>4.7401669999999996</v>
      </c>
      <c r="BA9" s="42">
        <v>6.6746809999999996</v>
      </c>
      <c r="BB9" s="42">
        <v>6.8000170000000004</v>
      </c>
      <c r="BC9" s="42">
        <v>11.410335</v>
      </c>
      <c r="BD9" s="42">
        <v>11.452266</v>
      </c>
      <c r="BE9" s="42">
        <v>8.3943720000000006</v>
      </c>
      <c r="BF9" s="42">
        <v>6.7765529999999998</v>
      </c>
      <c r="BG9" s="42">
        <v>7.5968710000000002</v>
      </c>
      <c r="BH9" s="45">
        <f t="shared" si="6"/>
        <v>100.64344299999999</v>
      </c>
      <c r="BI9" s="45">
        <v>100.041421</v>
      </c>
      <c r="BJ9" s="42">
        <v>10.392882999999999</v>
      </c>
      <c r="BK9" s="42">
        <v>9.6992899999999995</v>
      </c>
      <c r="BL9" s="42">
        <v>8.313428</v>
      </c>
      <c r="BM9" s="42">
        <v>7.4810619999999997</v>
      </c>
      <c r="BN9" s="42">
        <v>7.3474630000000003</v>
      </c>
      <c r="BO9" s="42">
        <v>5.4123279999999996</v>
      </c>
      <c r="BP9" s="42">
        <v>8.5446960000000001</v>
      </c>
      <c r="BQ9" s="42">
        <v>11.564486</v>
      </c>
      <c r="BR9" s="42">
        <v>10.457836</v>
      </c>
      <c r="BS9" s="42">
        <v>8.2799510000000005</v>
      </c>
      <c r="BT9" s="42">
        <v>6.863327</v>
      </c>
      <c r="BU9" s="42">
        <v>8.4692790000000002</v>
      </c>
      <c r="BV9" s="45">
        <f t="shared" si="7"/>
        <v>102.82602899999999</v>
      </c>
      <c r="BW9" s="45">
        <v>102.58685800000001</v>
      </c>
      <c r="BX9" s="45">
        <v>11.600228</v>
      </c>
      <c r="BY9" s="45">
        <v>10.972526999999999</v>
      </c>
      <c r="BZ9" s="45">
        <v>9.5129999999999999</v>
      </c>
      <c r="CA9" s="45">
        <v>8.261787</v>
      </c>
      <c r="CB9" s="45">
        <v>7.2897069999999999</v>
      </c>
      <c r="CC9" s="45">
        <v>6.1038370000000004</v>
      </c>
      <c r="CD9" s="45">
        <v>7.1727379999999998</v>
      </c>
      <c r="CE9" s="45">
        <v>13.535289000000001</v>
      </c>
      <c r="CF9" s="45">
        <v>10.949914</v>
      </c>
      <c r="CG9" s="45">
        <v>8.4448679999999996</v>
      </c>
      <c r="CH9" s="45">
        <v>8.0754249999999992</v>
      </c>
      <c r="CI9" s="45">
        <v>8.4733450000000001</v>
      </c>
      <c r="CJ9" s="45">
        <f t="shared" si="8"/>
        <v>110.39266499999998</v>
      </c>
      <c r="CK9" s="45">
        <v>110.200232</v>
      </c>
      <c r="CL9" s="45">
        <v>13.052626999999999</v>
      </c>
      <c r="CM9" s="45">
        <v>15.266353000000001</v>
      </c>
      <c r="CN9" s="45">
        <v>7.8542690000000004</v>
      </c>
      <c r="CO9" s="45">
        <v>7.7972960000000002</v>
      </c>
      <c r="CP9" s="45">
        <v>8.3491499999999998</v>
      </c>
      <c r="CQ9" s="45">
        <v>7.4283020000000004</v>
      </c>
      <c r="CR9" s="45">
        <v>8.3007720000000003</v>
      </c>
      <c r="CS9" s="45">
        <v>15.889293</v>
      </c>
      <c r="CT9" s="45">
        <v>7.2863129999999998</v>
      </c>
      <c r="CU9" s="45">
        <v>10.378294</v>
      </c>
      <c r="CV9" s="45">
        <v>9.3838849999999994</v>
      </c>
      <c r="CW9" s="45">
        <v>10.320885000000001</v>
      </c>
      <c r="CX9" s="45">
        <f t="shared" si="9"/>
        <v>121.30743900000002</v>
      </c>
      <c r="CY9" s="45">
        <v>120.77015900000001</v>
      </c>
      <c r="CZ9" s="45">
        <v>17.047253999999999</v>
      </c>
      <c r="DA9" s="45">
        <v>9.9972720000000006</v>
      </c>
      <c r="DB9" s="45">
        <v>9.3871760000000002</v>
      </c>
      <c r="DC9" s="45">
        <v>8.4807989999999993</v>
      </c>
      <c r="DD9" s="45">
        <v>8.0685669999999998</v>
      </c>
      <c r="DE9" s="45">
        <v>7.5521969999999996</v>
      </c>
      <c r="DF9" s="45">
        <v>9.9042709999999996</v>
      </c>
      <c r="DG9" s="45">
        <v>18.183524999999999</v>
      </c>
      <c r="DH9" s="45">
        <v>11.582157</v>
      </c>
      <c r="DI9" s="45">
        <v>9.280341</v>
      </c>
      <c r="DJ9" s="45">
        <v>8.9822019999999991</v>
      </c>
      <c r="DK9" s="45">
        <v>9.2118339999999996</v>
      </c>
      <c r="DL9" s="45">
        <f t="shared" ref="DL9:DL46" si="10">SUM(CZ9:DK9)</f>
        <v>127.67759499999998</v>
      </c>
      <c r="DM9" s="45">
        <v>127.08681799999999</v>
      </c>
      <c r="DN9" s="45">
        <v>18.835758999999999</v>
      </c>
      <c r="DO9" s="45">
        <v>11.727874</v>
      </c>
      <c r="DP9" s="45">
        <v>7.6163619999999996</v>
      </c>
      <c r="DQ9" s="45">
        <v>8.8161679999999993</v>
      </c>
      <c r="DR9" s="45">
        <v>9.2578110000000002</v>
      </c>
      <c r="DS9" s="45">
        <v>7.9776860000000003</v>
      </c>
      <c r="DT9" s="45">
        <v>11.137072</v>
      </c>
      <c r="DU9" s="45">
        <v>19.121376000000001</v>
      </c>
      <c r="DV9" s="45">
        <v>10.787124</v>
      </c>
      <c r="DW9" s="45">
        <v>10.466298999999999</v>
      </c>
      <c r="DX9" s="45">
        <v>8.9773790000000009</v>
      </c>
      <c r="DY9" s="45">
        <v>11.632545</v>
      </c>
      <c r="DZ9" s="45">
        <f>SUM(DN9:DY9)</f>
        <v>136.35345500000003</v>
      </c>
      <c r="EA9" s="45">
        <v>135.120217</v>
      </c>
      <c r="EB9" s="45">
        <v>19.804072000000001</v>
      </c>
      <c r="EC9" s="45">
        <v>13.786676</v>
      </c>
      <c r="ED9" s="45">
        <v>10.288327000000001</v>
      </c>
      <c r="EE9" s="45">
        <v>8.0264489999999995</v>
      </c>
      <c r="EF9" s="42">
        <v>5.4912380000000001</v>
      </c>
      <c r="EG9" s="45">
        <v>8.8129910000000002</v>
      </c>
      <c r="EH9" s="45">
        <v>7.0261380000000004</v>
      </c>
      <c r="EI9" s="42">
        <v>19.760686</v>
      </c>
      <c r="EJ9" s="45">
        <v>13.226875</v>
      </c>
      <c r="EK9" s="45">
        <v>11.448167</v>
      </c>
      <c r="EL9" s="45">
        <v>8.6823230000000002</v>
      </c>
      <c r="EM9" s="45">
        <v>11.12679</v>
      </c>
      <c r="EN9" s="45">
        <f>SUM(EB9:EM9)</f>
        <v>137.48073199999999</v>
      </c>
      <c r="EO9" s="45">
        <v>136.576561</v>
      </c>
      <c r="EP9" s="45">
        <v>17.779471000000001</v>
      </c>
      <c r="EQ9" s="45">
        <v>13.447046</v>
      </c>
      <c r="ER9" s="45">
        <v>12.226193</v>
      </c>
      <c r="ES9" s="45">
        <v>9.6534340000000007</v>
      </c>
      <c r="ET9" s="45">
        <v>9.7264090000000003</v>
      </c>
      <c r="EU9" s="45">
        <v>4.4632110000000003</v>
      </c>
      <c r="EV9" s="45">
        <v>12.017201</v>
      </c>
      <c r="EW9" s="45">
        <v>22.213989999999999</v>
      </c>
      <c r="EX9" s="45">
        <v>13.613662</v>
      </c>
      <c r="EY9" s="45">
        <v>10.828891</v>
      </c>
      <c r="EZ9" s="45">
        <v>8.9013709999999993</v>
      </c>
      <c r="FA9" s="45">
        <v>19.301561</v>
      </c>
      <c r="FB9" s="45">
        <f>SUM(EP9:FA9)</f>
        <v>154.17243999999999</v>
      </c>
      <c r="FC9" s="45">
        <v>152.772367</v>
      </c>
      <c r="FD9" s="45">
        <v>20.412772</v>
      </c>
      <c r="FE9" s="45">
        <v>13.632300000000001</v>
      </c>
      <c r="FF9" s="45">
        <v>15.246492</v>
      </c>
      <c r="FG9" s="45">
        <v>15.527407</v>
      </c>
      <c r="FH9" s="45">
        <v>12.067771</v>
      </c>
      <c r="FI9" s="45">
        <v>2.622169</v>
      </c>
      <c r="FJ9" s="45">
        <v>10.466863</v>
      </c>
      <c r="FK9" s="45">
        <v>22.812733999999999</v>
      </c>
      <c r="FL9" s="45">
        <v>19.916948000000001</v>
      </c>
      <c r="FM9" s="45">
        <v>12.385766</v>
      </c>
      <c r="FN9" s="45">
        <v>9.4056189999999997</v>
      </c>
      <c r="FO9" s="45">
        <v>13.167052</v>
      </c>
      <c r="FP9" s="45">
        <f>SUM(FD9:FO9)</f>
        <v>167.663893</v>
      </c>
      <c r="FQ9" s="45">
        <v>166.491826</v>
      </c>
      <c r="FR9" s="45">
        <v>23.297827000000002</v>
      </c>
      <c r="FS9" s="45">
        <v>14.15788</v>
      </c>
      <c r="FT9" s="45">
        <v>12.705029</v>
      </c>
      <c r="FU9" s="45">
        <v>12.093641</v>
      </c>
      <c r="FV9" s="45">
        <v>10.223274</v>
      </c>
      <c r="FW9" s="45">
        <v>8.6499389999999998</v>
      </c>
      <c r="FX9" s="45">
        <v>13.588487000000001</v>
      </c>
      <c r="FY9" s="45">
        <v>30.275069999999999</v>
      </c>
      <c r="FZ9" s="45">
        <v>17.113799</v>
      </c>
      <c r="GA9" s="45">
        <v>13.115285999999999</v>
      </c>
      <c r="GB9" s="45">
        <v>12.547497</v>
      </c>
      <c r="GC9" s="45">
        <v>12.676176999999999</v>
      </c>
      <c r="GD9" s="45">
        <f t="shared" ref="GD9:GD47" si="11">SUM(FR9:GC9)</f>
        <v>180.44390599999997</v>
      </c>
      <c r="GE9" s="45">
        <v>178.86307500000001</v>
      </c>
      <c r="GF9" s="45">
        <v>25.934683</v>
      </c>
      <c r="GG9" s="45">
        <v>11.936458999999999</v>
      </c>
      <c r="GH9" s="45">
        <v>15.152471</v>
      </c>
      <c r="GI9" s="45">
        <v>15.872919</v>
      </c>
      <c r="GJ9" s="45">
        <v>12.423335</v>
      </c>
      <c r="GK9" s="45">
        <v>5.2519109999999998</v>
      </c>
      <c r="GL9" s="45">
        <v>12.264806</v>
      </c>
      <c r="GM9" s="45">
        <v>27.366095999999999</v>
      </c>
      <c r="GN9" s="45">
        <v>16.080214999999999</v>
      </c>
      <c r="GO9" s="45">
        <v>12.010047</v>
      </c>
      <c r="GP9" s="45">
        <v>12.441518</v>
      </c>
      <c r="GQ9" s="45">
        <v>14.435442999999999</v>
      </c>
      <c r="GR9" s="45">
        <f t="shared" ref="GR9:GR47" si="12">SUM(GF9:GQ9)</f>
        <v>181.16990299999998</v>
      </c>
      <c r="GS9" s="45">
        <v>180.09290999999999</v>
      </c>
      <c r="GT9" s="45">
        <v>29.022022</v>
      </c>
      <c r="GU9" s="45">
        <v>16.173978000000002</v>
      </c>
      <c r="GV9" s="45">
        <v>17.499521000000001</v>
      </c>
      <c r="GW9" s="45">
        <v>13.514168</v>
      </c>
      <c r="GX9" s="45">
        <v>10.122475</v>
      </c>
      <c r="GY9" s="45">
        <v>9.9040389999999991</v>
      </c>
      <c r="GZ9" s="45">
        <v>13.555073</v>
      </c>
      <c r="HA9" s="45">
        <v>30.919177000000001</v>
      </c>
      <c r="HB9" s="45">
        <v>19.620787</v>
      </c>
      <c r="HC9" s="45">
        <v>14.044460000000001</v>
      </c>
      <c r="HD9" s="45">
        <v>12.723986</v>
      </c>
      <c r="HE9" s="45">
        <v>15.599023000000001</v>
      </c>
      <c r="HF9" s="45">
        <f t="shared" ref="HF9:HF47" si="13">SUM(GT9:HE9)</f>
        <v>202.69870899999998</v>
      </c>
      <c r="HG9" s="45">
        <v>26.984517999999998</v>
      </c>
      <c r="HH9" s="45">
        <v>20.735673999999999</v>
      </c>
      <c r="HI9" s="45">
        <v>20.740151000000001</v>
      </c>
      <c r="HJ9" s="45">
        <v>13.632769</v>
      </c>
      <c r="HK9" s="45"/>
      <c r="HL9" s="45"/>
      <c r="HM9" s="45"/>
      <c r="HN9" s="45"/>
      <c r="HO9" s="45"/>
      <c r="HP9" s="45"/>
      <c r="HQ9" s="45"/>
      <c r="HR9" s="45"/>
      <c r="HS9" s="283">
        <f t="shared" ref="HS9:HS47" si="14">ROUND(SUM(GT9+GU9+GV9+GW9),6)</f>
        <v>76.209688999999997</v>
      </c>
      <c r="HT9" s="283">
        <f t="shared" ref="HT9:HT47" si="15">ROUND(SUM(HG9+HH9+HI9+HJ9),6)</f>
        <v>82.093112000000005</v>
      </c>
      <c r="HU9" s="280">
        <f t="shared" ref="HU9:HU47" si="16">HT9-HS9</f>
        <v>5.8834230000000076</v>
      </c>
      <c r="HV9" s="280">
        <f t="shared" ref="HV9:HV45" si="17">HT9/HS9*100-100</f>
        <v>7.7200459379909177</v>
      </c>
    </row>
    <row r="10" spans="1:230" s="12" customFormat="1" ht="20.5">
      <c r="A10" s="46" t="s">
        <v>96</v>
      </c>
      <c r="B10" s="13" t="s">
        <v>97</v>
      </c>
      <c r="C10" s="46" t="s">
        <v>98</v>
      </c>
      <c r="D10" s="42">
        <v>4.5951118661817523</v>
      </c>
      <c r="E10" s="42">
        <v>1.4989406861811851</v>
      </c>
      <c r="F10" s="42">
        <v>7.4411927080665449E-2</v>
      </c>
      <c r="G10" s="42">
        <v>3.1469655835766448E-2</v>
      </c>
      <c r="H10" s="42">
        <v>2.8585494675613683E-3</v>
      </c>
      <c r="I10" s="42">
        <v>-2.490025668607464E-4</v>
      </c>
      <c r="J10" s="42">
        <v>0.11192451949618955</v>
      </c>
      <c r="K10" s="42">
        <v>1.3252628044234238E-2</v>
      </c>
      <c r="L10" s="42">
        <v>1.523895709187768E-2</v>
      </c>
      <c r="M10" s="42">
        <v>-2.6572131063568222E-2</v>
      </c>
      <c r="N10" s="42">
        <v>6.2640508591299993E-2</v>
      </c>
      <c r="O10" s="42">
        <v>3.0183379718954361E-2</v>
      </c>
      <c r="P10" s="42">
        <v>-9.5816187728015208E-3</v>
      </c>
      <c r="Q10" s="42">
        <v>1.8732107386981292E-2</v>
      </c>
      <c r="R10" s="42">
        <v>0.32430948031029988</v>
      </c>
      <c r="S10" s="42">
        <v>1.8835314256182998</v>
      </c>
      <c r="T10" s="42">
        <v>9.7039857485159437E-3</v>
      </c>
      <c r="U10" s="42">
        <v>1.6789887365467472E-3</v>
      </c>
      <c r="V10" s="42">
        <v>3.9830450595044996E-2</v>
      </c>
      <c r="W10" s="42">
        <v>3.0503525876346749E-2</v>
      </c>
      <c r="X10" s="42">
        <v>1.105571396861714E-2</v>
      </c>
      <c r="Y10" s="42">
        <v>6.3161279673991612E-3</v>
      </c>
      <c r="Z10" s="42">
        <v>3.4063551146550105E-3</v>
      </c>
      <c r="AA10" s="42">
        <v>5.1650246725971965E-3</v>
      </c>
      <c r="AB10" s="42">
        <v>1.027313447276908E-3</v>
      </c>
      <c r="AC10" s="42">
        <v>1.5820911662426509E-2</v>
      </c>
      <c r="AD10" s="42">
        <v>8.2313134245109599E-3</v>
      </c>
      <c r="AE10" s="42">
        <v>3.8993801970392886E-2</v>
      </c>
      <c r="AF10" s="42">
        <v>0.17173351318433022</v>
      </c>
      <c r="AG10" s="42">
        <v>1.3273470128046596</v>
      </c>
      <c r="AH10" s="42">
        <v>2.3409087028531429E-2</v>
      </c>
      <c r="AI10" s="42">
        <v>5.5251535278683671E-2</v>
      </c>
      <c r="AJ10" s="42">
        <v>5.8110084746245041E-3</v>
      </c>
      <c r="AK10" s="42">
        <v>9.3397305649939397E-3</v>
      </c>
      <c r="AL10" s="42">
        <v>3.0916158701430274E-2</v>
      </c>
      <c r="AM10" s="42">
        <v>8.1644384494112161E-3</v>
      </c>
      <c r="AN10" s="42">
        <v>2.5329963972885752E-2</v>
      </c>
      <c r="AO10" s="42">
        <v>1.2046032748817593E-2</v>
      </c>
      <c r="AP10" s="42">
        <v>3.0913312957809004E-2</v>
      </c>
      <c r="AQ10" s="42">
        <v>8.4945447094780333E-3</v>
      </c>
      <c r="AR10" s="42">
        <v>6.7607754082219224E-2</v>
      </c>
      <c r="AS10" s="42">
        <v>5.1347175030307175E-2</v>
      </c>
      <c r="AT10" s="42">
        <v>0.32863074199919184</v>
      </c>
      <c r="AU10" s="42">
        <v>1.5347364191117872</v>
      </c>
      <c r="AV10" s="42">
        <v>0.17328099999999999</v>
      </c>
      <c r="AW10" s="42">
        <v>0.18821599999999999</v>
      </c>
      <c r="AX10" s="42">
        <v>5.143E-3</v>
      </c>
      <c r="AY10" s="42">
        <v>7.6909000000000005E-2</v>
      </c>
      <c r="AZ10" s="42">
        <v>9.8630000000000002E-3</v>
      </c>
      <c r="BA10" s="42">
        <v>1.8214999999999999E-2</v>
      </c>
      <c r="BB10" s="42">
        <v>1.8388999999999999E-2</v>
      </c>
      <c r="BC10" s="42">
        <v>1.096E-3</v>
      </c>
      <c r="BD10" s="42">
        <v>8.9479999999999994E-3</v>
      </c>
      <c r="BE10" s="42">
        <v>4.4825999999999998E-2</v>
      </c>
      <c r="BF10" s="42">
        <v>2.188E-2</v>
      </c>
      <c r="BG10" s="42">
        <v>2.0441999999999998E-2</v>
      </c>
      <c r="BH10" s="45">
        <f t="shared" si="6"/>
        <v>0.58720799999999995</v>
      </c>
      <c r="BI10" s="45">
        <v>0.58720700000000003</v>
      </c>
      <c r="BJ10" s="42">
        <v>1.5018E-2</v>
      </c>
      <c r="BK10" s="42">
        <v>3.3219999999999999E-3</v>
      </c>
      <c r="BL10" s="42">
        <v>7.4780000000000003E-3</v>
      </c>
      <c r="BM10" s="42">
        <v>2.2447000000000002E-2</v>
      </c>
      <c r="BN10" s="42">
        <v>3.1216000000000001E-2</v>
      </c>
      <c r="BO10" s="42">
        <v>8.4910000000000003E-3</v>
      </c>
      <c r="BP10" s="42">
        <v>2.5142000000000001E-2</v>
      </c>
      <c r="BQ10" s="42">
        <v>1.6471E-2</v>
      </c>
      <c r="BR10" s="42">
        <v>2.3432999999999999E-2</v>
      </c>
      <c r="BS10" s="42">
        <v>1.7465000000000001E-2</v>
      </c>
      <c r="BT10" s="42">
        <v>1.9834000000000001E-2</v>
      </c>
      <c r="BU10" s="42">
        <v>3.5778999999999998E-2</v>
      </c>
      <c r="BV10" s="45">
        <f t="shared" si="7"/>
        <v>0.22609600000000002</v>
      </c>
      <c r="BW10" s="45">
        <v>0.22594600000000001</v>
      </c>
      <c r="BX10" s="45">
        <v>1.5705E-2</v>
      </c>
      <c r="BY10" s="45">
        <v>2.2405000000000001E-2</v>
      </c>
      <c r="BZ10" s="45">
        <v>1.6820999999999999E-2</v>
      </c>
      <c r="CA10" s="45">
        <v>5.9560000000000004E-3</v>
      </c>
      <c r="CB10" s="45">
        <v>4.5799999999999999E-3</v>
      </c>
      <c r="CC10" s="45">
        <v>3.3430000000000001E-3</v>
      </c>
      <c r="CD10" s="45">
        <v>2.1906999999999999E-2</v>
      </c>
      <c r="CE10" s="45">
        <v>1.494E-2</v>
      </c>
      <c r="CF10" s="45">
        <v>8.2019999999999992E-3</v>
      </c>
      <c r="CG10" s="45">
        <v>2.0459999999999999E-2</v>
      </c>
      <c r="CH10" s="45">
        <v>2.4934999999999999E-2</v>
      </c>
      <c r="CI10" s="45">
        <v>3.1898000000000003E-2</v>
      </c>
      <c r="CJ10" s="45">
        <f t="shared" si="8"/>
        <v>0.19115200000000002</v>
      </c>
      <c r="CK10" s="45">
        <v>0</v>
      </c>
      <c r="CL10" s="45">
        <v>3.7912000000000001E-2</v>
      </c>
      <c r="CM10" s="45">
        <v>2.9650000000000002E-3</v>
      </c>
      <c r="CN10" s="45">
        <v>8.071E-3</v>
      </c>
      <c r="CO10" s="45">
        <v>8.012E-3</v>
      </c>
      <c r="CP10" s="45">
        <v>7.7029999999999998E-3</v>
      </c>
      <c r="CQ10" s="45">
        <v>9.9799999999999993E-3</v>
      </c>
      <c r="CR10" s="45">
        <v>9.9600000000000001E-3</v>
      </c>
      <c r="CS10" s="45">
        <v>4.6439999999999997E-3</v>
      </c>
      <c r="CT10" s="45">
        <v>4.4999999999999997E-3</v>
      </c>
      <c r="CU10" s="45">
        <v>2.2058999999999999E-2</v>
      </c>
      <c r="CV10" s="45">
        <v>2.2277999999999999E-2</v>
      </c>
      <c r="CW10" s="45">
        <v>5.2446E-2</v>
      </c>
      <c r="CX10" s="45">
        <f t="shared" si="9"/>
        <v>0.19052999999999998</v>
      </c>
      <c r="CY10" s="45"/>
      <c r="CZ10" s="45">
        <v>2.4468E-2</v>
      </c>
      <c r="DA10" s="45">
        <v>2.9700000000000001E-4</v>
      </c>
      <c r="DB10" s="45">
        <v>1.0670000000000001E-2</v>
      </c>
      <c r="DC10" s="45">
        <v>6.1999999999999998E-3</v>
      </c>
      <c r="DD10" s="45">
        <v>8.005E-3</v>
      </c>
      <c r="DE10" s="45">
        <v>4.3480000000000003E-3</v>
      </c>
      <c r="DF10" s="45">
        <v>3.3080000000000002E-3</v>
      </c>
      <c r="DG10" s="45">
        <v>6.0039999999999998E-3</v>
      </c>
      <c r="DH10" s="45">
        <v>1.1289E-2</v>
      </c>
      <c r="DI10" s="45">
        <v>7.7689999999999999E-3</v>
      </c>
      <c r="DJ10" s="45">
        <v>1.1169E-2</v>
      </c>
      <c r="DK10" s="45">
        <v>1.8123E-2</v>
      </c>
      <c r="DL10" s="45">
        <f t="shared" si="10"/>
        <v>0.11164999999999999</v>
      </c>
      <c r="DM10" s="45">
        <v>0</v>
      </c>
      <c r="DN10" s="45">
        <v>4.6568999999999999E-2</v>
      </c>
      <c r="DO10" s="45">
        <v>3.6130000000000002E-2</v>
      </c>
      <c r="DP10" s="45">
        <v>6.1590000000000004E-3</v>
      </c>
      <c r="DQ10" s="45">
        <v>8.005E-3</v>
      </c>
      <c r="DR10" s="45">
        <v>1.173E-3</v>
      </c>
      <c r="DS10" s="45">
        <v>1.6726999999999999E-2</v>
      </c>
      <c r="DT10" s="45">
        <v>5.3499999999999999E-4</v>
      </c>
      <c r="DU10" s="45">
        <v>6.267E-3</v>
      </c>
      <c r="DV10" s="45">
        <v>1.5820000000000001E-2</v>
      </c>
      <c r="DW10" s="45">
        <v>1.0092E-2</v>
      </c>
      <c r="DX10" s="45">
        <v>2.4462000000000001E-2</v>
      </c>
      <c r="DY10" s="45">
        <v>2.3313E-2</v>
      </c>
      <c r="DZ10" s="45">
        <f t="shared" ref="DZ10:DZ46" si="18">SUM(DN10:DY10)</f>
        <v>0.19525199999999998</v>
      </c>
      <c r="EA10" s="45">
        <v>2.518599</v>
      </c>
      <c r="EB10" s="45">
        <v>3.9324999999999999E-2</v>
      </c>
      <c r="EC10" s="45">
        <v>1.2751E-2</v>
      </c>
      <c r="ED10" s="45">
        <v>1.2470999999999999E-2</v>
      </c>
      <c r="EE10" s="45">
        <v>1.2936E-2</v>
      </c>
      <c r="EF10" s="42">
        <v>2.0358000000000001E-2</v>
      </c>
      <c r="EG10" s="45">
        <v>9.0740000000000005E-3</v>
      </c>
      <c r="EH10" s="45">
        <v>1.1540000000000001E-3</v>
      </c>
      <c r="EI10" s="42">
        <v>6.0759999999999998E-3</v>
      </c>
      <c r="EJ10" s="45">
        <v>1.1590000000000001E-3</v>
      </c>
      <c r="EK10" s="45">
        <v>1.0781000000000001E-2</v>
      </c>
      <c r="EL10" s="45">
        <v>1.8686000000000001E-2</v>
      </c>
      <c r="EM10" s="45">
        <v>1.5207999999999999E-2</v>
      </c>
      <c r="EN10" s="45">
        <f t="shared" ref="EN10:EN47" si="19">SUM(EB10:EM10)</f>
        <v>0.15997900000000001</v>
      </c>
      <c r="EO10" s="45">
        <v>2.2667929999999998</v>
      </c>
      <c r="EP10" s="45">
        <v>2.8709999999999999E-2</v>
      </c>
      <c r="EQ10" s="45">
        <v>4.4903999999999999E-2</v>
      </c>
      <c r="ER10" s="45">
        <v>3.8901999999999999E-2</v>
      </c>
      <c r="ES10" s="45">
        <v>1.348E-3</v>
      </c>
      <c r="ET10" s="45">
        <v>1.5044E-2</v>
      </c>
      <c r="EU10" s="45">
        <v>8.1410000000000007E-3</v>
      </c>
      <c r="EV10" s="45">
        <v>3.9273000000000002E-2</v>
      </c>
      <c r="EW10" s="45">
        <v>1.897E-3</v>
      </c>
      <c r="EX10" s="45">
        <v>2.5430000000000001E-3</v>
      </c>
      <c r="EY10" s="45">
        <v>5.2979999999999998E-3</v>
      </c>
      <c r="EZ10" s="45">
        <v>9.6769999999999998E-3</v>
      </c>
      <c r="FA10" s="45">
        <v>3.6268000000000002E-2</v>
      </c>
      <c r="FB10" s="45">
        <f t="shared" ref="FB10:FB47" si="20">SUM(EP10:FA10)</f>
        <v>0.23200499999999999</v>
      </c>
      <c r="FC10" s="45">
        <v>2.5871369999999998</v>
      </c>
      <c r="FD10" s="45">
        <v>2.4237999999999999E-2</v>
      </c>
      <c r="FE10" s="45">
        <v>1.7711000000000001E-2</v>
      </c>
      <c r="FF10" s="45">
        <v>2.3111E-2</v>
      </c>
      <c r="FG10" s="45">
        <v>6.9930000000000001E-3</v>
      </c>
      <c r="FH10" s="45">
        <v>2.4108000000000001E-2</v>
      </c>
      <c r="FI10" s="45">
        <v>0.11296399999999999</v>
      </c>
      <c r="FJ10" s="45">
        <v>1.575E-3</v>
      </c>
      <c r="FK10" s="45">
        <v>1.2999999999999999E-3</v>
      </c>
      <c r="FL10" s="45">
        <v>1.14E-2</v>
      </c>
      <c r="FM10" s="45">
        <v>5.829E-3</v>
      </c>
      <c r="FN10" s="45">
        <v>5.1539999999999997E-3</v>
      </c>
      <c r="FO10" s="45">
        <v>3.3299000000000002E-2</v>
      </c>
      <c r="FP10" s="45">
        <f t="shared" ref="FP10:FP47" si="21">SUM(FD10:FO10)</f>
        <v>0.26768199999999998</v>
      </c>
      <c r="FQ10" s="45">
        <v>0.825909</v>
      </c>
      <c r="FR10" s="45">
        <v>1.7382000000000002E-2</v>
      </c>
      <c r="FS10" s="45">
        <v>8.8260000000000005E-3</v>
      </c>
      <c r="FT10" s="45"/>
      <c r="FU10" s="45">
        <v>1.3199000000000001E-2</v>
      </c>
      <c r="FV10" s="45">
        <v>9.7109999999999991E-3</v>
      </c>
      <c r="FW10" s="45">
        <v>4.9129999999999998E-3</v>
      </c>
      <c r="FX10" s="45">
        <v>6.3699999999999998E-4</v>
      </c>
      <c r="FY10" s="45">
        <v>1.9300000000000001E-3</v>
      </c>
      <c r="FZ10" s="45">
        <v>8.0019999999999994E-2</v>
      </c>
      <c r="GA10" s="45">
        <v>5.7174999999999997E-2</v>
      </c>
      <c r="GB10" s="45">
        <v>6.1734999999999998E-2</v>
      </c>
      <c r="GC10" s="45">
        <v>1.6187E-2</v>
      </c>
      <c r="GD10" s="45">
        <f t="shared" si="11"/>
        <v>0.27171499999999998</v>
      </c>
      <c r="GE10" s="45">
        <v>0.88236599999999998</v>
      </c>
      <c r="GF10" s="45">
        <v>5.2750000000000002E-3</v>
      </c>
      <c r="GG10" s="45">
        <v>2.4591999999999999E-2</v>
      </c>
      <c r="GH10" s="45">
        <v>1.6620000000000001E-3</v>
      </c>
      <c r="GI10" s="45">
        <v>0.10193000000000001</v>
      </c>
      <c r="GJ10" s="45">
        <v>1.3403999999999999E-2</v>
      </c>
      <c r="GK10" s="45">
        <v>1.2838E-2</v>
      </c>
      <c r="GL10" s="45">
        <v>1.5589E-2</v>
      </c>
      <c r="GM10" s="45">
        <v>0.18776200000000001</v>
      </c>
      <c r="GN10" s="45">
        <v>1.4559000000000001E-2</v>
      </c>
      <c r="GO10" s="45">
        <v>8.8050000000000003E-3</v>
      </c>
      <c r="GP10" s="45">
        <v>6.6940000000000003E-3</v>
      </c>
      <c r="GQ10" s="45">
        <v>2.1780999999999998E-2</v>
      </c>
      <c r="GR10" s="45">
        <f>SUM(GF10:GQ10)</f>
        <v>0.41489099999999995</v>
      </c>
      <c r="GS10" s="45">
        <v>1.070009</v>
      </c>
      <c r="GT10" s="45">
        <v>1.1900000000000001E-2</v>
      </c>
      <c r="GU10" s="45">
        <v>0.122865</v>
      </c>
      <c r="GV10" s="45">
        <v>2.9610000000000001E-3</v>
      </c>
      <c r="GW10" s="45">
        <v>2.1961000000000001E-2</v>
      </c>
      <c r="GX10" s="45">
        <v>1.3934999999999999E-2</v>
      </c>
      <c r="GY10" s="45">
        <v>3.3839999999999999E-3</v>
      </c>
      <c r="GZ10" s="45">
        <v>2.7889999999999998E-3</v>
      </c>
      <c r="HA10" s="45">
        <v>9.2829999999999996E-3</v>
      </c>
      <c r="HB10" s="45">
        <v>6.5399999999999996E-4</v>
      </c>
      <c r="HC10" s="45">
        <v>0.175395</v>
      </c>
      <c r="HD10" s="45">
        <v>2.9361000000000002E-2</v>
      </c>
      <c r="HE10" s="45">
        <v>7.7784000000000006E-2</v>
      </c>
      <c r="HF10" s="45">
        <f t="shared" si="13"/>
        <v>0.47227200000000003</v>
      </c>
      <c r="HG10" s="45">
        <v>3.5181000000000004E-2</v>
      </c>
      <c r="HH10" s="45">
        <v>2.4760000000000001E-2</v>
      </c>
      <c r="HI10" s="45">
        <v>2.4679E-2</v>
      </c>
      <c r="HJ10" s="45">
        <v>1.2931E-2</v>
      </c>
      <c r="HK10" s="45"/>
      <c r="HL10" s="45"/>
      <c r="HM10" s="45"/>
      <c r="HN10" s="45"/>
      <c r="HO10" s="45"/>
      <c r="HP10" s="45"/>
      <c r="HQ10" s="45"/>
      <c r="HR10" s="45"/>
      <c r="HS10" s="283">
        <f t="shared" si="14"/>
        <v>0.159687</v>
      </c>
      <c r="HT10" s="283">
        <f t="shared" si="15"/>
        <v>9.7550999999999999E-2</v>
      </c>
      <c r="HU10" s="280">
        <f t="shared" si="16"/>
        <v>-6.2135999999999997E-2</v>
      </c>
      <c r="HV10" s="280">
        <f t="shared" si="17"/>
        <v>-38.911119878261843</v>
      </c>
    </row>
    <row r="11" spans="1:230" s="12" customFormat="1" ht="23.15" customHeight="1">
      <c r="A11" s="314" t="s">
        <v>99</v>
      </c>
      <c r="B11" s="13"/>
      <c r="C11" s="46" t="s">
        <v>101</v>
      </c>
      <c r="D11" s="42">
        <v>135.31108104108685</v>
      </c>
      <c r="E11" s="42">
        <v>215.85868464038339</v>
      </c>
      <c r="F11" s="42">
        <v>12.783690758732165</v>
      </c>
      <c r="G11" s="42">
        <v>13.969772511254916</v>
      </c>
      <c r="H11" s="42">
        <v>18.897073721834253</v>
      </c>
      <c r="I11" s="42">
        <v>14.22499729654356</v>
      </c>
      <c r="J11" s="42">
        <v>15.125639580878881</v>
      </c>
      <c r="K11" s="42">
        <v>21.233123317454083</v>
      </c>
      <c r="L11" s="42">
        <v>20.841672785015451</v>
      </c>
      <c r="M11" s="42">
        <v>13.020083835607084</v>
      </c>
      <c r="N11" s="42">
        <v>11.70325154666166</v>
      </c>
      <c r="O11" s="42">
        <v>20.504941633798328</v>
      </c>
      <c r="P11" s="42">
        <v>16.31852692927189</v>
      </c>
      <c r="Q11" s="42">
        <v>47.834727747707753</v>
      </c>
      <c r="R11" s="42">
        <v>226.45750166476</v>
      </c>
      <c r="S11" s="42">
        <v>226.3440361750929</v>
      </c>
      <c r="T11" s="42">
        <v>21.653708573087233</v>
      </c>
      <c r="U11" s="42">
        <v>14.845333834184212</v>
      </c>
      <c r="V11" s="42">
        <v>18.422076425290694</v>
      </c>
      <c r="W11" s="42">
        <v>25.705493992635216</v>
      </c>
      <c r="X11" s="42">
        <v>18.863074199919179</v>
      </c>
      <c r="Y11" s="42">
        <v>25.523430430105691</v>
      </c>
      <c r="Z11" s="42">
        <v>21.281997541277512</v>
      </c>
      <c r="AA11" s="42">
        <v>15.247794548693518</v>
      </c>
      <c r="AB11" s="42">
        <v>14.95696524208741</v>
      </c>
      <c r="AC11" s="42">
        <v>22.390731982174263</v>
      </c>
      <c r="AD11" s="42">
        <v>18.647800809329485</v>
      </c>
      <c r="AE11" s="42">
        <v>33.510238985549321</v>
      </c>
      <c r="AF11" s="42">
        <v>251.04854696330699</v>
      </c>
      <c r="AG11" s="42">
        <v>244.12726592335844</v>
      </c>
      <c r="AH11" s="42">
        <f>AH13+AH14+AH12</f>
        <v>14.179422712448991</v>
      </c>
      <c r="AI11" s="42">
        <f t="shared" ref="AI11:AS11" si="22">AI13+AI14+AI12</f>
        <v>16.506378734327065</v>
      </c>
      <c r="AJ11" s="42">
        <f t="shared" si="22"/>
        <v>18.751005970370116</v>
      </c>
      <c r="AK11" s="42">
        <f t="shared" si="22"/>
        <v>17.810597264671234</v>
      </c>
      <c r="AL11" s="42">
        <f t="shared" si="22"/>
        <v>19.740095389326182</v>
      </c>
      <c r="AM11" s="42">
        <f t="shared" si="22"/>
        <v>24.519534607088179</v>
      </c>
      <c r="AN11" s="42">
        <f t="shared" si="22"/>
        <v>22.712064814656717</v>
      </c>
      <c r="AO11" s="42">
        <f t="shared" si="22"/>
        <v>17.634895362007047</v>
      </c>
      <c r="AP11" s="42">
        <f t="shared" si="22"/>
        <v>15.809559991121281</v>
      </c>
      <c r="AQ11" s="42">
        <f t="shared" si="22"/>
        <v>17.637366890342115</v>
      </c>
      <c r="AR11" s="42">
        <f t="shared" si="22"/>
        <v>14.671850188672803</v>
      </c>
      <c r="AS11" s="42">
        <f t="shared" si="22"/>
        <v>25.933318535466505</v>
      </c>
      <c r="AT11" s="42">
        <v>225.90609046049823</v>
      </c>
      <c r="AU11" s="42">
        <v>220.21418347078273</v>
      </c>
      <c r="AV11" s="42">
        <f>AV13+AV14+AV12</f>
        <v>9.9587660000000007</v>
      </c>
      <c r="AW11" s="42">
        <f>AW13+AW14+AW12</f>
        <v>14.431153</v>
      </c>
      <c r="AX11" s="42">
        <f t="shared" ref="AX11:BE11" si="23">AX13+AX14+AX12</f>
        <v>19.601667999999997</v>
      </c>
      <c r="AY11" s="42">
        <f t="shared" si="23"/>
        <v>15.085240000000001</v>
      </c>
      <c r="AZ11" s="42">
        <f t="shared" si="23"/>
        <v>12.852864</v>
      </c>
      <c r="BA11" s="42">
        <f t="shared" si="23"/>
        <v>17.439120000000003</v>
      </c>
      <c r="BB11" s="42">
        <f t="shared" si="23"/>
        <v>17.347576</v>
      </c>
      <c r="BC11" s="42">
        <f t="shared" si="23"/>
        <v>14.650300999999999</v>
      </c>
      <c r="BD11" s="42">
        <f t="shared" si="23"/>
        <v>12.991009</v>
      </c>
      <c r="BE11" s="42">
        <f t="shared" si="23"/>
        <v>20.750042000000001</v>
      </c>
      <c r="BF11" s="42">
        <f>BF13+BF14+BF12</f>
        <v>20.740864999999999</v>
      </c>
      <c r="BG11" s="42">
        <f>BG13+BG14+BG12</f>
        <v>38.406051999999995</v>
      </c>
      <c r="BH11" s="45">
        <f t="shared" si="6"/>
        <v>214.25465600000001</v>
      </c>
      <c r="BI11" s="45">
        <f>BI12+BI13+BI14</f>
        <v>207.78727599999999</v>
      </c>
      <c r="BJ11" s="42">
        <f>BJ13+BJ14+BJ12</f>
        <v>9.6338480000000004</v>
      </c>
      <c r="BK11" s="42">
        <v>17.082460000000001</v>
      </c>
      <c r="BL11" s="42">
        <v>16.952448</v>
      </c>
      <c r="BM11" s="42">
        <v>18.611219999999999</v>
      </c>
      <c r="BN11" s="42">
        <v>18.459480999999997</v>
      </c>
      <c r="BO11" s="42">
        <v>31.370798999999998</v>
      </c>
      <c r="BP11" s="42">
        <v>20.078873000000002</v>
      </c>
      <c r="BQ11" s="42">
        <v>14.705261</v>
      </c>
      <c r="BR11" s="42">
        <v>16.68648</v>
      </c>
      <c r="BS11" s="42">
        <v>14.827738</v>
      </c>
      <c r="BT11" s="42">
        <v>23.088616000000002</v>
      </c>
      <c r="BU11" s="42">
        <v>23.505720000000004</v>
      </c>
      <c r="BV11" s="45">
        <f t="shared" si="7"/>
        <v>225.00294399999999</v>
      </c>
      <c r="BW11" s="45">
        <f>BW12+BW13+BW14</f>
        <v>216.34646000000001</v>
      </c>
      <c r="BX11" s="45">
        <v>9.2019789999999997</v>
      </c>
      <c r="BY11" s="45">
        <v>14.976975999999999</v>
      </c>
      <c r="BZ11" s="45">
        <v>20.874738000000001</v>
      </c>
      <c r="CA11" s="45">
        <v>32.845037000000005</v>
      </c>
      <c r="CB11" s="45">
        <v>15.944715</v>
      </c>
      <c r="CC11" s="45">
        <v>15.995716000000002</v>
      </c>
      <c r="CD11" s="45">
        <v>19.399775999999999</v>
      </c>
      <c r="CE11" s="45">
        <v>11.442145</v>
      </c>
      <c r="CF11" s="45">
        <v>12.262819</v>
      </c>
      <c r="CG11" s="45">
        <v>16.406303999999999</v>
      </c>
      <c r="CH11" s="45">
        <v>13.627484000000001</v>
      </c>
      <c r="CI11" s="45">
        <v>19.257735999999998</v>
      </c>
      <c r="CJ11" s="45">
        <f t="shared" si="8"/>
        <v>202.23542500000002</v>
      </c>
      <c r="CK11" s="96">
        <f>CK12+CK13+CK14</f>
        <v>199.404537</v>
      </c>
      <c r="CL11" s="45">
        <v>4.7066290000000004</v>
      </c>
      <c r="CM11" s="45">
        <v>21.56878</v>
      </c>
      <c r="CN11" s="45">
        <v>20.146367999999999</v>
      </c>
      <c r="CO11" s="45">
        <v>18.379425000000001</v>
      </c>
      <c r="CP11" s="45">
        <v>15.175481</v>
      </c>
      <c r="CQ11" s="45">
        <v>21.004458</v>
      </c>
      <c r="CR11" s="45">
        <v>21.960114000000001</v>
      </c>
      <c r="CS11" s="45">
        <v>15.758055000000001</v>
      </c>
      <c r="CT11" s="45">
        <v>13.263123999999999</v>
      </c>
      <c r="CU11" s="45">
        <v>20.646898</v>
      </c>
      <c r="CV11" s="45">
        <v>23.646947000000001</v>
      </c>
      <c r="CW11" s="45">
        <v>32.048746999999999</v>
      </c>
      <c r="CX11" s="45">
        <f t="shared" si="9"/>
        <v>228.30502600000003</v>
      </c>
      <c r="CY11" s="45">
        <f>CY12+CY13+CY14</f>
        <v>225.35631999999998</v>
      </c>
      <c r="CZ11" s="45">
        <v>10.394829</v>
      </c>
      <c r="DA11" s="45">
        <v>22.216856</v>
      </c>
      <c r="DB11" s="45">
        <v>21.841304000000001</v>
      </c>
      <c r="DC11" s="45">
        <v>29.243808000000001</v>
      </c>
      <c r="DD11" s="45">
        <v>22.392365999999999</v>
      </c>
      <c r="DE11" s="45">
        <v>28.807801000000001</v>
      </c>
      <c r="DF11" s="45">
        <v>29.819227000000001</v>
      </c>
      <c r="DG11" s="45">
        <v>21.890025999999999</v>
      </c>
      <c r="DH11" s="45">
        <v>19.860543</v>
      </c>
      <c r="DI11" s="45">
        <v>27.926359000000001</v>
      </c>
      <c r="DJ11" s="45">
        <v>22.162998000000002</v>
      </c>
      <c r="DK11" s="45">
        <v>29.574715000000001</v>
      </c>
      <c r="DL11" s="45">
        <f t="shared" si="10"/>
        <v>286.13083200000005</v>
      </c>
      <c r="DM11" s="45">
        <f>DM12+DM13+DM14</f>
        <v>280.76631500000002</v>
      </c>
      <c r="DN11" s="45">
        <v>20.795732000000001</v>
      </c>
      <c r="DO11" s="45">
        <v>30.278241999999999</v>
      </c>
      <c r="DP11" s="45">
        <v>18.183489999999999</v>
      </c>
      <c r="DQ11" s="45">
        <v>49.687150000000003</v>
      </c>
      <c r="DR11" s="45">
        <v>13.657514000000001</v>
      </c>
      <c r="DS11" s="45">
        <v>14.422746</v>
      </c>
      <c r="DT11" s="45">
        <v>48.623604</v>
      </c>
      <c r="DU11" s="45">
        <v>18.093878</v>
      </c>
      <c r="DV11" s="45">
        <v>17.841733999999999</v>
      </c>
      <c r="DW11" s="45">
        <v>48.851436</v>
      </c>
      <c r="DX11" s="45">
        <v>10.311840999999999</v>
      </c>
      <c r="DY11" s="45">
        <v>18.082353999999999</v>
      </c>
      <c r="DZ11" s="45">
        <f t="shared" si="18"/>
        <v>308.82972100000001</v>
      </c>
      <c r="EA11" s="45">
        <f>EA12+EA13+EA14</f>
        <v>299.20797299999998</v>
      </c>
      <c r="EB11" s="45">
        <v>13.209313999999999</v>
      </c>
      <c r="EC11" s="45">
        <v>42.816180000000003</v>
      </c>
      <c r="ED11" s="45">
        <v>16.847214999999998</v>
      </c>
      <c r="EE11" s="45">
        <v>50.544061999999997</v>
      </c>
      <c r="EF11" s="42">
        <v>11.718499</v>
      </c>
      <c r="EG11" s="45">
        <v>11.711596999999999</v>
      </c>
      <c r="EH11" s="45">
        <v>44.836440000000003</v>
      </c>
      <c r="EI11" s="42">
        <v>21.820824999999999</v>
      </c>
      <c r="EJ11" s="45">
        <v>18.671530000000001</v>
      </c>
      <c r="EK11" s="45">
        <v>48.280783999999997</v>
      </c>
      <c r="EL11" s="45">
        <v>10.910964999999999</v>
      </c>
      <c r="EM11" s="45">
        <v>20.968378000000001</v>
      </c>
      <c r="EN11" s="45">
        <f t="shared" si="19"/>
        <v>312.33578899999998</v>
      </c>
      <c r="EO11" s="45">
        <f>EO12+EO13+EO14</f>
        <v>296.00236799999993</v>
      </c>
      <c r="EP11" s="45">
        <v>35.816609999999997</v>
      </c>
      <c r="EQ11" s="45">
        <v>20.508133999999998</v>
      </c>
      <c r="ER11" s="45">
        <v>32.491211999999997</v>
      </c>
      <c r="ES11" s="45">
        <v>45.735142000000003</v>
      </c>
      <c r="ET11" s="45">
        <v>13.014446</v>
      </c>
      <c r="EU11" s="45">
        <v>16.611166000000001</v>
      </c>
      <c r="EV11" s="45">
        <v>47.711106999999998</v>
      </c>
      <c r="EW11" s="45">
        <v>17.991098000000001</v>
      </c>
      <c r="EX11" s="45">
        <v>11.826354</v>
      </c>
      <c r="EY11" s="45">
        <v>48.018552</v>
      </c>
      <c r="EZ11" s="45">
        <v>18.557579</v>
      </c>
      <c r="FA11" s="45">
        <v>29.004667999999999</v>
      </c>
      <c r="FB11" s="45">
        <f t="shared" si="20"/>
        <v>337.28606799999994</v>
      </c>
      <c r="FC11" s="45">
        <f>FC12+FC13+FC14</f>
        <v>333.562928</v>
      </c>
      <c r="FD11" s="45">
        <v>29.690452000000001</v>
      </c>
      <c r="FE11" s="45">
        <v>48.469304999999999</v>
      </c>
      <c r="FF11" s="45">
        <v>24.228728</v>
      </c>
      <c r="FG11" s="45">
        <v>54.550578999999999</v>
      </c>
      <c r="FH11" s="45">
        <v>14.316872999999999</v>
      </c>
      <c r="FI11" s="45">
        <v>19.267548999999999</v>
      </c>
      <c r="FJ11" s="45">
        <v>49.164943000000001</v>
      </c>
      <c r="FK11" s="45">
        <v>18.285762999999999</v>
      </c>
      <c r="FL11" s="45">
        <v>12.606278</v>
      </c>
      <c r="FM11" s="45">
        <v>61.088045999999999</v>
      </c>
      <c r="FN11" s="45">
        <v>15.91996</v>
      </c>
      <c r="FO11" s="45">
        <v>31.699936999999998</v>
      </c>
      <c r="FP11" s="45">
        <f t="shared" si="21"/>
        <v>379.28841299999993</v>
      </c>
      <c r="FQ11" s="45">
        <f>FQ12+FQ13+FQ14</f>
        <v>371.24979300000001</v>
      </c>
      <c r="FR11" s="45">
        <v>18.076122999999999</v>
      </c>
      <c r="FS11" s="45">
        <v>36.480479000000003</v>
      </c>
      <c r="FT11" s="45">
        <v>25.65587</v>
      </c>
      <c r="FU11" s="45">
        <v>58.065327000000003</v>
      </c>
      <c r="FV11" s="45">
        <v>20.366857</v>
      </c>
      <c r="FW11" s="45">
        <v>24.746271</v>
      </c>
      <c r="FX11" s="45">
        <v>64.62227</v>
      </c>
      <c r="FY11" s="45">
        <v>23.032278999999999</v>
      </c>
      <c r="FZ11" s="45">
        <v>15.454924999999999</v>
      </c>
      <c r="GA11" s="45">
        <v>61.896225000000001</v>
      </c>
      <c r="GB11" s="45">
        <v>25.092476000000001</v>
      </c>
      <c r="GC11" s="45">
        <v>22.256543000000001</v>
      </c>
      <c r="GD11" s="45">
        <f t="shared" si="11"/>
        <v>395.74564500000002</v>
      </c>
      <c r="GE11" s="45">
        <f>GE12+GE13+GE14</f>
        <v>386.74307199999998</v>
      </c>
      <c r="GF11" s="45">
        <v>26.993278</v>
      </c>
      <c r="GG11" s="45">
        <v>35.845227999999999</v>
      </c>
      <c r="GH11" s="45">
        <v>27.500443000000001</v>
      </c>
      <c r="GI11" s="45">
        <v>72.323530000000005</v>
      </c>
      <c r="GJ11" s="45">
        <v>20.538964</v>
      </c>
      <c r="GK11" s="45">
        <v>19.141036</v>
      </c>
      <c r="GL11" s="45">
        <v>65.230979000000005</v>
      </c>
      <c r="GM11" s="45">
        <v>10.697604</v>
      </c>
      <c r="GN11" s="45">
        <v>17.717707999999998</v>
      </c>
      <c r="GO11" s="45">
        <v>44.794462000000003</v>
      </c>
      <c r="GP11" s="45">
        <v>46.495100000000001</v>
      </c>
      <c r="GQ11" s="45">
        <v>56.708621999999998</v>
      </c>
      <c r="GR11" s="45">
        <f t="shared" si="12"/>
        <v>443.98695400000003</v>
      </c>
      <c r="GS11" s="45">
        <f>GS12+GS13+GS14</f>
        <v>429.16328399999998</v>
      </c>
      <c r="GT11" s="45">
        <v>13.171509</v>
      </c>
      <c r="GU11" s="45">
        <v>38.679470000000002</v>
      </c>
      <c r="GV11" s="45">
        <v>24.195059000000001</v>
      </c>
      <c r="GW11" s="45">
        <v>53.934553999999999</v>
      </c>
      <c r="GX11" s="45">
        <v>55.686247999999999</v>
      </c>
      <c r="GY11" s="45">
        <v>82.877519000000007</v>
      </c>
      <c r="GZ11" s="45">
        <v>61.110754</v>
      </c>
      <c r="HA11" s="45">
        <v>21.063523</v>
      </c>
      <c r="HB11" s="45">
        <v>32.674041000000003</v>
      </c>
      <c r="HC11" s="45">
        <v>59.823248</v>
      </c>
      <c r="HD11" s="45">
        <v>17.239796999999999</v>
      </c>
      <c r="HE11" s="45">
        <v>28.415019000000001</v>
      </c>
      <c r="HF11" s="45">
        <f t="shared" si="13"/>
        <v>488.87074099999995</v>
      </c>
      <c r="HG11" s="45">
        <v>37.599215000000001</v>
      </c>
      <c r="HH11" s="45">
        <v>27.914553000000002</v>
      </c>
      <c r="HI11" s="45">
        <v>35.580717</v>
      </c>
      <c r="HJ11" s="45">
        <v>68.284925000000001</v>
      </c>
      <c r="HK11" s="45"/>
      <c r="HL11" s="45"/>
      <c r="HM11" s="45"/>
      <c r="HN11" s="45"/>
      <c r="HO11" s="45"/>
      <c r="HP11" s="45"/>
      <c r="HQ11" s="45"/>
      <c r="HR11" s="45"/>
      <c r="HS11" s="283">
        <f>ROUND(SUM(GT11+GU11+GV11+GW11),6)</f>
        <v>129.980592</v>
      </c>
      <c r="HT11" s="283">
        <f t="shared" si="15"/>
        <v>169.37941000000001</v>
      </c>
      <c r="HU11" s="280">
        <f t="shared" si="16"/>
        <v>39.398818000000006</v>
      </c>
      <c r="HV11" s="280">
        <f t="shared" si="17"/>
        <v>30.311308322091662</v>
      </c>
    </row>
    <row r="12" spans="1:230" s="12" customFormat="1" ht="20.5" hidden="1">
      <c r="A12" s="314" t="s">
        <v>238</v>
      </c>
      <c r="B12" s="13" t="s">
        <v>109</v>
      </c>
      <c r="C12" s="47" t="s">
        <v>110</v>
      </c>
      <c r="D12" s="44" t="s">
        <v>46</v>
      </c>
      <c r="E12" s="44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4">
        <v>0</v>
      </c>
      <c r="S12" s="44"/>
      <c r="T12" s="44">
        <v>1.8480002959573367</v>
      </c>
      <c r="U12" s="44">
        <v>0.40238672517515556</v>
      </c>
      <c r="V12" s="44">
        <v>2.1937296885049031</v>
      </c>
      <c r="W12" s="44">
        <v>-0.99846614418813784</v>
      </c>
      <c r="X12" s="44">
        <v>0.48642153431113089</v>
      </c>
      <c r="Y12" s="44">
        <v>0.73773484499234498</v>
      </c>
      <c r="Z12" s="44">
        <v>0.46902550355433376</v>
      </c>
      <c r="AA12" s="44">
        <v>0.47898133761333173</v>
      </c>
      <c r="AB12" s="44">
        <v>0.47011257761765723</v>
      </c>
      <c r="AC12" s="44">
        <v>1.1413751202326681</v>
      </c>
      <c r="AD12" s="44">
        <v>0.76318290732551319</v>
      </c>
      <c r="AE12" s="44">
        <v>0.66682033682221498</v>
      </c>
      <c r="AF12" s="44">
        <v>0</v>
      </c>
      <c r="AG12" s="44">
        <v>2.0686948281455435</v>
      </c>
      <c r="AH12" s="44">
        <v>1.9383668846506281</v>
      </c>
      <c r="AI12" s="44">
        <v>1.3591598795681301</v>
      </c>
      <c r="AJ12" s="44">
        <v>1.1708954416878674</v>
      </c>
      <c r="AK12" s="44">
        <v>0.78703450748715154</v>
      </c>
      <c r="AL12" s="44">
        <v>1.1807687491818488</v>
      </c>
      <c r="AM12" s="44">
        <v>1.0788470185144081</v>
      </c>
      <c r="AN12" s="44">
        <v>1.8451744725414199</v>
      </c>
      <c r="AO12" s="44">
        <v>1.1049026471107164</v>
      </c>
      <c r="AP12" s="44">
        <v>1.6294784890239669</v>
      </c>
      <c r="AQ12" s="44">
        <v>1.1251942220021514</v>
      </c>
      <c r="AR12" s="44">
        <v>1.0836506337471046</v>
      </c>
      <c r="AS12" s="44">
        <v>0.87808692039316805</v>
      </c>
      <c r="AT12" s="44">
        <f>SUM(AH12:AS12)</f>
        <v>15.181559865908559</v>
      </c>
      <c r="AU12" s="44">
        <v>9.4224748293976699</v>
      </c>
      <c r="AV12" s="44">
        <v>1.488167</v>
      </c>
      <c r="AW12" s="44">
        <v>1.057204</v>
      </c>
      <c r="AX12" s="44">
        <v>0.765212</v>
      </c>
      <c r="AY12" s="44">
        <v>1.30732</v>
      </c>
      <c r="AZ12" s="44">
        <v>0.76420399999999999</v>
      </c>
      <c r="BA12" s="44">
        <v>0.57199500000000003</v>
      </c>
      <c r="BB12" s="44">
        <v>1.77081</v>
      </c>
      <c r="BC12" s="44">
        <v>0.87143700000000002</v>
      </c>
      <c r="BD12" s="44">
        <v>1.150827</v>
      </c>
      <c r="BE12" s="44">
        <v>1.182577</v>
      </c>
      <c r="BF12" s="44">
        <v>0.79075799999999996</v>
      </c>
      <c r="BG12" s="44">
        <v>2.8929360000000002</v>
      </c>
      <c r="BH12" s="50">
        <f t="shared" si="6"/>
        <v>14.613447000000001</v>
      </c>
      <c r="BI12" s="50">
        <v>8.2615970000000001</v>
      </c>
      <c r="BJ12" s="44">
        <v>0.87332399999999999</v>
      </c>
      <c r="BK12" s="42">
        <v>1.5188820000000001</v>
      </c>
      <c r="BL12" s="42">
        <v>1.4318630000000001</v>
      </c>
      <c r="BM12" s="42">
        <v>0.90007099999999995</v>
      </c>
      <c r="BN12" s="42">
        <v>1.3993880000000001</v>
      </c>
      <c r="BO12" s="42">
        <v>2.7947860000000002</v>
      </c>
      <c r="BP12" s="42">
        <v>1.365124</v>
      </c>
      <c r="BQ12" s="42">
        <v>1.1463019999999999</v>
      </c>
      <c r="BR12" s="42">
        <v>2.9803769999999998</v>
      </c>
      <c r="BS12" s="42">
        <v>1.1583030000000001</v>
      </c>
      <c r="BT12" s="42">
        <v>1.521968</v>
      </c>
      <c r="BU12" s="42">
        <v>2.267344</v>
      </c>
      <c r="BV12" s="45">
        <f t="shared" si="7"/>
        <v>19.357732000000002</v>
      </c>
      <c r="BW12" s="45">
        <v>10.682426</v>
      </c>
      <c r="BX12" s="45">
        <v>0.65347500000000003</v>
      </c>
      <c r="BY12" s="45">
        <v>0.436558</v>
      </c>
      <c r="BZ12" s="45">
        <v>1.0104930000000001</v>
      </c>
      <c r="CA12" s="45">
        <v>2.3288989999999998</v>
      </c>
      <c r="CB12" s="45">
        <v>1.887138</v>
      </c>
      <c r="CC12" s="45">
        <v>0.38868000000000003</v>
      </c>
      <c r="CD12" s="45">
        <v>0.25209399999999998</v>
      </c>
      <c r="CE12" s="45">
        <v>0.32165300000000002</v>
      </c>
      <c r="CF12" s="45">
        <v>0.40187600000000001</v>
      </c>
      <c r="CG12" s="45">
        <v>0.37559599999999999</v>
      </c>
      <c r="CH12" s="45">
        <v>0.32975399999999999</v>
      </c>
      <c r="CI12" s="45">
        <v>0.42324800000000001</v>
      </c>
      <c r="CJ12" s="45">
        <f t="shared" si="8"/>
        <v>8.8094639999999984</v>
      </c>
      <c r="CK12" s="45">
        <v>4.7397539999999996</v>
      </c>
      <c r="CL12" s="45">
        <v>5.4970999999999999E-2</v>
      </c>
      <c r="CM12" s="45">
        <v>0.75132699999999997</v>
      </c>
      <c r="CN12" s="45">
        <v>0.43297999999999998</v>
      </c>
      <c r="CO12" s="45">
        <v>0.53348200000000001</v>
      </c>
      <c r="CP12" s="45">
        <v>0.45802100000000001</v>
      </c>
      <c r="CQ12" s="45">
        <v>0.47055000000000002</v>
      </c>
      <c r="CR12" s="45">
        <v>0.482157</v>
      </c>
      <c r="CS12" s="45">
        <v>0.47253299999999998</v>
      </c>
      <c r="CT12" s="45">
        <v>0.56313299999999999</v>
      </c>
      <c r="CU12" s="45">
        <v>0.49193500000000001</v>
      </c>
      <c r="CV12" s="45">
        <v>0.58436699999999997</v>
      </c>
      <c r="CW12" s="45">
        <v>0.53656700000000002</v>
      </c>
      <c r="CX12" s="45">
        <f t="shared" si="9"/>
        <v>5.8320229999999995</v>
      </c>
      <c r="CY12" s="45">
        <v>1.270302</v>
      </c>
      <c r="CZ12" s="45">
        <v>0.15298400000000001</v>
      </c>
      <c r="DA12" s="45">
        <v>0.91319899999999998</v>
      </c>
      <c r="DB12" s="45">
        <v>0.343304</v>
      </c>
      <c r="DC12" s="45">
        <v>0.83623899999999995</v>
      </c>
      <c r="DD12" s="45">
        <v>0.62242699999999995</v>
      </c>
      <c r="DE12" s="45">
        <v>0.49629000000000001</v>
      </c>
      <c r="DF12" s="45">
        <v>0.82322799999999996</v>
      </c>
      <c r="DG12" s="45">
        <v>0.57335400000000003</v>
      </c>
      <c r="DH12" s="45">
        <v>0.59336</v>
      </c>
      <c r="DI12" s="45">
        <v>0.76230200000000004</v>
      </c>
      <c r="DJ12" s="45">
        <v>0.53002300000000002</v>
      </c>
      <c r="DK12" s="45">
        <v>0.98741800000000002</v>
      </c>
      <c r="DL12" s="45">
        <f t="shared" si="10"/>
        <v>7.6341280000000005</v>
      </c>
      <c r="DM12" s="45">
        <v>1.7255720000000001</v>
      </c>
      <c r="DN12" s="45">
        <v>0.25981700000000002</v>
      </c>
      <c r="DO12" s="45">
        <v>0.45741999999999999</v>
      </c>
      <c r="DP12" s="45">
        <v>1.124393</v>
      </c>
      <c r="DQ12" s="45">
        <v>1.63086</v>
      </c>
      <c r="DR12" s="45">
        <v>0.66995099999999996</v>
      </c>
      <c r="DS12" s="45">
        <v>5.0634999999999999E-2</v>
      </c>
      <c r="DT12" s="45">
        <v>2.2125469999999998</v>
      </c>
      <c r="DU12" s="45">
        <v>0.10163700000000001</v>
      </c>
      <c r="DV12" s="45">
        <v>0.23109099999999999</v>
      </c>
      <c r="DW12" s="45">
        <v>2.3940790000000001</v>
      </c>
      <c r="DX12" s="45">
        <v>0.31740200000000002</v>
      </c>
      <c r="DY12" s="45">
        <v>0.46932299999999999</v>
      </c>
      <c r="DZ12" s="45">
        <f t="shared" si="18"/>
        <v>9.9191549999999982</v>
      </c>
      <c r="EA12" s="45">
        <f>0.03</f>
        <v>0.03</v>
      </c>
      <c r="EB12" s="45">
        <v>1.4526140000000001</v>
      </c>
      <c r="EC12" s="45">
        <v>2.5081340000000001</v>
      </c>
      <c r="ED12" s="45">
        <v>0.27023900000000001</v>
      </c>
      <c r="EE12" s="45">
        <v>2.3102100000000001</v>
      </c>
      <c r="EF12" s="42">
        <v>0.150113</v>
      </c>
      <c r="EG12" s="45">
        <v>0.12161</v>
      </c>
      <c r="EH12" s="45">
        <v>2.3325779999999998</v>
      </c>
      <c r="EI12" s="42">
        <v>1.4037170000000001</v>
      </c>
      <c r="EJ12" s="45">
        <v>2.0520369999999999</v>
      </c>
      <c r="EK12" s="45">
        <v>2.5897920000000001</v>
      </c>
      <c r="EL12" s="45">
        <v>0.84029299999999996</v>
      </c>
      <c r="EM12" s="45">
        <v>0.59451600000000004</v>
      </c>
      <c r="EN12" s="45">
        <f>SUM(EB12:EM12)</f>
        <v>16.625852999999999</v>
      </c>
      <c r="EO12" s="45">
        <v>8.6300000000000005E-4</v>
      </c>
      <c r="EP12" s="45">
        <v>0.46546300000000002</v>
      </c>
      <c r="EQ12" s="45">
        <v>0.99823799999999996</v>
      </c>
      <c r="ER12" s="45">
        <v>0.12581200000000001</v>
      </c>
      <c r="ES12" s="45">
        <v>0.30146299999999998</v>
      </c>
      <c r="ET12" s="45">
        <v>0.17227899999999999</v>
      </c>
      <c r="EU12" s="45">
        <v>0.19822699999999999</v>
      </c>
      <c r="EV12" s="45">
        <v>0.58815400000000428</v>
      </c>
      <c r="EW12" s="45">
        <v>0.188248</v>
      </c>
      <c r="EX12" s="45">
        <v>0.325513</v>
      </c>
      <c r="EY12" s="45">
        <v>0.49709500000000001</v>
      </c>
      <c r="EZ12" s="45">
        <v>0.20020199999999999</v>
      </c>
      <c r="FA12" s="45">
        <v>0.16769700000000001</v>
      </c>
      <c r="FB12" s="45">
        <f>SUM(EP12:FA12)</f>
        <v>4.2283910000000047</v>
      </c>
      <c r="FC12" s="45">
        <v>1.5499999999999999E-3</v>
      </c>
      <c r="FD12" s="45">
        <v>0.43863600000000003</v>
      </c>
      <c r="FE12" s="45">
        <v>0.72294400000000003</v>
      </c>
      <c r="FF12" s="45">
        <v>0.31822899999999998</v>
      </c>
      <c r="FG12" s="45">
        <v>0.562033</v>
      </c>
      <c r="FH12" s="45">
        <v>0.23346600000000001</v>
      </c>
      <c r="FI12" s="45">
        <v>0.14888299999999999</v>
      </c>
      <c r="FJ12" s="45">
        <v>0.57020899999999997</v>
      </c>
      <c r="FK12" s="45">
        <v>0.25436900000000001</v>
      </c>
      <c r="FL12" s="45">
        <v>0.25886199999999998</v>
      </c>
      <c r="FM12" s="45">
        <v>1.0276829999999999</v>
      </c>
      <c r="FN12" s="45">
        <v>0.25992700000000002</v>
      </c>
      <c r="FO12" s="45">
        <v>3.566141</v>
      </c>
      <c r="FP12" s="45">
        <f>SUM(FD12:FO12)</f>
        <v>8.361381999999999</v>
      </c>
      <c r="FQ12" s="45"/>
      <c r="FR12" s="45">
        <v>0.47160999999999997</v>
      </c>
      <c r="FS12" s="45">
        <v>0.476437</v>
      </c>
      <c r="FT12" s="45">
        <v>0.84570599999999996</v>
      </c>
      <c r="FU12" s="45">
        <v>1.8531949999999999</v>
      </c>
      <c r="FV12" s="45">
        <v>0.314139</v>
      </c>
      <c r="FW12" s="45">
        <v>0.47286</v>
      </c>
      <c r="FX12" s="45">
        <v>1.9565589999999999</v>
      </c>
      <c r="FY12" s="45">
        <v>0.67804699999999996</v>
      </c>
      <c r="FZ12" s="45">
        <v>0.43204900000000002</v>
      </c>
      <c r="GA12" s="45">
        <v>1.03529</v>
      </c>
      <c r="GB12" s="45">
        <v>0.89925900000000003</v>
      </c>
      <c r="GC12" s="45">
        <v>0.29713600000000001</v>
      </c>
      <c r="GD12" s="45">
        <f t="shared" si="11"/>
        <v>9.7322870000000012</v>
      </c>
      <c r="GE12" s="45"/>
      <c r="GF12" s="45">
        <v>0.85645099999999996</v>
      </c>
      <c r="GG12" s="45">
        <v>4.8146890000000004</v>
      </c>
      <c r="GH12" s="45">
        <v>0.438135</v>
      </c>
      <c r="GI12" s="45">
        <v>1.0455350000000001</v>
      </c>
      <c r="GJ12" s="45">
        <v>0.72087100000000004</v>
      </c>
      <c r="GK12" s="45">
        <v>1.053973</v>
      </c>
      <c r="GL12" s="45">
        <v>2.577747</v>
      </c>
      <c r="GM12" s="45">
        <v>0.50156800000000001</v>
      </c>
      <c r="GN12" s="45">
        <v>0.73300500000000002</v>
      </c>
      <c r="GO12" s="45">
        <v>0.62202199999999996</v>
      </c>
      <c r="GP12" s="45">
        <v>0.49640400000000001</v>
      </c>
      <c r="GQ12" s="45">
        <v>1.260321</v>
      </c>
      <c r="GR12" s="45">
        <f t="shared" si="12"/>
        <v>15.120721</v>
      </c>
      <c r="GS12" s="45">
        <v>9.2540000000000001E-3</v>
      </c>
      <c r="GT12" s="45"/>
      <c r="GU12" s="45"/>
      <c r="GV12" s="45">
        <v>5.0000000000000001E-4</v>
      </c>
      <c r="GW12" s="45">
        <v>-5.0000000000000001E-4</v>
      </c>
      <c r="GX12" s="45"/>
      <c r="GY12" s="45"/>
      <c r="GZ12" s="45"/>
      <c r="HA12" s="45"/>
      <c r="HB12" s="45"/>
      <c r="HC12" s="45"/>
      <c r="HD12" s="45"/>
      <c r="HE12" s="45"/>
      <c r="HF12" s="45">
        <f t="shared" si="13"/>
        <v>0</v>
      </c>
      <c r="HG12" s="45"/>
      <c r="HH12" s="45"/>
      <c r="HI12" s="45"/>
      <c r="HJ12" s="45">
        <v>5.6001000000000002E-2</v>
      </c>
      <c r="HK12" s="45"/>
      <c r="HL12" s="45"/>
      <c r="HM12" s="45"/>
      <c r="HN12" s="45"/>
      <c r="HO12" s="45"/>
      <c r="HP12" s="45"/>
      <c r="HQ12" s="45"/>
      <c r="HR12" s="45"/>
      <c r="HS12" s="283">
        <f t="shared" si="14"/>
        <v>0</v>
      </c>
      <c r="HT12" s="283">
        <f t="shared" si="15"/>
        <v>5.6001000000000002E-2</v>
      </c>
      <c r="HU12" s="277">
        <f t="shared" si="16"/>
        <v>5.6001000000000002E-2</v>
      </c>
      <c r="HV12" s="277" t="e">
        <f t="shared" si="17"/>
        <v>#DIV/0!</v>
      </c>
    </row>
    <row r="13" spans="1:230" s="12" customFormat="1" ht="20.25" customHeight="1">
      <c r="A13" s="314" t="s">
        <v>236</v>
      </c>
      <c r="B13" s="13" t="s">
        <v>103</v>
      </c>
      <c r="C13" s="56" t="s">
        <v>104</v>
      </c>
      <c r="D13" s="42">
        <v>135.31108104108685</v>
      </c>
      <c r="E13" s="42">
        <v>215.85868464038339</v>
      </c>
      <c r="F13" s="42">
        <v>12.783690758732165</v>
      </c>
      <c r="G13" s="42">
        <v>13.969772511254916</v>
      </c>
      <c r="H13" s="42">
        <v>18.897073721834253</v>
      </c>
      <c r="I13" s="42">
        <v>14.224997296543561</v>
      </c>
      <c r="J13" s="42">
        <v>14.980633291785477</v>
      </c>
      <c r="K13" s="42">
        <v>21.233123317454083</v>
      </c>
      <c r="L13" s="42">
        <v>20.841672785015454</v>
      </c>
      <c r="M13" s="42">
        <v>13.020083835607084</v>
      </c>
      <c r="N13" s="42">
        <v>11.605161609780252</v>
      </c>
      <c r="O13" s="42">
        <v>20.502522751720253</v>
      </c>
      <c r="P13" s="42">
        <v>16.29863091274381</v>
      </c>
      <c r="Q13" s="42">
        <v>47.570504721088668</v>
      </c>
      <c r="R13" s="42">
        <v>225.92786751355999</v>
      </c>
      <c r="S13" s="42">
        <v>225.81440202389285</v>
      </c>
      <c r="T13" s="42">
        <v>19.805708277129895</v>
      </c>
      <c r="U13" s="42">
        <v>14.440812801293108</v>
      </c>
      <c r="V13" s="42">
        <v>16.193295712602662</v>
      </c>
      <c r="W13" s="42">
        <v>26.703960136823355</v>
      </c>
      <c r="X13" s="42">
        <v>18.375420458620042</v>
      </c>
      <c r="Y13" s="42">
        <v>24.785695585113345</v>
      </c>
      <c r="Z13" s="42">
        <v>20.812872436696434</v>
      </c>
      <c r="AA13" s="42">
        <v>14.768813211080186</v>
      </c>
      <c r="AB13" s="42">
        <v>14.486852664469753</v>
      </c>
      <c r="AC13" s="42">
        <v>21.198220271939263</v>
      </c>
      <c r="AD13" s="42">
        <v>17.884397356873322</v>
      </c>
      <c r="AE13" s="42">
        <v>32.841063795880508</v>
      </c>
      <c r="AF13" s="42">
        <v>250.95641743644032</v>
      </c>
      <c r="AG13" s="42">
        <v>241.96634196731949</v>
      </c>
      <c r="AH13" s="42">
        <v>12.22106447885897</v>
      </c>
      <c r="AI13" s="42">
        <v>15.147218854758936</v>
      </c>
      <c r="AJ13" s="42">
        <v>17.496448511960658</v>
      </c>
      <c r="AK13" s="42">
        <v>16.96236219486514</v>
      </c>
      <c r="AL13" s="42">
        <v>18.523394858310425</v>
      </c>
      <c r="AM13" s="42">
        <v>23.348667622836523</v>
      </c>
      <c r="AN13" s="42">
        <v>20.735101109270865</v>
      </c>
      <c r="AO13" s="42">
        <v>16.488726586644358</v>
      </c>
      <c r="AP13" s="42">
        <v>14.180081502097314</v>
      </c>
      <c r="AQ13" s="42">
        <v>16.416100363686034</v>
      </c>
      <c r="AR13" s="42">
        <v>13.553041815356771</v>
      </c>
      <c r="AS13" s="42">
        <v>24.933984439473878</v>
      </c>
      <c r="AT13" s="44">
        <f>SUM(AH13:AS13)</f>
        <v>210.00619233811989</v>
      </c>
      <c r="AU13" s="44">
        <v>210.07294352337212</v>
      </c>
      <c r="AV13" s="42">
        <v>8.470599</v>
      </c>
      <c r="AW13" s="42">
        <v>13.340337</v>
      </c>
      <c r="AX13" s="42">
        <v>18.738500999999999</v>
      </c>
      <c r="AY13" s="42">
        <v>13.538631000000001</v>
      </c>
      <c r="AZ13" s="42">
        <v>11.866493</v>
      </c>
      <c r="BA13" s="42">
        <v>16.690802000000001</v>
      </c>
      <c r="BB13" s="42">
        <v>15.303689</v>
      </c>
      <c r="BC13" s="42">
        <v>13.702045999999999</v>
      </c>
      <c r="BD13" s="42">
        <v>11.763379</v>
      </c>
      <c r="BE13" s="42">
        <v>19.497582000000001</v>
      </c>
      <c r="BF13" s="42">
        <v>19.840996000000001</v>
      </c>
      <c r="BG13" s="42">
        <v>35.285812999999997</v>
      </c>
      <c r="BH13" s="45">
        <f t="shared" si="6"/>
        <v>198.03886799999998</v>
      </c>
      <c r="BI13" s="45">
        <v>197.906443</v>
      </c>
      <c r="BJ13" s="42">
        <v>8.7605240000000002</v>
      </c>
      <c r="BK13" s="42">
        <v>15.443474999999999</v>
      </c>
      <c r="BL13" s="42">
        <v>15.388735</v>
      </c>
      <c r="BM13" s="42">
        <v>17.460889999999999</v>
      </c>
      <c r="BN13" s="42">
        <v>16.910955999999999</v>
      </c>
      <c r="BO13" s="42">
        <v>28.557627</v>
      </c>
      <c r="BP13" s="42">
        <v>18.541886000000002</v>
      </c>
      <c r="BQ13" s="42">
        <v>13.50545</v>
      </c>
      <c r="BR13" s="42">
        <v>13.60854</v>
      </c>
      <c r="BS13" s="42">
        <v>13.619253</v>
      </c>
      <c r="BT13" s="42">
        <v>21.489936</v>
      </c>
      <c r="BU13" s="42">
        <v>21.016566000000001</v>
      </c>
      <c r="BV13" s="45">
        <f t="shared" si="7"/>
        <v>204.30383800000004</v>
      </c>
      <c r="BW13" s="45">
        <v>204.29862900000001</v>
      </c>
      <c r="BX13" s="45">
        <v>8.5405850000000001</v>
      </c>
      <c r="BY13" s="45">
        <v>14.485742999999999</v>
      </c>
      <c r="BZ13" s="45">
        <v>19.839085000000001</v>
      </c>
      <c r="CA13" s="45">
        <v>30.474066000000001</v>
      </c>
      <c r="CB13" s="45">
        <v>13.999592</v>
      </c>
      <c r="CC13" s="45">
        <v>15.573695000000001</v>
      </c>
      <c r="CD13" s="45">
        <v>19.093471000000001</v>
      </c>
      <c r="CE13" s="45">
        <v>11.060677</v>
      </c>
      <c r="CF13" s="45">
        <v>11.829245</v>
      </c>
      <c r="CG13" s="45">
        <v>16.017938999999998</v>
      </c>
      <c r="CH13" s="45">
        <v>13.261105000000001</v>
      </c>
      <c r="CI13" s="45">
        <v>18.324898999999998</v>
      </c>
      <c r="CJ13" s="45">
        <f t="shared" si="8"/>
        <v>192.500102</v>
      </c>
      <c r="CK13" s="45">
        <v>193.72315800000001</v>
      </c>
      <c r="CL13" s="45">
        <v>4.6320839999999999</v>
      </c>
      <c r="CM13" s="45">
        <v>20.7456</v>
      </c>
      <c r="CN13" s="45">
        <v>19.710898</v>
      </c>
      <c r="CO13" s="45">
        <v>17.743203000000001</v>
      </c>
      <c r="CP13" s="45">
        <v>14.688331</v>
      </c>
      <c r="CQ13" s="45">
        <v>20.492439999999998</v>
      </c>
      <c r="CR13" s="45">
        <v>21.407812</v>
      </c>
      <c r="CS13" s="45">
        <v>14.814215000000001</v>
      </c>
      <c r="CT13" s="45">
        <v>12.641676</v>
      </c>
      <c r="CU13" s="45">
        <v>20.103966</v>
      </c>
      <c r="CV13" s="45">
        <v>22.91113</v>
      </c>
      <c r="CW13" s="45">
        <v>31.476796</v>
      </c>
      <c r="CX13" s="45">
        <f t="shared" si="9"/>
        <v>221.36815099999998</v>
      </c>
      <c r="CY13" s="45">
        <v>222.971768</v>
      </c>
      <c r="CZ13" s="45">
        <v>10.220905999999999</v>
      </c>
      <c r="DA13" s="45">
        <v>21.194393000000002</v>
      </c>
      <c r="DB13" s="45">
        <v>21.331672999999999</v>
      </c>
      <c r="DC13" s="45">
        <v>28.313751</v>
      </c>
      <c r="DD13" s="45">
        <v>21.552045</v>
      </c>
      <c r="DE13" s="45">
        <v>28.178215000000002</v>
      </c>
      <c r="DF13" s="45">
        <v>28.902953</v>
      </c>
      <c r="DG13" s="45">
        <v>21.251396</v>
      </c>
      <c r="DH13" s="45">
        <v>19.060666999999999</v>
      </c>
      <c r="DI13" s="45">
        <v>27.086003999999999</v>
      </c>
      <c r="DJ13" s="45">
        <v>21.513943000000001</v>
      </c>
      <c r="DK13" s="45">
        <v>28.517999</v>
      </c>
      <c r="DL13" s="45">
        <f t="shared" si="10"/>
        <v>277.12394499999999</v>
      </c>
      <c r="DM13" s="45">
        <v>277.65540800000002</v>
      </c>
      <c r="DN13" s="45">
        <v>20.509768999999999</v>
      </c>
      <c r="DO13" s="45">
        <v>29.737760999999999</v>
      </c>
      <c r="DP13" s="45">
        <v>16.872803999999999</v>
      </c>
      <c r="DQ13" s="45">
        <v>47.973911999999999</v>
      </c>
      <c r="DR13" s="45">
        <v>12.863868999999999</v>
      </c>
      <c r="DS13" s="45">
        <v>13.646962</v>
      </c>
      <c r="DT13" s="45">
        <v>46.306528999999998</v>
      </c>
      <c r="DU13" s="45">
        <v>17.853304999999999</v>
      </c>
      <c r="DV13" s="45">
        <v>17.537596000000001</v>
      </c>
      <c r="DW13" s="45">
        <v>46.369489999999999</v>
      </c>
      <c r="DX13" s="45">
        <v>9.8320930000000004</v>
      </c>
      <c r="DY13" s="45">
        <v>17.561847</v>
      </c>
      <c r="DZ13" s="45">
        <f t="shared" si="18"/>
        <v>297.06593700000002</v>
      </c>
      <c r="EA13" s="45">
        <f>297.279989</f>
        <v>297.279989</v>
      </c>
      <c r="EB13" s="45">
        <v>11.699522</v>
      </c>
      <c r="EC13" s="45">
        <v>40.125014999999998</v>
      </c>
      <c r="ED13" s="45">
        <v>16.409514999999999</v>
      </c>
      <c r="EE13" s="45">
        <v>48.092906999999997</v>
      </c>
      <c r="EF13" s="42">
        <v>11.478097</v>
      </c>
      <c r="EG13" s="45">
        <v>11.375496</v>
      </c>
      <c r="EH13" s="45">
        <v>42.483862000000002</v>
      </c>
      <c r="EI13" s="42">
        <v>20.402788999999999</v>
      </c>
      <c r="EJ13" s="45">
        <v>16.548566999999998</v>
      </c>
      <c r="EK13" s="45">
        <v>45.483328</v>
      </c>
      <c r="EL13" s="45">
        <v>9.9957700000000003</v>
      </c>
      <c r="EM13" s="45">
        <v>20.171505</v>
      </c>
      <c r="EN13" s="45">
        <f t="shared" si="19"/>
        <v>294.26637300000004</v>
      </c>
      <c r="EO13" s="45">
        <v>294.55334499999998</v>
      </c>
      <c r="EP13" s="45">
        <v>35.285451000000002</v>
      </c>
      <c r="EQ13" s="45">
        <v>19.467718000000001</v>
      </c>
      <c r="ER13" s="45">
        <v>31.911369000000001</v>
      </c>
      <c r="ES13" s="45">
        <v>45.364300999999998</v>
      </c>
      <c r="ET13" s="45">
        <v>12.678597999999999</v>
      </c>
      <c r="EU13" s="45">
        <v>16.236619000000001</v>
      </c>
      <c r="EV13" s="45">
        <v>47.058008999999998</v>
      </c>
      <c r="EW13" s="45">
        <v>17.79635</v>
      </c>
      <c r="EX13" s="45">
        <v>11.444302</v>
      </c>
      <c r="EY13" s="45">
        <v>47.355111000000001</v>
      </c>
      <c r="EZ13" s="45">
        <v>18.117633999999999</v>
      </c>
      <c r="FA13" s="45">
        <v>28.775660999999999</v>
      </c>
      <c r="FB13" s="45">
        <f t="shared" si="20"/>
        <v>331.49112300000002</v>
      </c>
      <c r="FC13" s="45">
        <v>331.99460399999998</v>
      </c>
      <c r="FD13" s="45">
        <v>29.169965999999999</v>
      </c>
      <c r="FE13" s="45">
        <v>47.698020999999997</v>
      </c>
      <c r="FF13" s="45">
        <v>23.822295</v>
      </c>
      <c r="FG13" s="45">
        <v>53.935169000000002</v>
      </c>
      <c r="FH13" s="45">
        <v>13.988498</v>
      </c>
      <c r="FI13" s="45">
        <v>18.791153999999999</v>
      </c>
      <c r="FJ13" s="45">
        <v>48.407525</v>
      </c>
      <c r="FK13" s="45">
        <v>17.957811</v>
      </c>
      <c r="FL13" s="45">
        <v>12.006088999999999</v>
      </c>
      <c r="FM13" s="45">
        <v>60.021697000000003</v>
      </c>
      <c r="FN13" s="45">
        <v>15.571334999999999</v>
      </c>
      <c r="FO13" s="45">
        <v>28.007349999999999</v>
      </c>
      <c r="FP13" s="45">
        <f t="shared" si="21"/>
        <v>369.37690999999995</v>
      </c>
      <c r="FQ13" s="45">
        <v>369.69967200000002</v>
      </c>
      <c r="FR13" s="45">
        <v>17.552264999999998</v>
      </c>
      <c r="FS13" s="45">
        <v>35.932521999999999</v>
      </c>
      <c r="FT13" s="45">
        <v>24.707975999999999</v>
      </c>
      <c r="FU13" s="45">
        <v>56.143580999999998</v>
      </c>
      <c r="FV13" s="45">
        <v>19.860717999999999</v>
      </c>
      <c r="FW13" s="45">
        <v>24.048995000000001</v>
      </c>
      <c r="FX13" s="45">
        <v>62.626092999999997</v>
      </c>
      <c r="FY13" s="45">
        <v>22.317622</v>
      </c>
      <c r="FZ13" s="45">
        <v>14.948871</v>
      </c>
      <c r="GA13" s="45">
        <v>60.701956000000003</v>
      </c>
      <c r="GB13" s="45">
        <v>23.986498000000001</v>
      </c>
      <c r="GC13" s="45">
        <v>21.834931000000001</v>
      </c>
      <c r="GD13" s="45">
        <f t="shared" si="11"/>
        <v>384.66202799999991</v>
      </c>
      <c r="GE13" s="45">
        <v>385.41774199999998</v>
      </c>
      <c r="GF13" s="45">
        <v>26.085100000000001</v>
      </c>
      <c r="GG13" s="45">
        <v>30.93882</v>
      </c>
      <c r="GH13" s="45">
        <v>26.985285999999999</v>
      </c>
      <c r="GI13" s="45">
        <v>71.203205999999994</v>
      </c>
      <c r="GJ13" s="45">
        <v>19.685321999999999</v>
      </c>
      <c r="GK13" s="45">
        <v>17.847639999999998</v>
      </c>
      <c r="GL13" s="45">
        <v>62.598106000000001</v>
      </c>
      <c r="GM13" s="45">
        <v>10.147292999999999</v>
      </c>
      <c r="GN13" s="45">
        <v>16.942526000000001</v>
      </c>
      <c r="GO13" s="45">
        <v>44.000622999999997</v>
      </c>
      <c r="GP13" s="45">
        <v>45.898719</v>
      </c>
      <c r="GQ13" s="45">
        <v>55.298073000000002</v>
      </c>
      <c r="GR13" s="45">
        <f t="shared" si="12"/>
        <v>427.63071400000007</v>
      </c>
      <c r="GS13" s="45">
        <v>427.91463199999998</v>
      </c>
      <c r="GT13" s="45">
        <v>13.170464000000001</v>
      </c>
      <c r="GU13" s="45">
        <v>38.651274999999998</v>
      </c>
      <c r="GV13" s="45">
        <v>24.066486000000001</v>
      </c>
      <c r="GW13" s="45">
        <v>53.784198000000004</v>
      </c>
      <c r="GX13" s="45">
        <v>55.522987999999998</v>
      </c>
      <c r="GY13" s="45">
        <v>82.726129</v>
      </c>
      <c r="GZ13" s="45">
        <v>60.991418000000003</v>
      </c>
      <c r="HA13" s="45">
        <v>21.013746000000001</v>
      </c>
      <c r="HB13" s="45">
        <v>32.631568999999999</v>
      </c>
      <c r="HC13" s="45">
        <v>59.708626000000002</v>
      </c>
      <c r="HD13" s="45">
        <v>17.133489000000001</v>
      </c>
      <c r="HE13" s="45">
        <v>28.354479999999999</v>
      </c>
      <c r="HF13" s="45">
        <f t="shared" si="13"/>
        <v>487.75486800000004</v>
      </c>
      <c r="HG13" s="45">
        <v>37.582757999999998</v>
      </c>
      <c r="HH13" s="45">
        <v>27.906072999999999</v>
      </c>
      <c r="HI13" s="45">
        <v>35.365616000000003</v>
      </c>
      <c r="HJ13" s="45">
        <v>68.112662</v>
      </c>
      <c r="HK13" s="45"/>
      <c r="HL13" s="45"/>
      <c r="HM13" s="45"/>
      <c r="HN13" s="45"/>
      <c r="HO13" s="45"/>
      <c r="HP13" s="45"/>
      <c r="HQ13" s="45"/>
      <c r="HR13" s="45"/>
      <c r="HS13" s="283">
        <f t="shared" si="14"/>
        <v>129.67242300000001</v>
      </c>
      <c r="HT13" s="283">
        <f t="shared" si="15"/>
        <v>168.96710899999999</v>
      </c>
      <c r="HU13" s="280">
        <f t="shared" si="16"/>
        <v>39.294685999999984</v>
      </c>
      <c r="HV13" s="280">
        <f t="shared" si="17"/>
        <v>30.3030398375451</v>
      </c>
    </row>
    <row r="14" spans="1:230" s="12" customFormat="1" ht="20.5">
      <c r="A14" s="314" t="s">
        <v>221</v>
      </c>
      <c r="B14" s="12" t="s">
        <v>106</v>
      </c>
      <c r="C14" s="56" t="s">
        <v>107</v>
      </c>
      <c r="D14" s="42">
        <v>0</v>
      </c>
      <c r="E14" s="42">
        <v>0</v>
      </c>
      <c r="F14" s="42"/>
      <c r="G14" s="42"/>
      <c r="H14" s="42"/>
      <c r="I14" s="42"/>
      <c r="J14" s="42">
        <v>0.14500628909340385</v>
      </c>
      <c r="K14" s="42"/>
      <c r="L14" s="42"/>
      <c r="M14" s="42"/>
      <c r="N14" s="42">
        <v>9.808993688140788E-2</v>
      </c>
      <c r="O14" s="42">
        <v>2.4188820780750575E-3</v>
      </c>
      <c r="P14" s="42">
        <v>1.9896016528079485E-2</v>
      </c>
      <c r="Q14" s="42">
        <v>0.26422302661908503</v>
      </c>
      <c r="R14" s="42">
        <v>0.52963415120005009</v>
      </c>
      <c r="S14" s="42">
        <v>0.52963415120005009</v>
      </c>
      <c r="T14" s="42"/>
      <c r="U14" s="42">
        <v>2.134307715949255E-3</v>
      </c>
      <c r="V14" s="42">
        <v>3.5051024183129297E-2</v>
      </c>
      <c r="W14" s="42"/>
      <c r="X14" s="42">
        <v>1.2322069880080365E-3</v>
      </c>
      <c r="Y14" s="42"/>
      <c r="Z14" s="42">
        <v>9.9601026744298545E-5</v>
      </c>
      <c r="AA14" s="42"/>
      <c r="AB14" s="42"/>
      <c r="AC14" s="42">
        <v>5.1136590002333511E-2</v>
      </c>
      <c r="AD14" s="42">
        <v>2.2054513064808965E-4</v>
      </c>
      <c r="AE14" s="42">
        <v>2.3548528465973445E-3</v>
      </c>
      <c r="AF14" s="42">
        <v>9.2129526866665534E-2</v>
      </c>
      <c r="AG14" s="42">
        <v>9.2229127893409826E-2</v>
      </c>
      <c r="AH14" s="42">
        <v>1.9991348939391352E-2</v>
      </c>
      <c r="AI14" s="42">
        <v>0</v>
      </c>
      <c r="AJ14" s="42">
        <v>8.3662016721589516E-2</v>
      </c>
      <c r="AK14" s="42">
        <v>6.1200562318939562E-2</v>
      </c>
      <c r="AL14" s="42">
        <v>3.5931781833911026E-2</v>
      </c>
      <c r="AM14" s="42">
        <v>9.2019965737246801E-2</v>
      </c>
      <c r="AN14" s="42">
        <v>0.13178923284443458</v>
      </c>
      <c r="AO14" s="42">
        <v>4.1266128251973525E-2</v>
      </c>
      <c r="AP14" s="42">
        <v>0</v>
      </c>
      <c r="AQ14" s="42">
        <v>9.607230465392913E-2</v>
      </c>
      <c r="AR14" s="42">
        <v>3.515773956892676E-2</v>
      </c>
      <c r="AS14" s="42">
        <v>0.12124717559945589</v>
      </c>
      <c r="AT14" s="44">
        <f>SUM(AH14:AS14)</f>
        <v>0.7183382564697981</v>
      </c>
      <c r="AU14" s="44">
        <v>0.71876511801298804</v>
      </c>
      <c r="AV14" s="42"/>
      <c r="AW14" s="42">
        <v>3.3612000000000003E-2</v>
      </c>
      <c r="AX14" s="42">
        <v>9.7955E-2</v>
      </c>
      <c r="AY14" s="42">
        <v>0.239289</v>
      </c>
      <c r="AZ14" s="42">
        <v>0.222167</v>
      </c>
      <c r="BA14" s="42">
        <v>0.17632300000000001</v>
      </c>
      <c r="BB14" s="42">
        <v>0.27307700000000001</v>
      </c>
      <c r="BC14" s="42">
        <v>7.6817999999999997E-2</v>
      </c>
      <c r="BD14" s="42">
        <v>7.6802999999999996E-2</v>
      </c>
      <c r="BE14" s="42">
        <v>6.9883000000000001E-2</v>
      </c>
      <c r="BF14" s="42">
        <v>0.109111</v>
      </c>
      <c r="BG14" s="42">
        <v>0.22730300000000001</v>
      </c>
      <c r="BH14" s="45">
        <f t="shared" si="6"/>
        <v>1.6023409999999998</v>
      </c>
      <c r="BI14" s="45">
        <v>1.6192359999999999</v>
      </c>
      <c r="BJ14" s="42"/>
      <c r="BK14" s="42">
        <v>0.120103</v>
      </c>
      <c r="BL14" s="42">
        <v>0.13184999999999999</v>
      </c>
      <c r="BM14" s="42">
        <v>0.25025900000000001</v>
      </c>
      <c r="BN14" s="42">
        <v>0.14913699999999999</v>
      </c>
      <c r="BO14" s="42">
        <v>1.8386E-2</v>
      </c>
      <c r="BP14" s="42">
        <v>0.17186299999999999</v>
      </c>
      <c r="BQ14" s="42">
        <v>5.3509000000000001E-2</v>
      </c>
      <c r="BR14" s="42">
        <v>9.7562999999999997E-2</v>
      </c>
      <c r="BS14" s="42">
        <v>5.0181999999999997E-2</v>
      </c>
      <c r="BT14" s="42">
        <v>7.6712000000000002E-2</v>
      </c>
      <c r="BU14" s="42">
        <v>0.22181000000000001</v>
      </c>
      <c r="BV14" s="45">
        <f t="shared" si="7"/>
        <v>1.3413740000000001</v>
      </c>
      <c r="BW14" s="45">
        <v>1.365405</v>
      </c>
      <c r="BX14" s="45">
        <v>7.9190000000000007E-3</v>
      </c>
      <c r="BY14" s="45">
        <v>5.4675000000000001E-2</v>
      </c>
      <c r="BZ14" s="45">
        <v>2.5159999999999998E-2</v>
      </c>
      <c r="CA14" s="45">
        <v>4.2071999999999998E-2</v>
      </c>
      <c r="CB14" s="45">
        <v>5.7985000000000002E-2</v>
      </c>
      <c r="CC14" s="45">
        <v>3.3341000000000003E-2</v>
      </c>
      <c r="CD14" s="45">
        <v>5.4211000000000002E-2</v>
      </c>
      <c r="CE14" s="45">
        <v>5.9815E-2</v>
      </c>
      <c r="CF14" s="45">
        <v>3.1697999999999997E-2</v>
      </c>
      <c r="CG14" s="45">
        <v>1.2769000000000001E-2</v>
      </c>
      <c r="CH14" s="45">
        <v>3.6624999999999998E-2</v>
      </c>
      <c r="CI14" s="45">
        <v>0.50958899999999996</v>
      </c>
      <c r="CJ14" s="45">
        <f t="shared" si="8"/>
        <v>0.92585899999999999</v>
      </c>
      <c r="CK14" s="45">
        <v>0.94162500000000005</v>
      </c>
      <c r="CL14" s="45">
        <v>1.9574000000000001E-2</v>
      </c>
      <c r="CM14" s="45">
        <v>7.1853E-2</v>
      </c>
      <c r="CN14" s="45">
        <v>2.49E-3</v>
      </c>
      <c r="CO14" s="45">
        <v>0.10274</v>
      </c>
      <c r="CP14" s="45">
        <v>2.9128999999999999E-2</v>
      </c>
      <c r="CQ14" s="45">
        <v>4.1467999999999998E-2</v>
      </c>
      <c r="CR14" s="45">
        <v>7.0144999999999999E-2</v>
      </c>
      <c r="CS14" s="45">
        <v>0.47130699999999998</v>
      </c>
      <c r="CT14" s="45">
        <v>5.8314999999999999E-2</v>
      </c>
      <c r="CU14" s="45">
        <v>5.0997000000000001E-2</v>
      </c>
      <c r="CV14" s="45">
        <v>0.15145</v>
      </c>
      <c r="CW14" s="45">
        <v>3.5383999999999999E-2</v>
      </c>
      <c r="CX14" s="45">
        <f t="shared" si="9"/>
        <v>1.1048519999999999</v>
      </c>
      <c r="CY14" s="45">
        <v>1.11425</v>
      </c>
      <c r="CZ14" s="45">
        <v>2.0938999999999999E-2</v>
      </c>
      <c r="DA14" s="45">
        <v>0.109264</v>
      </c>
      <c r="DB14" s="45">
        <v>0.166327</v>
      </c>
      <c r="DC14" s="45">
        <v>9.3817999999999999E-2</v>
      </c>
      <c r="DD14" s="45">
        <v>0.217894</v>
      </c>
      <c r="DE14" s="45">
        <v>0.133296</v>
      </c>
      <c r="DF14" s="45">
        <v>9.3046000000000004E-2</v>
      </c>
      <c r="DG14" s="45">
        <v>6.5276000000000001E-2</v>
      </c>
      <c r="DH14" s="45">
        <v>0.20651600000000001</v>
      </c>
      <c r="DI14" s="45">
        <v>7.8052999999999997E-2</v>
      </c>
      <c r="DJ14" s="45">
        <v>0.119032</v>
      </c>
      <c r="DK14" s="45">
        <v>6.9297999999999998E-2</v>
      </c>
      <c r="DL14" s="45">
        <f t="shared" si="10"/>
        <v>1.3727590000000001</v>
      </c>
      <c r="DM14" s="45">
        <v>1.385335</v>
      </c>
      <c r="DN14" s="45">
        <v>2.6145999999999999E-2</v>
      </c>
      <c r="DO14" s="45">
        <v>8.3060999999999996E-2</v>
      </c>
      <c r="DP14" s="45">
        <v>0.18629299999999999</v>
      </c>
      <c r="DQ14" s="45">
        <v>8.2378000000000007E-2</v>
      </c>
      <c r="DR14" s="45">
        <v>0.123694</v>
      </c>
      <c r="DS14" s="45">
        <v>0.72514900000000004</v>
      </c>
      <c r="DT14" s="45">
        <v>0.104528</v>
      </c>
      <c r="DU14" s="45">
        <v>0.138936</v>
      </c>
      <c r="DV14" s="45">
        <v>7.3047000000000001E-2</v>
      </c>
      <c r="DW14" s="45">
        <v>8.7867000000000001E-2</v>
      </c>
      <c r="DX14" s="45">
        <v>0.16234599999999999</v>
      </c>
      <c r="DY14" s="45">
        <v>5.1184E-2</v>
      </c>
      <c r="DZ14" s="45">
        <f t="shared" si="18"/>
        <v>1.8446289999999996</v>
      </c>
      <c r="EA14" s="45">
        <v>1.8979839999999999</v>
      </c>
      <c r="EB14" s="45">
        <v>5.7178E-2</v>
      </c>
      <c r="EC14" s="45">
        <v>0.183031</v>
      </c>
      <c r="ED14" s="45">
        <v>0.167461</v>
      </c>
      <c r="EE14" s="45">
        <v>0.14094499999999999</v>
      </c>
      <c r="EF14" s="42">
        <v>9.0288999999999994E-2</v>
      </c>
      <c r="EG14" s="45">
        <v>0.21449099999999999</v>
      </c>
      <c r="EH14" s="45">
        <v>0.02</v>
      </c>
      <c r="EI14" s="42">
        <v>1.4319E-2</v>
      </c>
      <c r="EJ14" s="45">
        <v>7.0926000000000003E-2</v>
      </c>
      <c r="EK14" s="45">
        <v>0.20766399999999999</v>
      </c>
      <c r="EL14" s="45">
        <v>7.4901999999999996E-2</v>
      </c>
      <c r="EM14" s="45">
        <v>0.20235700000000001</v>
      </c>
      <c r="EN14" s="45">
        <f t="shared" si="19"/>
        <v>1.4435630000000002</v>
      </c>
      <c r="EO14" s="45">
        <v>1.4481599999999999</v>
      </c>
      <c r="EP14" s="45">
        <v>6.5696000000000004E-2</v>
      </c>
      <c r="EQ14" s="45">
        <v>4.2178E-2</v>
      </c>
      <c r="ER14" s="45">
        <v>0.45403100000000002</v>
      </c>
      <c r="ES14" s="45">
        <v>6.9377999999999995E-2</v>
      </c>
      <c r="ET14" s="45">
        <v>0.16356899999999999</v>
      </c>
      <c r="EU14" s="45">
        <v>0.17632</v>
      </c>
      <c r="EV14" s="45">
        <v>6.4944000000000002E-2</v>
      </c>
      <c r="EW14" s="45">
        <v>6.4999999999999997E-3</v>
      </c>
      <c r="EX14" s="45">
        <v>5.6538999999999999E-2</v>
      </c>
      <c r="EY14" s="45">
        <v>0.16634599999999999</v>
      </c>
      <c r="EZ14" s="45">
        <v>0.23974300000000001</v>
      </c>
      <c r="FA14" s="45">
        <v>6.1310000000000003E-2</v>
      </c>
      <c r="FB14" s="45">
        <f t="shared" si="20"/>
        <v>1.566554</v>
      </c>
      <c r="FC14" s="45">
        <v>1.5667740000000001</v>
      </c>
      <c r="FD14" s="45">
        <v>8.1850000000000006E-2</v>
      </c>
      <c r="FE14" s="45">
        <v>4.8340000000000001E-2</v>
      </c>
      <c r="FF14" s="45">
        <v>8.8204000000000005E-2</v>
      </c>
      <c r="FG14" s="45">
        <v>5.3377000000000001E-2</v>
      </c>
      <c r="FH14" s="45">
        <v>9.4908999999999993E-2</v>
      </c>
      <c r="FI14" s="45">
        <v>0.32751200000000003</v>
      </c>
      <c r="FJ14" s="45">
        <v>0.18720899999999999</v>
      </c>
      <c r="FK14" s="45">
        <v>7.3582999999999996E-2</v>
      </c>
      <c r="FL14" s="45">
        <v>0.34132699999999999</v>
      </c>
      <c r="FM14" s="45">
        <v>3.8665999999999999E-2</v>
      </c>
      <c r="FN14" s="45">
        <v>8.8697999999999999E-2</v>
      </c>
      <c r="FO14" s="45">
        <v>0.126446</v>
      </c>
      <c r="FP14" s="45">
        <f t="shared" si="21"/>
        <v>1.5501210000000001</v>
      </c>
      <c r="FQ14" s="45">
        <v>1.5501210000000001</v>
      </c>
      <c r="FR14" s="45">
        <v>5.2248000000000003E-2</v>
      </c>
      <c r="FS14" s="45">
        <v>7.152E-2</v>
      </c>
      <c r="FT14" s="45">
        <v>0.102188</v>
      </c>
      <c r="FU14" s="45">
        <v>6.8551000000000001E-2</v>
      </c>
      <c r="FV14" s="45">
        <v>0.192</v>
      </c>
      <c r="FW14" s="45">
        <v>0.224416</v>
      </c>
      <c r="FX14" s="45">
        <v>3.9618E-2</v>
      </c>
      <c r="FY14" s="45">
        <v>3.6609999999999997E-2</v>
      </c>
      <c r="FZ14" s="45">
        <v>7.4005000000000001E-2</v>
      </c>
      <c r="GA14" s="45">
        <v>0.15897900000000001</v>
      </c>
      <c r="GB14" s="45">
        <v>0.20671900000000001</v>
      </c>
      <c r="GC14" s="45">
        <v>0.124476</v>
      </c>
      <c r="GD14" s="45">
        <f t="shared" si="11"/>
        <v>1.3513300000000001</v>
      </c>
      <c r="GE14" s="45">
        <v>1.3253299999999999</v>
      </c>
      <c r="GF14" s="45">
        <v>5.1727000000000002E-2</v>
      </c>
      <c r="GG14" s="45">
        <v>9.1718999999999995E-2</v>
      </c>
      <c r="GH14" s="45">
        <v>7.7021999999999993E-2</v>
      </c>
      <c r="GI14" s="45">
        <v>7.4788999999999994E-2</v>
      </c>
      <c r="GJ14" s="45">
        <v>0.132771</v>
      </c>
      <c r="GK14" s="45">
        <v>0.239423</v>
      </c>
      <c r="GL14" s="45">
        <v>5.5126000000000001E-2</v>
      </c>
      <c r="GM14" s="45">
        <v>4.8743000000000002E-2</v>
      </c>
      <c r="GN14" s="45">
        <v>4.2176999999999999E-2</v>
      </c>
      <c r="GO14" s="45">
        <v>0.171817</v>
      </c>
      <c r="GP14" s="45">
        <v>9.9976999999999996E-2</v>
      </c>
      <c r="GQ14" s="45">
        <v>0.150228</v>
      </c>
      <c r="GR14" s="45">
        <f t="shared" si="12"/>
        <v>1.235519</v>
      </c>
      <c r="GS14" s="45">
        <v>1.239398</v>
      </c>
      <c r="GT14" s="45">
        <v>1.0449999999999999E-3</v>
      </c>
      <c r="GU14" s="45">
        <v>2.8195000000000001E-2</v>
      </c>
      <c r="GV14" s="45">
        <v>0.12807299999999999</v>
      </c>
      <c r="GW14" s="45">
        <v>0.15085599999999999</v>
      </c>
      <c r="GX14" s="45">
        <v>0.16325999999999999</v>
      </c>
      <c r="GY14" s="45">
        <v>0.15139</v>
      </c>
      <c r="GZ14" s="45">
        <v>0.119336</v>
      </c>
      <c r="HA14" s="45">
        <v>4.9777000000000002E-2</v>
      </c>
      <c r="HB14" s="45">
        <v>4.2472000000000003E-2</v>
      </c>
      <c r="HC14" s="45">
        <v>0.114622</v>
      </c>
      <c r="HD14" s="45">
        <v>0.106308</v>
      </c>
      <c r="HE14" s="45">
        <v>6.0539000000000003E-2</v>
      </c>
      <c r="HF14" s="45">
        <f t="shared" si="13"/>
        <v>1.1158729999999999</v>
      </c>
      <c r="HG14" s="45">
        <v>1.6456999999999999E-2</v>
      </c>
      <c r="HH14" s="45">
        <v>8.4799999999999997E-3</v>
      </c>
      <c r="HI14" s="45">
        <v>0.21510099999999999</v>
      </c>
      <c r="HJ14" s="45">
        <v>0.116262</v>
      </c>
      <c r="HK14" s="45"/>
      <c r="HL14" s="45"/>
      <c r="HM14" s="45"/>
      <c r="HN14" s="45"/>
      <c r="HO14" s="45"/>
      <c r="HP14" s="45"/>
      <c r="HQ14" s="45"/>
      <c r="HR14" s="45"/>
      <c r="HS14" s="283">
        <f t="shared" si="14"/>
        <v>0.30816900000000003</v>
      </c>
      <c r="HT14" s="283">
        <f t="shared" si="15"/>
        <v>0.35630000000000001</v>
      </c>
      <c r="HU14" s="280">
        <f t="shared" si="16"/>
        <v>4.8130999999999979E-2</v>
      </c>
      <c r="HV14" s="280">
        <f t="shared" si="17"/>
        <v>15.618378227530982</v>
      </c>
    </row>
    <row r="15" spans="1:230" s="12" customFormat="1" ht="20.5">
      <c r="A15" s="314" t="s">
        <v>111</v>
      </c>
      <c r="B15" s="13" t="s">
        <v>112</v>
      </c>
      <c r="C15" s="46" t="s">
        <v>113</v>
      </c>
      <c r="D15" s="42">
        <v>1.1465088417254312</v>
      </c>
      <c r="E15" s="42">
        <v>0.93515261723040843</v>
      </c>
      <c r="F15" s="42">
        <v>1.5749768071894869E-2</v>
      </c>
      <c r="G15" s="42">
        <v>0.15947831827934958</v>
      </c>
      <c r="H15" s="42">
        <v>4.6485222053374763E-2</v>
      </c>
      <c r="I15" s="42">
        <v>0.20963597247596769</v>
      </c>
      <c r="J15" s="42">
        <v>1.3676643843802825E-2</v>
      </c>
      <c r="K15" s="42">
        <v>2.1619114290755317E-2</v>
      </c>
      <c r="L15" s="42">
        <v>1.4721031752807326E-2</v>
      </c>
      <c r="M15" s="42">
        <v>7.0380931241142627E-2</v>
      </c>
      <c r="N15" s="42">
        <v>9.8286293191273813E-2</v>
      </c>
      <c r="O15" s="42">
        <v>7.0688271552239321E-2</v>
      </c>
      <c r="P15" s="42">
        <v>8.3491272104313577E-2</v>
      </c>
      <c r="Q15" s="42">
        <v>0.21143448244460761</v>
      </c>
      <c r="R15" s="42">
        <v>1.0156473213015293</v>
      </c>
      <c r="S15" s="42">
        <v>1.1580654065713911</v>
      </c>
      <c r="T15" s="42">
        <v>2.8663581880581215</v>
      </c>
      <c r="U15" s="42">
        <v>0.27763501630611093</v>
      </c>
      <c r="V15" s="42">
        <v>0.78057893808231038</v>
      </c>
      <c r="W15" s="42">
        <v>4.9289702392132088E-2</v>
      </c>
      <c r="X15" s="42">
        <v>0.26960290493508859</v>
      </c>
      <c r="Y15" s="42">
        <v>0.24918327158069675</v>
      </c>
      <c r="Z15" s="42">
        <v>9.1803689222030596E-2</v>
      </c>
      <c r="AA15" s="42">
        <v>5.859386116186021E-2</v>
      </c>
      <c r="AB15" s="42">
        <v>9.6262969476553925E-2</v>
      </c>
      <c r="AC15" s="42">
        <v>0.94223994171917058</v>
      </c>
      <c r="AD15" s="42">
        <v>0.959739842118144</v>
      </c>
      <c r="AE15" s="42">
        <v>0.37557982026283288</v>
      </c>
      <c r="AF15" s="42">
        <v>7.0168681453150521</v>
      </c>
      <c r="AG15" s="42">
        <v>6.994174762807269</v>
      </c>
      <c r="AH15" s="42">
        <v>0.20707764896044986</v>
      </c>
      <c r="AI15" s="42">
        <v>0.64720747178445204</v>
      </c>
      <c r="AJ15" s="42">
        <v>1.6131353834070381</v>
      </c>
      <c r="AK15" s="42">
        <v>1.0546098200920881</v>
      </c>
      <c r="AL15" s="42">
        <v>0.11243248473258548</v>
      </c>
      <c r="AM15" s="42">
        <v>-5.5561721333401634E-2</v>
      </c>
      <c r="AN15" s="42">
        <v>5.7987561254631457</v>
      </c>
      <c r="AO15" s="42">
        <v>1.2452291108189482</v>
      </c>
      <c r="AP15" s="42">
        <v>0.59042065782209552</v>
      </c>
      <c r="AQ15" s="42">
        <v>0.19047700354579652</v>
      </c>
      <c r="AR15" s="42">
        <v>0.30723644145451651</v>
      </c>
      <c r="AS15" s="42">
        <v>1.4757997962447569</v>
      </c>
      <c r="AT15" s="42">
        <v>13.186820222992472</v>
      </c>
      <c r="AU15" s="42">
        <v>13.282065839124421</v>
      </c>
      <c r="AV15" s="42">
        <v>0.37819799999999998</v>
      </c>
      <c r="AW15" s="42">
        <v>0.73556100000000002</v>
      </c>
      <c r="AX15" s="42">
        <v>0.52216499999999999</v>
      </c>
      <c r="AY15" s="42">
        <v>0.78961300000000001</v>
      </c>
      <c r="AZ15" s="42">
        <v>1.039803</v>
      </c>
      <c r="BA15" s="42">
        <v>0.17111199999999999</v>
      </c>
      <c r="BB15" s="42">
        <v>0.82447099999999995</v>
      </c>
      <c r="BC15" s="42">
        <v>1.0484880000000001</v>
      </c>
      <c r="BD15" s="42">
        <v>0.37740000000000001</v>
      </c>
      <c r="BE15" s="42">
        <v>0.34753299999999998</v>
      </c>
      <c r="BF15" s="42">
        <v>1.2541679999999999</v>
      </c>
      <c r="BG15" s="42">
        <v>1.577604</v>
      </c>
      <c r="BH15" s="45">
        <f t="shared" si="6"/>
        <v>9.0661159999999992</v>
      </c>
      <c r="BI15" s="45">
        <v>9.2910339999999998</v>
      </c>
      <c r="BJ15" s="42">
        <v>0.63063199999999997</v>
      </c>
      <c r="BK15" s="42">
        <v>0.505749</v>
      </c>
      <c r="BL15" s="42">
        <v>1.5786960000000001</v>
      </c>
      <c r="BM15" s="42">
        <v>0.55514699999999995</v>
      </c>
      <c r="BN15" s="42">
        <v>0.392065</v>
      </c>
      <c r="BO15" s="42">
        <v>1.9048020000000001</v>
      </c>
      <c r="BP15" s="42">
        <v>1.27691</v>
      </c>
      <c r="BQ15" s="42">
        <v>0.30427900000000002</v>
      </c>
      <c r="BR15" s="42">
        <v>0.84665500000000005</v>
      </c>
      <c r="BS15" s="42">
        <v>1.284648</v>
      </c>
      <c r="BT15" s="42">
        <v>1.0273000000000001</v>
      </c>
      <c r="BU15" s="42">
        <v>1.212269</v>
      </c>
      <c r="BV15" s="45">
        <f t="shared" si="7"/>
        <v>11.519152000000002</v>
      </c>
      <c r="BW15" s="45">
        <v>11.513316</v>
      </c>
      <c r="BX15" s="45">
        <v>0.65249800000000002</v>
      </c>
      <c r="BY15" s="45">
        <v>1.0274209999999999</v>
      </c>
      <c r="BZ15" s="45">
        <v>0.228411</v>
      </c>
      <c r="CA15" s="45">
        <v>0.19265699999999999</v>
      </c>
      <c r="CB15" s="45">
        <v>0.28139199999999998</v>
      </c>
      <c r="CC15" s="45">
        <v>0.44933099999999998</v>
      </c>
      <c r="CD15" s="45">
        <v>0.24099400000000001</v>
      </c>
      <c r="CE15" s="45">
        <v>0.27323399999999998</v>
      </c>
      <c r="CF15" s="45">
        <v>0.21581800000000001</v>
      </c>
      <c r="CG15" s="45">
        <v>0.32847900000000002</v>
      </c>
      <c r="CH15" s="45">
        <v>0.65886599999999995</v>
      </c>
      <c r="CI15" s="45">
        <v>1.073733</v>
      </c>
      <c r="CJ15" s="45">
        <f t="shared" si="8"/>
        <v>5.6228340000000001</v>
      </c>
      <c r="CK15" s="45">
        <v>5.660005</v>
      </c>
      <c r="CL15" s="45">
        <v>0.74237600000000004</v>
      </c>
      <c r="CM15" s="45">
        <v>0.38372699999999998</v>
      </c>
      <c r="CN15" s="45">
        <v>1.395821</v>
      </c>
      <c r="CO15" s="45">
        <v>2.204831</v>
      </c>
      <c r="CP15" s="45">
        <v>0.61828499999999997</v>
      </c>
      <c r="CQ15" s="45">
        <v>0.27200999999999997</v>
      </c>
      <c r="CR15" s="45">
        <v>1.080163</v>
      </c>
      <c r="CS15" s="45">
        <v>1.0201739999999999</v>
      </c>
      <c r="CT15" s="45">
        <v>5.147545</v>
      </c>
      <c r="CU15" s="45">
        <v>9.0789999999999996E-2</v>
      </c>
      <c r="CV15" s="45">
        <v>1.2523880000000001</v>
      </c>
      <c r="CW15" s="45">
        <v>1.904666</v>
      </c>
      <c r="CX15" s="45">
        <f t="shared" si="9"/>
        <v>16.112776</v>
      </c>
      <c r="CY15" s="45">
        <v>16.628364999999999</v>
      </c>
      <c r="CZ15" s="45">
        <v>2.1607069999999999</v>
      </c>
      <c r="DA15" s="45">
        <v>1.4852609999999999</v>
      </c>
      <c r="DB15" s="45">
        <v>1.0178990000000001</v>
      </c>
      <c r="DC15" s="45">
        <v>1.743619</v>
      </c>
      <c r="DD15" s="45">
        <v>0.68596400000000002</v>
      </c>
      <c r="DE15" s="45">
        <v>0.79920100000000005</v>
      </c>
      <c r="DF15" s="45">
        <v>1.361356</v>
      </c>
      <c r="DG15" s="45">
        <v>0.68081999999999998</v>
      </c>
      <c r="DH15" s="45">
        <v>0.89262900000000001</v>
      </c>
      <c r="DI15" s="45">
        <v>1.241981</v>
      </c>
      <c r="DJ15" s="45">
        <v>2.7980170000000002</v>
      </c>
      <c r="DK15" s="45">
        <v>4.6807460000000001</v>
      </c>
      <c r="DL15" s="45">
        <f t="shared" si="10"/>
        <v>19.548200000000001</v>
      </c>
      <c r="DM15" s="45">
        <v>19.562759</v>
      </c>
      <c r="DN15" s="45">
        <v>1.5608770000000001</v>
      </c>
      <c r="DO15" s="45">
        <v>1.5958030000000001</v>
      </c>
      <c r="DP15" s="45">
        <v>1.0739350000000001</v>
      </c>
      <c r="DQ15" s="45">
        <v>1.404188</v>
      </c>
      <c r="DR15" s="45">
        <v>1.469279</v>
      </c>
      <c r="DS15" s="45">
        <v>0.90505100000000005</v>
      </c>
      <c r="DT15" s="45">
        <v>1.0387869999999999</v>
      </c>
      <c r="DU15" s="45">
        <v>0.79645999999999995</v>
      </c>
      <c r="DV15" s="45">
        <v>2.733657</v>
      </c>
      <c r="DW15" s="45">
        <v>1.9506190000000001</v>
      </c>
      <c r="DX15" s="45">
        <v>1.051282</v>
      </c>
      <c r="DY15" s="45">
        <v>5.676863</v>
      </c>
      <c r="DZ15" s="45">
        <f t="shared" si="18"/>
        <v>21.256800999999999</v>
      </c>
      <c r="EA15" s="45">
        <v>21.873608000000001</v>
      </c>
      <c r="EB15" s="45">
        <v>1.06741</v>
      </c>
      <c r="EC15" s="45">
        <v>3.197336</v>
      </c>
      <c r="ED15" s="45">
        <v>0.79874599999999996</v>
      </c>
      <c r="EE15" s="45">
        <v>0.51446599999999998</v>
      </c>
      <c r="EF15" s="42">
        <v>1.5553239999999999</v>
      </c>
      <c r="EG15" s="45">
        <v>4.6970780000000003</v>
      </c>
      <c r="EH15" s="45">
        <v>1.129311</v>
      </c>
      <c r="EI15" s="42">
        <v>1.1114269999999999</v>
      </c>
      <c r="EJ15" s="45">
        <v>1.521973</v>
      </c>
      <c r="EK15" s="45">
        <v>2.3561009999999998</v>
      </c>
      <c r="EL15" s="45">
        <v>2.889958</v>
      </c>
      <c r="EM15" s="45">
        <v>4.6032070000000003</v>
      </c>
      <c r="EN15" s="45">
        <f t="shared" si="19"/>
        <v>25.442336999999998</v>
      </c>
      <c r="EO15" s="45">
        <v>25.726596000000001</v>
      </c>
      <c r="EP15" s="45">
        <v>0.886853</v>
      </c>
      <c r="EQ15" s="45">
        <v>0.68299799999999999</v>
      </c>
      <c r="ER15" s="45">
        <v>1.8675980000000001</v>
      </c>
      <c r="ES15" s="45">
        <v>1.6054139999999999</v>
      </c>
      <c r="ET15" s="45">
        <v>1.2635829999999999</v>
      </c>
      <c r="EU15" s="45">
        <v>2.9943529999999998</v>
      </c>
      <c r="EV15" s="45">
        <v>1.562594</v>
      </c>
      <c r="EW15" s="45">
        <v>1.573636</v>
      </c>
      <c r="EX15" s="45">
        <v>1.3319540000000001</v>
      </c>
      <c r="EY15" s="45">
        <v>1.7511410000000001</v>
      </c>
      <c r="EZ15" s="45">
        <v>1.382657</v>
      </c>
      <c r="FA15" s="45">
        <v>2.216631</v>
      </c>
      <c r="FB15" s="45">
        <f t="shared" si="20"/>
        <v>19.119412000000001</v>
      </c>
      <c r="FC15" s="45">
        <v>19.117813999999999</v>
      </c>
      <c r="FD15" s="45">
        <v>0.59223800000000004</v>
      </c>
      <c r="FE15" s="45">
        <v>0.99279200000000001</v>
      </c>
      <c r="FF15" s="45">
        <v>1.4193880000000001</v>
      </c>
      <c r="FG15" s="45">
        <v>1.0037959999999999</v>
      </c>
      <c r="FH15" s="45">
        <v>0.66898500000000005</v>
      </c>
      <c r="FI15" s="45">
        <v>1.024772</v>
      </c>
      <c r="FJ15" s="45">
        <v>0.925562</v>
      </c>
      <c r="FK15" s="45">
        <v>1.8653040000000001</v>
      </c>
      <c r="FL15" s="45">
        <v>3.9013140000000002</v>
      </c>
      <c r="FM15" s="45">
        <v>2.8329520000000001</v>
      </c>
      <c r="FN15" s="45">
        <v>3.3400840000000001</v>
      </c>
      <c r="FO15" s="45">
        <v>6.6131510000000002</v>
      </c>
      <c r="FP15" s="45">
        <f t="shared" si="21"/>
        <v>25.180337999999999</v>
      </c>
      <c r="FQ15" s="45">
        <v>25.271871000000001</v>
      </c>
      <c r="FR15" s="45">
        <v>1.2626740000000001</v>
      </c>
      <c r="FS15" s="45">
        <v>7.9521649999999999</v>
      </c>
      <c r="FT15" s="45">
        <v>1.558338</v>
      </c>
      <c r="FU15" s="45">
        <v>1.263083</v>
      </c>
      <c r="FV15" s="45">
        <v>2.5570970000000002</v>
      </c>
      <c r="FW15" s="45">
        <v>2.9874429999999998</v>
      </c>
      <c r="FX15" s="45">
        <v>2.0784579999999999</v>
      </c>
      <c r="FY15" s="45">
        <v>0.76787399999999995</v>
      </c>
      <c r="FZ15" s="45">
        <v>1.430364</v>
      </c>
      <c r="GA15" s="45">
        <v>2.2342490000000002</v>
      </c>
      <c r="GB15" s="45">
        <v>1.960688</v>
      </c>
      <c r="GC15" s="45">
        <v>11.052655</v>
      </c>
      <c r="GD15" s="45">
        <f t="shared" si="11"/>
        <v>37.105088000000002</v>
      </c>
      <c r="GE15" s="45">
        <v>37.106197000000002</v>
      </c>
      <c r="GF15" s="45">
        <v>1.720847</v>
      </c>
      <c r="GG15" s="45">
        <v>3.7907929999999999</v>
      </c>
      <c r="GH15" s="45">
        <v>2.6009389999999999</v>
      </c>
      <c r="GI15" s="45">
        <v>2.65896</v>
      </c>
      <c r="GJ15" s="45">
        <v>3.953694</v>
      </c>
      <c r="GK15" s="45">
        <v>19.524035000000001</v>
      </c>
      <c r="GL15" s="45">
        <v>2.9328069999999999</v>
      </c>
      <c r="GM15" s="45">
        <v>3.7020050000000002</v>
      </c>
      <c r="GN15" s="45">
        <v>1.5394760000000001</v>
      </c>
      <c r="GO15" s="45">
        <v>3.613721</v>
      </c>
      <c r="GP15" s="45">
        <v>2.583955</v>
      </c>
      <c r="GQ15" s="45">
        <v>3.2694459999999999</v>
      </c>
      <c r="GR15" s="45">
        <f t="shared" si="12"/>
        <v>51.890678000000001</v>
      </c>
      <c r="GS15" s="45">
        <v>51.860191</v>
      </c>
      <c r="GT15" s="45">
        <v>1.464607</v>
      </c>
      <c r="GU15" s="45">
        <v>0.927589</v>
      </c>
      <c r="GV15" s="45">
        <v>5.1980529999999998</v>
      </c>
      <c r="GW15" s="45">
        <v>3.4010669999999998</v>
      </c>
      <c r="GX15" s="45">
        <v>3.9070649999999998</v>
      </c>
      <c r="GY15" s="45">
        <v>2.7845599999999999</v>
      </c>
      <c r="GZ15" s="45">
        <v>4.7572590000000003</v>
      </c>
      <c r="HA15" s="45">
        <v>4.1800199999999998</v>
      </c>
      <c r="HB15" s="45">
        <v>1.9927919999999999</v>
      </c>
      <c r="HC15" s="45">
        <v>2.1474739999999999</v>
      </c>
      <c r="HD15" s="45">
        <v>3.9331420000000001</v>
      </c>
      <c r="HE15" s="45">
        <v>8.1469470000000008</v>
      </c>
      <c r="HF15" s="45">
        <f t="shared" si="13"/>
        <v>42.840575000000001</v>
      </c>
      <c r="HG15" s="45">
        <v>1.156612</v>
      </c>
      <c r="HH15" s="45">
        <v>1.9477230000000001</v>
      </c>
      <c r="HI15" s="45">
        <v>1.5005980000000001</v>
      </c>
      <c r="HJ15" s="45">
        <v>6.1387270000000003</v>
      </c>
      <c r="HK15" s="45"/>
      <c r="HL15" s="45"/>
      <c r="HM15" s="45"/>
      <c r="HN15" s="45"/>
      <c r="HO15" s="45"/>
      <c r="HP15" s="45"/>
      <c r="HQ15" s="45"/>
      <c r="HR15" s="45"/>
      <c r="HS15" s="283">
        <f t="shared" si="14"/>
        <v>10.991315999999999</v>
      </c>
      <c r="HT15" s="283">
        <f t="shared" si="15"/>
        <v>10.74366</v>
      </c>
      <c r="HU15" s="280">
        <f t="shared" si="16"/>
        <v>-0.24765599999999921</v>
      </c>
      <c r="HV15" s="280">
        <f t="shared" si="17"/>
        <v>-2.2531969784145787</v>
      </c>
    </row>
    <row r="16" spans="1:230" s="12" customFormat="1" ht="20.25" customHeight="1">
      <c r="A16" s="314"/>
      <c r="B16" s="13"/>
      <c r="C16" s="46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320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5"/>
      <c r="BI16" s="139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>
        <f t="shared" si="8"/>
        <v>0</v>
      </c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>
        <f t="shared" si="9"/>
        <v>0</v>
      </c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>
        <f t="shared" si="10"/>
        <v>0</v>
      </c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183"/>
      <c r="EG16" s="45"/>
      <c r="EH16" s="45"/>
      <c r="EI16" s="42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283"/>
      <c r="HT16" s="283"/>
      <c r="HU16" s="280"/>
      <c r="HV16" s="280"/>
    </row>
    <row r="17" spans="1:230" s="12" customFormat="1" ht="21" customHeight="1">
      <c r="A17" s="53" t="s">
        <v>114</v>
      </c>
      <c r="B17" s="13"/>
      <c r="C17" s="53" t="s">
        <v>115</v>
      </c>
      <c r="D17" s="53">
        <v>220.84389531078369</v>
      </c>
      <c r="E17" s="53">
        <v>266.21508813264791</v>
      </c>
      <c r="F17" s="53">
        <v>16.052439940580872</v>
      </c>
      <c r="G17" s="53">
        <v>21.227770473702485</v>
      </c>
      <c r="H17" s="53">
        <v>25.281197887319937</v>
      </c>
      <c r="I17" s="53">
        <v>24.652204597583399</v>
      </c>
      <c r="J17" s="53">
        <v>25.39918241785761</v>
      </c>
      <c r="K17" s="53">
        <v>30.304121775061045</v>
      </c>
      <c r="L17" s="53">
        <v>29.210461238126136</v>
      </c>
      <c r="M17" s="53">
        <v>20.839539900171314</v>
      </c>
      <c r="N17" s="53">
        <v>24.229684236287785</v>
      </c>
      <c r="O17" s="53">
        <v>25.996081411033519</v>
      </c>
      <c r="P17" s="53">
        <v>27.115494504869069</v>
      </c>
      <c r="Q17" s="53">
        <v>41.918472290994359</v>
      </c>
      <c r="R17" s="53">
        <v>312.22493326731205</v>
      </c>
      <c r="S17" s="53">
        <v>313.32608688919248</v>
      </c>
      <c r="T17" s="53">
        <v>21.422708180374613</v>
      </c>
      <c r="U17" s="53">
        <v>25.745728538824483</v>
      </c>
      <c r="V17" s="53">
        <v>31.433440902442221</v>
      </c>
      <c r="W17" s="53">
        <v>27.693735379992152</v>
      </c>
      <c r="X17" s="53">
        <v>28.751454174990467</v>
      </c>
      <c r="Y17" s="53">
        <v>33.479366935874012</v>
      </c>
      <c r="Z17" s="53">
        <v>31.472073294972709</v>
      </c>
      <c r="AA17" s="53">
        <v>25.480684515170662</v>
      </c>
      <c r="AB17" s="53">
        <v>25.977844463036629</v>
      </c>
      <c r="AC17" s="53">
        <v>35.827335928651515</v>
      </c>
      <c r="AD17" s="53">
        <v>36.290990091120719</v>
      </c>
      <c r="AE17" s="53">
        <v>40.623271922185978</v>
      </c>
      <c r="AF17" s="53">
        <v>364.19863432763611</v>
      </c>
      <c r="AG17" s="53">
        <v>359.15625076132204</v>
      </c>
      <c r="AH17" s="53">
        <v>24.297728812015865</v>
      </c>
      <c r="AI17" s="53">
        <v>27.8177386582888</v>
      </c>
      <c r="AJ17" s="53">
        <v>27.390574043403284</v>
      </c>
      <c r="AK17" s="53">
        <v>28.947989766705938</v>
      </c>
      <c r="AL17" s="53">
        <v>29.626787838430062</v>
      </c>
      <c r="AM17" s="53">
        <v>31.507245263259744</v>
      </c>
      <c r="AN17" s="53">
        <v>33.723466286475322</v>
      </c>
      <c r="AO17" s="53">
        <v>24.824588363185182</v>
      </c>
      <c r="AP17" s="53">
        <v>26.871499023909941</v>
      </c>
      <c r="AQ17" s="53">
        <v>28.931854400373361</v>
      </c>
      <c r="AR17" s="53">
        <v>30.722239770974554</v>
      </c>
      <c r="AS17" s="53">
        <v>41.760432496115556</v>
      </c>
      <c r="AT17" s="53">
        <v>356.42214472313754</v>
      </c>
      <c r="AU17" s="53">
        <v>351.38018138683793</v>
      </c>
      <c r="AV17" s="53">
        <f>AV18+AV37</f>
        <v>18.073978</v>
      </c>
      <c r="AW17" s="53">
        <f>AW18+AW37</f>
        <v>24.522147000000004</v>
      </c>
      <c r="AX17" s="53">
        <f t="shared" ref="AX17:BE17" si="24">AX18+AX37</f>
        <v>26.406860999999999</v>
      </c>
      <c r="AY17" s="53">
        <f t="shared" si="24"/>
        <v>29.380551000000001</v>
      </c>
      <c r="AZ17" s="53">
        <f t="shared" si="24"/>
        <v>23.542108999999996</v>
      </c>
      <c r="BA17" s="53">
        <f t="shared" si="24"/>
        <v>28.630167999999998</v>
      </c>
      <c r="BB17" s="53">
        <f t="shared" si="24"/>
        <v>29.727390000000007</v>
      </c>
      <c r="BC17" s="53">
        <f t="shared" si="24"/>
        <v>21.467078000000001</v>
      </c>
      <c r="BD17" s="53">
        <f t="shared" si="24"/>
        <v>25.162288</v>
      </c>
      <c r="BE17" s="53">
        <f t="shared" si="24"/>
        <v>33.282040000000002</v>
      </c>
      <c r="BF17" s="53">
        <f>BF18+BF37</f>
        <v>31.453990000000001</v>
      </c>
      <c r="BG17" s="53">
        <f>BG18+BG37</f>
        <v>41.497771</v>
      </c>
      <c r="BH17" s="54">
        <f t="shared" si="6"/>
        <v>333.14637099999999</v>
      </c>
      <c r="BI17" s="54">
        <f>BI18+BI37+BI45</f>
        <v>326.60591200000005</v>
      </c>
      <c r="BJ17" s="53">
        <f>BJ18+BJ37</f>
        <v>21.970688000000003</v>
      </c>
      <c r="BK17" s="53">
        <v>29.073903000000001</v>
      </c>
      <c r="BL17" s="53">
        <v>29.743855</v>
      </c>
      <c r="BM17" s="53">
        <v>27.767295999999998</v>
      </c>
      <c r="BN17" s="53">
        <v>30.713571000000005</v>
      </c>
      <c r="BO17" s="53">
        <v>36.953662999999999</v>
      </c>
      <c r="BP17" s="53">
        <v>32.250301</v>
      </c>
      <c r="BQ17" s="53">
        <v>27.105819000000004</v>
      </c>
      <c r="BR17" s="53">
        <v>29.622095000000002</v>
      </c>
      <c r="BS17" s="53">
        <v>30.030343000000002</v>
      </c>
      <c r="BT17" s="53">
        <v>41.088112000000002</v>
      </c>
      <c r="BU17" s="53">
        <v>55.078294999999997</v>
      </c>
      <c r="BV17" s="54">
        <f t="shared" si="7"/>
        <v>391.39794100000006</v>
      </c>
      <c r="BW17" s="54">
        <f>BW18+BW37+BW45</f>
        <v>382.53698300000002</v>
      </c>
      <c r="BX17" s="54">
        <v>15.378524000000004</v>
      </c>
      <c r="BY17" s="54">
        <v>23.024225000000001</v>
      </c>
      <c r="BZ17" s="54">
        <v>24.67933</v>
      </c>
      <c r="CA17" s="54">
        <v>24.625505000000004</v>
      </c>
      <c r="CB17" s="54">
        <v>23.611096999999997</v>
      </c>
      <c r="CC17" s="54">
        <v>23.320263000000001</v>
      </c>
      <c r="CD17" s="54">
        <v>26.813921000000001</v>
      </c>
      <c r="CE17" s="54">
        <v>17.810817</v>
      </c>
      <c r="CF17" s="54">
        <v>18.811783000000002</v>
      </c>
      <c r="CG17" s="54">
        <v>22.020208000000004</v>
      </c>
      <c r="CH17" s="54">
        <v>24.493327000000001</v>
      </c>
      <c r="CI17" s="54">
        <v>40.428570999999998</v>
      </c>
      <c r="CJ17" s="54">
        <f t="shared" si="8"/>
        <v>285.01757099999998</v>
      </c>
      <c r="CK17" s="54">
        <f>CK18+CK37+CK45</f>
        <v>281.84762599999999</v>
      </c>
      <c r="CL17" s="54">
        <v>13.679723999999998</v>
      </c>
      <c r="CM17" s="54">
        <v>23.122557</v>
      </c>
      <c r="CN17" s="54">
        <v>25.435431999999999</v>
      </c>
      <c r="CO17" s="54">
        <v>27.803820000000002</v>
      </c>
      <c r="CP17" s="54">
        <v>25.241027999999996</v>
      </c>
      <c r="CQ17" s="54">
        <v>27.893128000000001</v>
      </c>
      <c r="CR17" s="54">
        <v>28.322586999999999</v>
      </c>
      <c r="CS17" s="54">
        <v>24.558374999999998</v>
      </c>
      <c r="CT17" s="54">
        <v>27.105074000000002</v>
      </c>
      <c r="CU17" s="54">
        <v>26.764417999999999</v>
      </c>
      <c r="CV17" s="54">
        <v>31.252018999999997</v>
      </c>
      <c r="CW17" s="54">
        <v>49.079813000000001</v>
      </c>
      <c r="CX17" s="54">
        <f t="shared" si="9"/>
        <v>330.25797499999999</v>
      </c>
      <c r="CY17" s="54">
        <f>CY18+CY37+CY45</f>
        <v>327.11299500000001</v>
      </c>
      <c r="CZ17" s="54">
        <v>17.853525999999999</v>
      </c>
      <c r="DA17" s="54">
        <v>29.406081</v>
      </c>
      <c r="DB17" s="54">
        <v>30.9373</v>
      </c>
      <c r="DC17" s="54">
        <v>32.382959</v>
      </c>
      <c r="DD17" s="54">
        <v>32.435268000000001</v>
      </c>
      <c r="DE17" s="54">
        <v>34.394433999999997</v>
      </c>
      <c r="DF17" s="54">
        <v>35.384087000000001</v>
      </c>
      <c r="DG17" s="54">
        <v>29.474461999999999</v>
      </c>
      <c r="DH17" s="54">
        <v>26.507383999999998</v>
      </c>
      <c r="DI17" s="54">
        <v>36.981060999999997</v>
      </c>
      <c r="DJ17" s="54">
        <v>34.577950999999999</v>
      </c>
      <c r="DK17" s="54">
        <v>57.934215000000002</v>
      </c>
      <c r="DL17" s="54">
        <f t="shared" si="10"/>
        <v>398.26872799999995</v>
      </c>
      <c r="DM17" s="54">
        <f>DM18+DM37+DM45</f>
        <v>392.09190500000011</v>
      </c>
      <c r="DN17" s="54">
        <v>21.07301</v>
      </c>
      <c r="DO17" s="54">
        <v>37.034705000000002</v>
      </c>
      <c r="DP17" s="54">
        <v>35.502125999999997</v>
      </c>
      <c r="DQ17" s="54">
        <v>40.968187</v>
      </c>
      <c r="DR17" s="54">
        <v>35.59355</v>
      </c>
      <c r="DS17" s="54">
        <v>34.997112000000001</v>
      </c>
      <c r="DT17" s="54">
        <v>45.497782999999998</v>
      </c>
      <c r="DU17" s="54">
        <v>30.68995</v>
      </c>
      <c r="DV17" s="54">
        <v>34.777323000000003</v>
      </c>
      <c r="DW17" s="54">
        <v>39.239305000000002</v>
      </c>
      <c r="DX17" s="54">
        <v>37.773204999999997</v>
      </c>
      <c r="DY17" s="54">
        <v>55.583523</v>
      </c>
      <c r="DZ17" s="54">
        <f t="shared" si="18"/>
        <v>448.72977900000001</v>
      </c>
      <c r="EA17" s="54">
        <f>EA18+EA37+EA45</f>
        <v>440.97121800000002</v>
      </c>
      <c r="EB17" s="54">
        <v>26.573658999999999</v>
      </c>
      <c r="EC17" s="54">
        <v>36.354331999999999</v>
      </c>
      <c r="ED17" s="54">
        <v>35.557107000000002</v>
      </c>
      <c r="EE17" s="54">
        <v>37.210735</v>
      </c>
      <c r="EF17" s="53">
        <v>31.527172</v>
      </c>
      <c r="EG17" s="54">
        <v>36.829807000000002</v>
      </c>
      <c r="EH17" s="54">
        <v>46.976317000000002</v>
      </c>
      <c r="EI17" s="53">
        <v>30.555054999999999</v>
      </c>
      <c r="EJ17" s="54">
        <v>35.385002999999998</v>
      </c>
      <c r="EK17" s="54">
        <v>41.825924999999998</v>
      </c>
      <c r="EL17" s="54">
        <v>37.013373999999999</v>
      </c>
      <c r="EM17" s="54">
        <v>62.310003999999999</v>
      </c>
      <c r="EN17" s="54">
        <f t="shared" si="19"/>
        <v>458.11848999999995</v>
      </c>
      <c r="EO17" s="54">
        <f>EO18+EO37+EO45</f>
        <v>443.10112400000003</v>
      </c>
      <c r="EP17" s="54">
        <v>18.753281000000001</v>
      </c>
      <c r="EQ17" s="54">
        <v>34.068139000000002</v>
      </c>
      <c r="ER17" s="54">
        <v>37.925463999999998</v>
      </c>
      <c r="ES17" s="54">
        <v>41.418382000000001</v>
      </c>
      <c r="ET17" s="54">
        <v>39.157755999999999</v>
      </c>
      <c r="EU17" s="54">
        <v>41.320962999999999</v>
      </c>
      <c r="EV17" s="54">
        <v>46.355812999999998</v>
      </c>
      <c r="EW17" s="54">
        <v>37.845182000000001</v>
      </c>
      <c r="EX17" s="54">
        <v>34.881641000000002</v>
      </c>
      <c r="EY17" s="54">
        <v>42.215431000000002</v>
      </c>
      <c r="EZ17" s="54">
        <v>43.410739999999997</v>
      </c>
      <c r="FA17" s="54">
        <v>67.516074000000003</v>
      </c>
      <c r="FB17" s="54">
        <f t="shared" si="20"/>
        <v>484.86886600000003</v>
      </c>
      <c r="FC17" s="54">
        <f>FC18+FC37+FC45</f>
        <v>481.94306899999998</v>
      </c>
      <c r="FD17" s="54">
        <v>24.706645999999999</v>
      </c>
      <c r="FE17" s="54">
        <v>37.649202000000002</v>
      </c>
      <c r="FF17" s="54">
        <v>49.873550000000002</v>
      </c>
      <c r="FG17" s="54">
        <v>41.297640000000001</v>
      </c>
      <c r="FH17" s="54">
        <v>43.021650999999999</v>
      </c>
      <c r="FI17" s="54">
        <v>43.317864</v>
      </c>
      <c r="FJ17" s="54">
        <v>47.795144999999998</v>
      </c>
      <c r="FK17" s="54">
        <v>38.931930999999999</v>
      </c>
      <c r="FL17" s="54">
        <v>40.317883999999999</v>
      </c>
      <c r="FM17" s="54">
        <v>49.571691999999999</v>
      </c>
      <c r="FN17" s="54">
        <v>47.472352999999998</v>
      </c>
      <c r="FO17" s="54">
        <v>74.609727000000007</v>
      </c>
      <c r="FP17" s="54">
        <f t="shared" si="21"/>
        <v>538.56528500000002</v>
      </c>
      <c r="FQ17" s="54">
        <f>FQ18+FQ37+FQ45</f>
        <v>531.66303000000005</v>
      </c>
      <c r="FR17" s="54">
        <v>31.32413</v>
      </c>
      <c r="FS17" s="54">
        <v>44.7072</v>
      </c>
      <c r="FT17" s="54">
        <v>50.304685999999997</v>
      </c>
      <c r="FU17" s="54">
        <v>48.678803000000002</v>
      </c>
      <c r="FV17" s="54">
        <v>46.815215999999999</v>
      </c>
      <c r="FW17" s="54">
        <v>51.987625000000001</v>
      </c>
      <c r="FX17" s="54">
        <v>50.589739000000002</v>
      </c>
      <c r="FY17" s="54">
        <v>43.659604000000002</v>
      </c>
      <c r="FZ17" s="54">
        <v>42.063215</v>
      </c>
      <c r="GA17" s="54">
        <v>51.558227000000002</v>
      </c>
      <c r="GB17" s="54">
        <v>57.036990000000003</v>
      </c>
      <c r="GC17" s="54">
        <v>81.843768999999995</v>
      </c>
      <c r="GD17" s="54">
        <f t="shared" si="11"/>
        <v>600.56920400000001</v>
      </c>
      <c r="GE17" s="54">
        <f>GE18+GE37+GE45</f>
        <v>590.94931399999996</v>
      </c>
      <c r="GF17" s="54">
        <v>34.707019000000003</v>
      </c>
      <c r="GG17" s="54">
        <v>52.074568999999997</v>
      </c>
      <c r="GH17" s="54">
        <v>48.310515000000002</v>
      </c>
      <c r="GI17" s="54">
        <v>48.571444</v>
      </c>
      <c r="GJ17" s="54">
        <v>46.213296999999997</v>
      </c>
      <c r="GK17" s="54">
        <v>49.595506999999998</v>
      </c>
      <c r="GL17" s="54">
        <v>55.514637999999998</v>
      </c>
      <c r="GM17" s="54">
        <v>43.418877000000002</v>
      </c>
      <c r="GN17" s="54">
        <v>40.745403000000003</v>
      </c>
      <c r="GO17" s="54">
        <v>61.279165999999996</v>
      </c>
      <c r="GP17" s="54">
        <v>57.294373999999998</v>
      </c>
      <c r="GQ17" s="54">
        <v>79.098274000000004</v>
      </c>
      <c r="GR17" s="54">
        <f t="shared" si="12"/>
        <v>616.823083</v>
      </c>
      <c r="GS17" s="54">
        <f>GS18+GS37+GS45</f>
        <v>601.79522799999995</v>
      </c>
      <c r="GT17" s="54">
        <v>32.237403999999998</v>
      </c>
      <c r="GU17" s="54">
        <v>47.929234000000001</v>
      </c>
      <c r="GV17" s="54">
        <v>52.829484000000001</v>
      </c>
      <c r="GW17" s="54">
        <v>60.216622999999998</v>
      </c>
      <c r="GX17" s="54">
        <v>47.584406000000001</v>
      </c>
      <c r="GY17" s="54">
        <v>56.865924999999997</v>
      </c>
      <c r="GZ17" s="54">
        <v>59.339002000000001</v>
      </c>
      <c r="HA17" s="54">
        <v>52.329686000000002</v>
      </c>
      <c r="HB17" s="54">
        <v>53.107196000000002</v>
      </c>
      <c r="HC17" s="54">
        <v>62.867863</v>
      </c>
      <c r="HD17" s="54">
        <v>59.089517000000001</v>
      </c>
      <c r="HE17" s="54">
        <v>96.689682000000005</v>
      </c>
      <c r="HF17" s="54">
        <f t="shared" si="13"/>
        <v>681.08602199999996</v>
      </c>
      <c r="HG17" s="54">
        <v>34.219792000000005</v>
      </c>
      <c r="HH17" s="54">
        <v>59.087788000000003</v>
      </c>
      <c r="HI17" s="54">
        <v>62.333331999999999</v>
      </c>
      <c r="HJ17" s="54">
        <v>71.545095000000003</v>
      </c>
      <c r="HK17" s="54"/>
      <c r="HL17" s="54"/>
      <c r="HM17" s="54"/>
      <c r="HN17" s="54"/>
      <c r="HO17" s="54"/>
      <c r="HP17" s="54"/>
      <c r="HQ17" s="54"/>
      <c r="HR17" s="54"/>
      <c r="HS17" s="284">
        <f t="shared" si="14"/>
        <v>193.21274500000001</v>
      </c>
      <c r="HT17" s="284">
        <f t="shared" si="15"/>
        <v>227.18600699999999</v>
      </c>
      <c r="HU17" s="279">
        <f t="shared" si="16"/>
        <v>33.973261999999977</v>
      </c>
      <c r="HV17" s="279">
        <f t="shared" si="17"/>
        <v>17.583344204338076</v>
      </c>
    </row>
    <row r="18" spans="1:230" s="12" customFormat="1" ht="20.5">
      <c r="A18" s="42" t="s">
        <v>116</v>
      </c>
      <c r="B18" s="13" t="s">
        <v>28</v>
      </c>
      <c r="C18" s="42" t="s">
        <v>117</v>
      </c>
      <c r="D18" s="42">
        <v>210.02988742238236</v>
      </c>
      <c r="E18" s="42">
        <v>256.52898924872949</v>
      </c>
      <c r="F18" s="42">
        <v>15.367916232690764</v>
      </c>
      <c r="G18" s="42">
        <v>19.967443270100912</v>
      </c>
      <c r="H18" s="42">
        <v>24.226824263948412</v>
      </c>
      <c r="I18" s="42">
        <v>21.940431471647862</v>
      </c>
      <c r="J18" s="42">
        <v>23.126873210738697</v>
      </c>
      <c r="K18" s="42">
        <v>25.493756438494945</v>
      </c>
      <c r="L18" s="42">
        <v>26.23899693228838</v>
      </c>
      <c r="M18" s="42">
        <v>16.558145656541512</v>
      </c>
      <c r="N18" s="42">
        <v>21.259629996414361</v>
      </c>
      <c r="O18" s="42">
        <v>21.773268222719278</v>
      </c>
      <c r="P18" s="42">
        <v>23.423283020586112</v>
      </c>
      <c r="Q18" s="42">
        <v>33.642547566604627</v>
      </c>
      <c r="R18" s="42">
        <v>273.01911628277588</v>
      </c>
      <c r="S18" s="42">
        <v>272.91353203749162</v>
      </c>
      <c r="T18" s="42">
        <v>19.320467726421594</v>
      </c>
      <c r="U18" s="42">
        <v>24.060605801902096</v>
      </c>
      <c r="V18" s="42">
        <v>23.817684589159999</v>
      </c>
      <c r="W18" s="42">
        <v>25.492646598482654</v>
      </c>
      <c r="X18" s="42">
        <v>25.15102076823695</v>
      </c>
      <c r="Y18" s="42">
        <v>28.811261745806799</v>
      </c>
      <c r="Z18" s="42">
        <v>27.001730212121732</v>
      </c>
      <c r="AA18" s="42">
        <v>19.343173914775669</v>
      </c>
      <c r="AB18" s="42">
        <v>20.542118428466541</v>
      </c>
      <c r="AC18" s="42">
        <v>26.193659967786186</v>
      </c>
      <c r="AD18" s="42">
        <v>26.944176470253446</v>
      </c>
      <c r="AE18" s="42">
        <v>32.237996653405496</v>
      </c>
      <c r="AF18" s="42">
        <v>298.91654287681916</v>
      </c>
      <c r="AG18" s="42">
        <v>293.86131646954249</v>
      </c>
      <c r="AH18" s="42">
        <v>19.231421562768567</v>
      </c>
      <c r="AI18" s="42">
        <v>22.292102776876629</v>
      </c>
      <c r="AJ18" s="42">
        <v>23.554326668601774</v>
      </c>
      <c r="AK18" s="42">
        <v>25.74959305866216</v>
      </c>
      <c r="AL18" s="42">
        <v>24.734298609569667</v>
      </c>
      <c r="AM18" s="42">
        <v>26.699073995025643</v>
      </c>
      <c r="AN18" s="42">
        <v>27.638562102663048</v>
      </c>
      <c r="AO18" s="42">
        <v>20.980781270453782</v>
      </c>
      <c r="AP18" s="42">
        <v>20.256708840587134</v>
      </c>
      <c r="AQ18" s="42">
        <v>22.539311102384165</v>
      </c>
      <c r="AR18" s="42">
        <v>25.944875100312458</v>
      </c>
      <c r="AS18" s="42">
        <v>36.705217955503954</v>
      </c>
      <c r="AT18" s="42">
        <v>296.32627304340895</v>
      </c>
      <c r="AU18" s="42">
        <v>291.743920067891</v>
      </c>
      <c r="AV18" s="42">
        <f>AV19+AV24+AV25+AV29+AV33+AV35</f>
        <v>15.141988</v>
      </c>
      <c r="AW18" s="42">
        <f>AW19+AW24+AW25+AW29+AW33+AW35</f>
        <v>20.880767000000002</v>
      </c>
      <c r="AX18" s="42">
        <f t="shared" ref="AX18:BE18" si="25">AX19+AX24+AX25+AX29+AX33+AX35</f>
        <v>22.525198</v>
      </c>
      <c r="AY18" s="42">
        <f t="shared" si="25"/>
        <v>23.5487</v>
      </c>
      <c r="AZ18" s="42">
        <f t="shared" si="25"/>
        <v>19.805404999999997</v>
      </c>
      <c r="BA18" s="42">
        <f t="shared" si="25"/>
        <v>24.070313999999996</v>
      </c>
      <c r="BB18" s="42">
        <f t="shared" si="25"/>
        <v>23.072632000000006</v>
      </c>
      <c r="BC18" s="42">
        <f t="shared" si="25"/>
        <v>15.974134000000001</v>
      </c>
      <c r="BD18" s="42">
        <f t="shared" si="25"/>
        <v>20.306554999999999</v>
      </c>
      <c r="BE18" s="42">
        <f t="shared" si="25"/>
        <v>22.723835000000001</v>
      </c>
      <c r="BF18" s="42">
        <f>BF19+BF24+BF25+BF29+BF33+BF35</f>
        <v>25.282654000000001</v>
      </c>
      <c r="BG18" s="42">
        <f>BG19+BG24+BG25+BG29+BG33+BG35</f>
        <v>32.156205</v>
      </c>
      <c r="BH18" s="45">
        <f t="shared" si="6"/>
        <v>265.48838699999999</v>
      </c>
      <c r="BI18" s="45">
        <f>BI19+BI24+BI25+BI29+BI33+BI35+BI36</f>
        <v>259.05965900000007</v>
      </c>
      <c r="BJ18" s="42">
        <f>BJ19+BJ24+BJ25+BJ29+BJ33+BJ35</f>
        <v>17.471419000000001</v>
      </c>
      <c r="BK18" s="42">
        <v>22.076167000000002</v>
      </c>
      <c r="BL18" s="42">
        <v>24.678728</v>
      </c>
      <c r="BM18" s="42">
        <v>23.145983999999999</v>
      </c>
      <c r="BN18" s="42">
        <v>23.347069000000005</v>
      </c>
      <c r="BO18" s="42">
        <v>26.890149999999998</v>
      </c>
      <c r="BP18" s="42">
        <v>25.140077999999999</v>
      </c>
      <c r="BQ18" s="42">
        <v>19.101870000000002</v>
      </c>
      <c r="BR18" s="42">
        <v>20.500247999999999</v>
      </c>
      <c r="BS18" s="42">
        <v>22.901111</v>
      </c>
      <c r="BT18" s="42">
        <v>24.201651999999999</v>
      </c>
      <c r="BU18" s="42">
        <v>40.023764</v>
      </c>
      <c r="BV18" s="45">
        <f t="shared" si="7"/>
        <v>289.47823999999997</v>
      </c>
      <c r="BW18" s="45">
        <f>BW19+BW24+BW25+BW29+BW33+BW35+BW36</f>
        <v>281.10556100000002</v>
      </c>
      <c r="BX18" s="45">
        <v>14.167897000000004</v>
      </c>
      <c r="BY18" s="45">
        <v>21.055152</v>
      </c>
      <c r="BZ18" s="45">
        <v>22.009260999999999</v>
      </c>
      <c r="CA18" s="45">
        <v>21.764502000000004</v>
      </c>
      <c r="CB18" s="45">
        <v>21.702804999999998</v>
      </c>
      <c r="CC18" s="45">
        <v>22.477792000000001</v>
      </c>
      <c r="CD18" s="45">
        <v>25.991699000000001</v>
      </c>
      <c r="CE18" s="45">
        <v>16.663474000000001</v>
      </c>
      <c r="CF18" s="45">
        <v>17.381445000000003</v>
      </c>
      <c r="CG18" s="45">
        <v>20.640095000000002</v>
      </c>
      <c r="CH18" s="45">
        <v>22.283896000000002</v>
      </c>
      <c r="CI18" s="45">
        <v>37.309939</v>
      </c>
      <c r="CJ18" s="45">
        <f t="shared" si="8"/>
        <v>263.44795700000003</v>
      </c>
      <c r="CK18" s="45">
        <f>CK19+CK24+CK25+CK29+CK33+CK35+CK36</f>
        <v>260.14760999999999</v>
      </c>
      <c r="CL18" s="45">
        <v>12.935685999999999</v>
      </c>
      <c r="CM18" s="45">
        <v>21.943172000000001</v>
      </c>
      <c r="CN18" s="45">
        <v>23.805703999999999</v>
      </c>
      <c r="CO18" s="45">
        <v>26.705583000000001</v>
      </c>
      <c r="CP18" s="45">
        <v>24.270716999999998</v>
      </c>
      <c r="CQ18" s="45">
        <v>26.604165999999999</v>
      </c>
      <c r="CR18" s="45">
        <v>26.731047</v>
      </c>
      <c r="CS18" s="45">
        <v>19.416450999999999</v>
      </c>
      <c r="CT18" s="45">
        <v>22.806416000000002</v>
      </c>
      <c r="CU18" s="45">
        <v>23.477744999999999</v>
      </c>
      <c r="CV18" s="45">
        <v>27.094424999999998</v>
      </c>
      <c r="CW18" s="45">
        <v>39.908541000000007</v>
      </c>
      <c r="CX18" s="45">
        <f t="shared" si="9"/>
        <v>295.69965300000001</v>
      </c>
      <c r="CY18" s="45">
        <f>CY19+CY24+CY25+CY29+CY33+CY35+CY36</f>
        <v>292.81524300000001</v>
      </c>
      <c r="CZ18" s="45">
        <v>15.128871999999999</v>
      </c>
      <c r="DA18" s="45">
        <v>24.836915999999999</v>
      </c>
      <c r="DB18" s="45">
        <v>26.655657999999999</v>
      </c>
      <c r="DC18" s="45">
        <v>28.649405999999999</v>
      </c>
      <c r="DD18" s="45">
        <v>27.723213999999999</v>
      </c>
      <c r="DE18" s="45">
        <v>29.891425999999999</v>
      </c>
      <c r="DF18" s="45">
        <v>31.015515000000001</v>
      </c>
      <c r="DG18" s="45">
        <v>23.021895000000001</v>
      </c>
      <c r="DH18" s="45">
        <v>21.762284000000001</v>
      </c>
      <c r="DI18" s="45">
        <v>26.998553999999999</v>
      </c>
      <c r="DJ18" s="45">
        <v>29.324325999999999</v>
      </c>
      <c r="DK18" s="45">
        <v>44.817200999999997</v>
      </c>
      <c r="DL18" s="45">
        <f t="shared" si="10"/>
        <v>329.825267</v>
      </c>
      <c r="DM18" s="45">
        <f>DM19+DM24+DM25+DM29+DM33+DM35+DM36</f>
        <v>323.60119400000008</v>
      </c>
      <c r="DN18" s="45">
        <v>17.614571999999999</v>
      </c>
      <c r="DO18" s="45">
        <v>29.077591999999999</v>
      </c>
      <c r="DP18" s="45">
        <v>30.811422</v>
      </c>
      <c r="DQ18" s="45">
        <v>31.346402999999999</v>
      </c>
      <c r="DR18" s="45">
        <v>30.938112</v>
      </c>
      <c r="DS18" s="45">
        <v>32.176844000000003</v>
      </c>
      <c r="DT18" s="45">
        <v>38.830033</v>
      </c>
      <c r="DU18" s="45">
        <v>26.356037000000001</v>
      </c>
      <c r="DV18" s="45">
        <v>26.787303999999999</v>
      </c>
      <c r="DW18" s="45">
        <v>33.616695999999997</v>
      </c>
      <c r="DX18" s="45">
        <v>33.193885000000002</v>
      </c>
      <c r="DY18" s="45">
        <v>46.886985000000003</v>
      </c>
      <c r="DZ18" s="45">
        <f t="shared" si="18"/>
        <v>377.63588500000003</v>
      </c>
      <c r="EA18" s="45">
        <f>EA19+EA24+EA25+EA29+EA33+EA35+EA36</f>
        <v>369.74695300000002</v>
      </c>
      <c r="EB18" s="45">
        <v>21.533650000000002</v>
      </c>
      <c r="EC18" s="45">
        <v>33.041739999999997</v>
      </c>
      <c r="ED18" s="45">
        <v>31.468170000000001</v>
      </c>
      <c r="EE18" s="45">
        <v>31.994574</v>
      </c>
      <c r="EF18" s="42">
        <v>27.366247999999999</v>
      </c>
      <c r="EG18" s="45">
        <v>30.999893</v>
      </c>
      <c r="EH18" s="45">
        <v>40.877527999999998</v>
      </c>
      <c r="EI18" s="42">
        <v>26.008474</v>
      </c>
      <c r="EJ18" s="45">
        <v>29.090519</v>
      </c>
      <c r="EK18" s="45">
        <v>35.853546000000001</v>
      </c>
      <c r="EL18" s="45">
        <v>33.144381000000003</v>
      </c>
      <c r="EM18" s="45">
        <v>55.741750000000003</v>
      </c>
      <c r="EN18" s="45">
        <f t="shared" si="19"/>
        <v>397.120473</v>
      </c>
      <c r="EO18" s="45">
        <f>EO19+EO24+EO25+EO29+EO33+EO35+EO36</f>
        <v>381.85528100000005</v>
      </c>
      <c r="EP18" s="45">
        <v>16.613841000000001</v>
      </c>
      <c r="EQ18" s="45">
        <v>30.392759999999999</v>
      </c>
      <c r="ER18" s="45">
        <v>33.942233999999999</v>
      </c>
      <c r="ES18" s="45">
        <v>35.499229</v>
      </c>
      <c r="ET18" s="45">
        <v>34.132939999999998</v>
      </c>
      <c r="EU18" s="45">
        <v>37.278624000000001</v>
      </c>
      <c r="EV18" s="45">
        <v>41.680824000000001</v>
      </c>
      <c r="EW18" s="45">
        <v>31.527857000000001</v>
      </c>
      <c r="EX18" s="45">
        <v>30.588394000000001</v>
      </c>
      <c r="EY18" s="45">
        <v>36.658310999999998</v>
      </c>
      <c r="EZ18" s="45">
        <v>38.148181999999998</v>
      </c>
      <c r="FA18" s="45">
        <v>59.897553000000002</v>
      </c>
      <c r="FB18" s="45">
        <f t="shared" si="20"/>
        <v>426.36074900000006</v>
      </c>
      <c r="FC18" s="45">
        <f>FC19+FC24+FC25+FC29+FC33+FC35+FC36</f>
        <v>423.39093800000001</v>
      </c>
      <c r="FD18" s="45">
        <v>22.889868</v>
      </c>
      <c r="FE18" s="45">
        <v>34.546638000000002</v>
      </c>
      <c r="FF18" s="45">
        <v>45.058183</v>
      </c>
      <c r="FG18" s="45">
        <v>38.233578000000001</v>
      </c>
      <c r="FH18" s="45">
        <v>38.668753000000002</v>
      </c>
      <c r="FI18" s="45">
        <v>39.750785999999998</v>
      </c>
      <c r="FJ18" s="45">
        <v>43.869393000000002</v>
      </c>
      <c r="FK18" s="45">
        <v>34.709561000000001</v>
      </c>
      <c r="FL18" s="45">
        <v>36.485846000000002</v>
      </c>
      <c r="FM18" s="45">
        <v>44.859675000000003</v>
      </c>
      <c r="FN18" s="45">
        <v>36.884593000000002</v>
      </c>
      <c r="FO18" s="45">
        <v>64.524717999999993</v>
      </c>
      <c r="FP18" s="45">
        <f t="shared" si="21"/>
        <v>480.48159199999998</v>
      </c>
      <c r="FQ18" s="45">
        <f>FQ19+FQ24+FQ25+FQ29+FQ33+FQ35+FQ36</f>
        <v>473.57593700000001</v>
      </c>
      <c r="FR18" s="45">
        <v>28.076338</v>
      </c>
      <c r="FS18" s="45">
        <v>40.473779999999998</v>
      </c>
      <c r="FT18" s="45">
        <v>45.879266000000001</v>
      </c>
      <c r="FU18" s="45">
        <v>43.767955000000001</v>
      </c>
      <c r="FV18" s="45">
        <v>43.345751999999997</v>
      </c>
      <c r="FW18" s="45">
        <v>47.973540999999997</v>
      </c>
      <c r="FX18" s="45">
        <v>46.497979999999998</v>
      </c>
      <c r="FY18" s="45">
        <v>39.451056000000001</v>
      </c>
      <c r="FZ18" s="45">
        <v>38.249451999999998</v>
      </c>
      <c r="GA18" s="45">
        <v>45.716281000000002</v>
      </c>
      <c r="GB18" s="45">
        <v>50.416471000000001</v>
      </c>
      <c r="GC18" s="45">
        <v>68.491713000000004</v>
      </c>
      <c r="GD18" s="45">
        <f t="shared" si="11"/>
        <v>538.33958499999994</v>
      </c>
      <c r="GE18" s="45">
        <f>GE19+GE24+GE25+GE29+GE33+GE35+GE36</f>
        <v>528.655845</v>
      </c>
      <c r="GF18" s="45">
        <v>32.345399999999998</v>
      </c>
      <c r="GG18" s="45">
        <v>49.684941999999999</v>
      </c>
      <c r="GH18" s="45">
        <v>44.995572000000003</v>
      </c>
      <c r="GI18" s="45">
        <v>45.041735000000003</v>
      </c>
      <c r="GJ18" s="45">
        <v>42.854168999999999</v>
      </c>
      <c r="GK18" s="45">
        <v>46.855457000000001</v>
      </c>
      <c r="GL18" s="45">
        <v>51.720891000000002</v>
      </c>
      <c r="GM18" s="45">
        <v>40.168953999999999</v>
      </c>
      <c r="GN18" s="45">
        <v>37.135553999999999</v>
      </c>
      <c r="GO18" s="45">
        <v>57.085605999999999</v>
      </c>
      <c r="GP18" s="45">
        <v>53.676276000000001</v>
      </c>
      <c r="GQ18" s="45">
        <v>72.896282999999997</v>
      </c>
      <c r="GR18" s="45">
        <f t="shared" si="12"/>
        <v>574.46083900000008</v>
      </c>
      <c r="GS18" s="45">
        <f>GS19+GS24+GS25+GS29+GS33+GS35+GS36</f>
        <v>559.314615</v>
      </c>
      <c r="GT18" s="45">
        <v>30.132361</v>
      </c>
      <c r="GU18" s="45">
        <v>44.840583000000002</v>
      </c>
      <c r="GV18" s="45">
        <v>50.598550000000003</v>
      </c>
      <c r="GW18" s="45">
        <v>56.449933000000001</v>
      </c>
      <c r="GX18" s="45">
        <v>43.489731999999997</v>
      </c>
      <c r="GY18" s="45">
        <v>52.221218999999998</v>
      </c>
      <c r="GZ18" s="45">
        <v>55.726187000000003</v>
      </c>
      <c r="HA18" s="45">
        <v>47.522429000000002</v>
      </c>
      <c r="HB18" s="45">
        <v>45.865116999999998</v>
      </c>
      <c r="HC18" s="45">
        <v>54.283268</v>
      </c>
      <c r="HD18" s="45">
        <v>54.907657</v>
      </c>
      <c r="HE18" s="45">
        <v>84.007728</v>
      </c>
      <c r="HF18" s="45">
        <f t="shared" si="13"/>
        <v>620.0447640000001</v>
      </c>
      <c r="HG18" s="45">
        <v>28.591939</v>
      </c>
      <c r="HH18" s="45">
        <v>52.828400000000002</v>
      </c>
      <c r="HI18" s="45">
        <v>55.863804999999999</v>
      </c>
      <c r="HJ18" s="45">
        <v>61.606606999999997</v>
      </c>
      <c r="HK18" s="45"/>
      <c r="HL18" s="45"/>
      <c r="HM18" s="45"/>
      <c r="HN18" s="45"/>
      <c r="HO18" s="45"/>
      <c r="HP18" s="45"/>
      <c r="HQ18" s="45"/>
      <c r="HR18" s="45"/>
      <c r="HS18" s="283">
        <f t="shared" si="14"/>
        <v>182.02142699999999</v>
      </c>
      <c r="HT18" s="283">
        <f t="shared" si="15"/>
        <v>198.89075099999999</v>
      </c>
      <c r="HU18" s="280">
        <f t="shared" si="16"/>
        <v>16.869324000000006</v>
      </c>
      <c r="HV18" s="280">
        <f t="shared" si="17"/>
        <v>9.2677682391754956</v>
      </c>
    </row>
    <row r="19" spans="1:230" s="12" customFormat="1" ht="21.65" customHeight="1">
      <c r="A19" s="321" t="s">
        <v>118</v>
      </c>
      <c r="B19" s="13" t="s">
        <v>119</v>
      </c>
      <c r="C19" s="80" t="s">
        <v>120</v>
      </c>
      <c r="D19" s="42">
        <v>192.0504194626098</v>
      </c>
      <c r="E19" s="42">
        <v>209.36034163147173</v>
      </c>
      <c r="F19" s="42">
        <v>12.13232138690161</v>
      </c>
      <c r="G19" s="42">
        <v>16.925212434761328</v>
      </c>
      <c r="H19" s="42">
        <v>20.373421323726106</v>
      </c>
      <c r="I19" s="42">
        <v>18.653297363133962</v>
      </c>
      <c r="J19" s="42">
        <v>19.537977871497603</v>
      </c>
      <c r="K19" s="42">
        <v>21.544790581726915</v>
      </c>
      <c r="L19" s="42">
        <v>23.063398899266367</v>
      </c>
      <c r="M19" s="42">
        <v>13.936945435711806</v>
      </c>
      <c r="N19" s="42">
        <v>17.349393287459947</v>
      </c>
      <c r="O19" s="42">
        <v>18.583368905128598</v>
      </c>
      <c r="P19" s="42">
        <v>18.934934917843382</v>
      </c>
      <c r="Q19" s="42">
        <v>28.70986932345291</v>
      </c>
      <c r="R19" s="42">
        <v>229.74493173061055</v>
      </c>
      <c r="S19" s="42">
        <v>229.34686622454799</v>
      </c>
      <c r="T19" s="42">
        <v>14.510988838993518</v>
      </c>
      <c r="U19" s="42">
        <v>18.077353003113245</v>
      </c>
      <c r="V19" s="42">
        <v>20.389711783086039</v>
      </c>
      <c r="W19" s="42">
        <v>21.469798122947509</v>
      </c>
      <c r="X19" s="42">
        <v>20.653120927029441</v>
      </c>
      <c r="Y19" s="42">
        <v>22.725970540862033</v>
      </c>
      <c r="Z19" s="42">
        <v>22.851096465017275</v>
      </c>
      <c r="AA19" s="42">
        <v>15.484714088138372</v>
      </c>
      <c r="AB19" s="42">
        <v>16.047367402575965</v>
      </c>
      <c r="AC19" s="42">
        <v>20.520150710582183</v>
      </c>
      <c r="AD19" s="42">
        <v>21.453419445535314</v>
      </c>
      <c r="AE19" s="42">
        <v>25.887136385108793</v>
      </c>
      <c r="AF19" s="42">
        <v>240.07082771298965</v>
      </c>
      <c r="AG19" s="42">
        <v>240.14391218613127</v>
      </c>
      <c r="AH19" s="42">
        <v>14.629593741640628</v>
      </c>
      <c r="AI19" s="42">
        <v>18.417665522677733</v>
      </c>
      <c r="AJ19" s="42">
        <v>19.463446423184845</v>
      </c>
      <c r="AK19" s="42">
        <v>20.387004058030403</v>
      </c>
      <c r="AL19" s="42">
        <v>19.764715340265564</v>
      </c>
      <c r="AM19" s="42">
        <v>22.144708908884979</v>
      </c>
      <c r="AN19" s="42">
        <v>22.018616854770322</v>
      </c>
      <c r="AO19" s="42">
        <v>16.229997268086123</v>
      </c>
      <c r="AP19" s="42">
        <v>15.843375962572781</v>
      </c>
      <c r="AQ19" s="42">
        <v>18.837187893068339</v>
      </c>
      <c r="AR19" s="42">
        <v>21.532346144871113</v>
      </c>
      <c r="AS19" s="42">
        <v>29.026361546035595</v>
      </c>
      <c r="AT19" s="42">
        <v>238.29501966408841</v>
      </c>
      <c r="AU19" s="42">
        <v>237.98552427961891</v>
      </c>
      <c r="AV19" s="42">
        <f>AV20+AV23</f>
        <v>11.508064000000001</v>
      </c>
      <c r="AW19" s="42">
        <f>AW20+AW23</f>
        <v>18.060492000000004</v>
      </c>
      <c r="AX19" s="42">
        <f t="shared" ref="AX19:BE19" si="26">AX20+AX23</f>
        <v>19.065639000000001</v>
      </c>
      <c r="AY19" s="42">
        <f t="shared" si="26"/>
        <v>20.644095</v>
      </c>
      <c r="AZ19" s="42">
        <f t="shared" si="26"/>
        <v>17.435962</v>
      </c>
      <c r="BA19" s="42">
        <f t="shared" si="26"/>
        <v>21.282111</v>
      </c>
      <c r="BB19" s="42">
        <f t="shared" si="26"/>
        <v>20.969585000000002</v>
      </c>
      <c r="BC19" s="42">
        <f t="shared" si="26"/>
        <v>14.19941</v>
      </c>
      <c r="BD19" s="42">
        <f t="shared" si="26"/>
        <v>16.556177999999999</v>
      </c>
      <c r="BE19" s="42">
        <f t="shared" si="26"/>
        <v>19.727822</v>
      </c>
      <c r="BF19" s="42">
        <f>BF20+BF23</f>
        <v>22.488265999999999</v>
      </c>
      <c r="BG19" s="42">
        <f>BG20+BG23</f>
        <v>28.391686999999997</v>
      </c>
      <c r="BH19" s="45">
        <f t="shared" si="6"/>
        <v>230.32931099999999</v>
      </c>
      <c r="BI19" s="45">
        <f>BI20+BI23</f>
        <v>230.26426000000004</v>
      </c>
      <c r="BJ19" s="42">
        <f>BJ20+BJ23</f>
        <v>13.44023</v>
      </c>
      <c r="BK19" s="42">
        <v>19.388306</v>
      </c>
      <c r="BL19" s="42">
        <v>20.572599</v>
      </c>
      <c r="BM19" s="42">
        <v>20.964976</v>
      </c>
      <c r="BN19" s="42">
        <v>20.253372000000002</v>
      </c>
      <c r="BO19" s="42">
        <v>24.038679999999999</v>
      </c>
      <c r="BP19" s="42">
        <v>22.719002</v>
      </c>
      <c r="BQ19" s="42">
        <v>16.820367000000001</v>
      </c>
      <c r="BR19" s="42">
        <v>17.025337</v>
      </c>
      <c r="BS19" s="42">
        <v>19.399824000000002</v>
      </c>
      <c r="BT19" s="42">
        <v>21.551277000000002</v>
      </c>
      <c r="BU19" s="42">
        <v>34.762521</v>
      </c>
      <c r="BV19" s="45">
        <f>SUM(BJ19:BU19)</f>
        <v>250.93649099999999</v>
      </c>
      <c r="BW19" s="45">
        <f>BW20+BW23</f>
        <v>250.99362600000001</v>
      </c>
      <c r="BX19" s="45">
        <v>11.150349000000002</v>
      </c>
      <c r="BY19" s="45">
        <v>19.005859999999998</v>
      </c>
      <c r="BZ19" s="45">
        <v>19.847304999999999</v>
      </c>
      <c r="CA19" s="45">
        <v>19.939609000000001</v>
      </c>
      <c r="CB19" s="45">
        <v>19.600472</v>
      </c>
      <c r="CC19" s="45">
        <v>21.025534</v>
      </c>
      <c r="CD19" s="45">
        <v>24.292392</v>
      </c>
      <c r="CE19" s="45">
        <v>15.185242000000002</v>
      </c>
      <c r="CF19" s="45">
        <v>15.695626000000001</v>
      </c>
      <c r="CG19" s="45">
        <v>18.904709</v>
      </c>
      <c r="CH19" s="45">
        <v>20.873794</v>
      </c>
      <c r="CI19" s="45">
        <v>33.055801000000002</v>
      </c>
      <c r="CJ19" s="45">
        <f t="shared" si="8"/>
        <v>238.57669300000001</v>
      </c>
      <c r="CK19" s="45">
        <f>CK20+CK23</f>
        <v>238.23616599999997</v>
      </c>
      <c r="CL19" s="45">
        <v>11.126776</v>
      </c>
      <c r="CM19" s="45">
        <v>19.883210999999999</v>
      </c>
      <c r="CN19" s="45">
        <v>21.92212</v>
      </c>
      <c r="CO19" s="45">
        <v>23.318072000000001</v>
      </c>
      <c r="CP19" s="45">
        <v>21.590782999999998</v>
      </c>
      <c r="CQ19" s="45">
        <v>24.921887000000002</v>
      </c>
      <c r="CR19" s="45">
        <v>25.102080000000001</v>
      </c>
      <c r="CS19" s="45">
        <v>17.788508999999998</v>
      </c>
      <c r="CT19" s="45">
        <v>19.153477000000002</v>
      </c>
      <c r="CU19" s="45">
        <v>21.218675999999999</v>
      </c>
      <c r="CV19" s="45">
        <v>23.873251</v>
      </c>
      <c r="CW19" s="45">
        <v>36.841635000000004</v>
      </c>
      <c r="CX19" s="45">
        <f t="shared" si="9"/>
        <v>266.74047700000006</v>
      </c>
      <c r="CY19" s="45">
        <f>CY20+CY23</f>
        <v>266.73239699999999</v>
      </c>
      <c r="CZ19" s="45">
        <v>13.196647</v>
      </c>
      <c r="DA19" s="45">
        <v>22.153300000000002</v>
      </c>
      <c r="DB19" s="45">
        <v>23.810575</v>
      </c>
      <c r="DC19" s="45">
        <v>24.878353000000001</v>
      </c>
      <c r="DD19" s="45">
        <v>25.325530000000001</v>
      </c>
      <c r="DE19" s="45">
        <v>27.781282999999998</v>
      </c>
      <c r="DF19" s="45">
        <v>28.18263</v>
      </c>
      <c r="DG19" s="45">
        <v>20.462297</v>
      </c>
      <c r="DH19" s="45">
        <v>18.925643000000001</v>
      </c>
      <c r="DI19" s="45">
        <v>23.321285</v>
      </c>
      <c r="DJ19" s="45">
        <v>26.537141999999999</v>
      </c>
      <c r="DK19" s="45">
        <v>40.981686000000003</v>
      </c>
      <c r="DL19" s="45">
        <f t="shared" si="10"/>
        <v>295.55637100000001</v>
      </c>
      <c r="DM19" s="45">
        <f>DM20+DM23</f>
        <v>295.28430500000002</v>
      </c>
      <c r="DN19" s="45">
        <v>13.446139000000001</v>
      </c>
      <c r="DO19" s="45">
        <v>25.72906</v>
      </c>
      <c r="DP19" s="45">
        <v>26.880085000000001</v>
      </c>
      <c r="DQ19" s="45">
        <v>27.483753</v>
      </c>
      <c r="DR19" s="45">
        <v>27.419001000000002</v>
      </c>
      <c r="DS19" s="45">
        <v>29.788073000000001</v>
      </c>
      <c r="DT19" s="45">
        <v>34.057972999999997</v>
      </c>
      <c r="DU19" s="45">
        <v>23.559100999999998</v>
      </c>
      <c r="DV19" s="45">
        <v>23.461500000000001</v>
      </c>
      <c r="DW19" s="45">
        <v>28.335363999999998</v>
      </c>
      <c r="DX19" s="45">
        <v>29.900783000000001</v>
      </c>
      <c r="DY19" s="45">
        <v>42.339167000000003</v>
      </c>
      <c r="DZ19" s="45">
        <f t="shared" si="18"/>
        <v>332.39999899999998</v>
      </c>
      <c r="EA19" s="45">
        <f>EA20+EA23</f>
        <v>332.41618999999997</v>
      </c>
      <c r="EB19" s="45">
        <v>16.124782</v>
      </c>
      <c r="EC19" s="45">
        <v>27.136906</v>
      </c>
      <c r="ED19" s="45">
        <v>28.278449999999999</v>
      </c>
      <c r="EE19" s="45">
        <v>27.387207</v>
      </c>
      <c r="EF19" s="42">
        <v>25.093786000000001</v>
      </c>
      <c r="EG19" s="45">
        <v>27.527049000000002</v>
      </c>
      <c r="EH19" s="45">
        <v>35.60163</v>
      </c>
      <c r="EI19" s="42">
        <v>22.965474</v>
      </c>
      <c r="EJ19" s="45">
        <v>23.86271</v>
      </c>
      <c r="EK19" s="45">
        <v>28.463139000000002</v>
      </c>
      <c r="EL19" s="45">
        <v>29.474881</v>
      </c>
      <c r="EM19" s="45">
        <v>49.463681000000001</v>
      </c>
      <c r="EN19" s="45">
        <f t="shared" si="19"/>
        <v>341.37969499999997</v>
      </c>
      <c r="EO19" s="45">
        <f>EO20+EO23</f>
        <v>340.87301700000006</v>
      </c>
      <c r="EP19" s="45">
        <v>13.047839</v>
      </c>
      <c r="EQ19" s="45">
        <v>27.396417</v>
      </c>
      <c r="ER19" s="45">
        <v>30.203016999999999</v>
      </c>
      <c r="ES19" s="45">
        <v>31.499565</v>
      </c>
      <c r="ET19" s="45">
        <v>30.894099000000001</v>
      </c>
      <c r="EU19" s="45">
        <v>33.211544000000004</v>
      </c>
      <c r="EV19" s="45">
        <v>38.007077000000002</v>
      </c>
      <c r="EW19" s="45">
        <v>29.031383000000002</v>
      </c>
      <c r="EX19" s="45">
        <v>25.943660000000001</v>
      </c>
      <c r="EY19" s="45">
        <v>31.733485999999999</v>
      </c>
      <c r="EZ19" s="45">
        <v>34.918754</v>
      </c>
      <c r="FA19" s="45">
        <v>54.082422999999999</v>
      </c>
      <c r="FB19" s="45">
        <f t="shared" si="20"/>
        <v>379.96926400000007</v>
      </c>
      <c r="FC19" s="45">
        <f>FC20+FC23</f>
        <v>379.35589800000002</v>
      </c>
      <c r="FD19" s="45">
        <v>18.685835999999998</v>
      </c>
      <c r="FE19" s="45">
        <v>30.265681000000001</v>
      </c>
      <c r="FF19" s="45">
        <v>34.840026999999999</v>
      </c>
      <c r="FG19" s="45">
        <v>34.240856999999998</v>
      </c>
      <c r="FH19" s="45">
        <v>34.263710000000003</v>
      </c>
      <c r="FI19" s="45">
        <v>35.975171000000003</v>
      </c>
      <c r="FJ19" s="45">
        <v>40.410808000000003</v>
      </c>
      <c r="FK19" s="45">
        <v>31.064810999999999</v>
      </c>
      <c r="FL19" s="45">
        <v>32.261957000000002</v>
      </c>
      <c r="FM19" s="45">
        <v>35.454059000000001</v>
      </c>
      <c r="FN19" s="45">
        <v>31.519266999999999</v>
      </c>
      <c r="FO19" s="45">
        <v>53.778756000000001</v>
      </c>
      <c r="FP19" s="45">
        <f t="shared" si="21"/>
        <v>412.76093999999995</v>
      </c>
      <c r="FQ19" s="45">
        <f>FQ20+FQ23</f>
        <v>412.47634399999998</v>
      </c>
      <c r="FR19" s="45">
        <v>22.766762</v>
      </c>
      <c r="FS19" s="45">
        <v>35.247881</v>
      </c>
      <c r="FT19" s="45">
        <v>37.320200999999997</v>
      </c>
      <c r="FU19" s="45">
        <v>36.312933999999998</v>
      </c>
      <c r="FV19" s="45">
        <v>36.696491999999999</v>
      </c>
      <c r="FW19" s="45">
        <v>39.121281000000003</v>
      </c>
      <c r="FX19" s="45">
        <v>40.099392999999999</v>
      </c>
      <c r="FY19" s="45">
        <v>33.771543999999999</v>
      </c>
      <c r="FZ19" s="45">
        <v>31.809118999999999</v>
      </c>
      <c r="GA19" s="45">
        <v>38.009090999999998</v>
      </c>
      <c r="GB19" s="45">
        <v>41.658982000000002</v>
      </c>
      <c r="GC19" s="45">
        <v>60.499032999999997</v>
      </c>
      <c r="GD19" s="45">
        <f t="shared" si="11"/>
        <v>453.31271300000003</v>
      </c>
      <c r="GE19" s="45">
        <f>GE20+GE23</f>
        <v>452.99123800000001</v>
      </c>
      <c r="GF19" s="45">
        <v>22.099423999999999</v>
      </c>
      <c r="GG19" s="45">
        <v>38.957365000000003</v>
      </c>
      <c r="GH19" s="45">
        <v>38.053721000000003</v>
      </c>
      <c r="GI19" s="45">
        <v>38.121929999999999</v>
      </c>
      <c r="GJ19" s="45">
        <v>38.345064000000001</v>
      </c>
      <c r="GK19" s="45">
        <v>40.462367</v>
      </c>
      <c r="GL19" s="45">
        <v>45.383732000000002</v>
      </c>
      <c r="GM19" s="45">
        <v>36.770775</v>
      </c>
      <c r="GN19" s="45">
        <v>33.020228000000003</v>
      </c>
      <c r="GO19" s="45">
        <v>41.625677000000003</v>
      </c>
      <c r="GP19" s="45">
        <v>44.751607999999997</v>
      </c>
      <c r="GQ19" s="45">
        <v>65.873963000000003</v>
      </c>
      <c r="GR19" s="45">
        <f t="shared" si="12"/>
        <v>483.46585399999998</v>
      </c>
      <c r="GS19" s="45">
        <f>GS20+GS23</f>
        <v>483.08196299999997</v>
      </c>
      <c r="GT19" s="45">
        <v>24.816875</v>
      </c>
      <c r="GU19" s="45">
        <v>40.242832999999997</v>
      </c>
      <c r="GV19" s="45">
        <v>44.405194000000002</v>
      </c>
      <c r="GW19" s="45">
        <v>51.105612999999998</v>
      </c>
      <c r="GX19" s="45">
        <v>38.662896000000003</v>
      </c>
      <c r="GY19" s="45">
        <v>47.962440000000001</v>
      </c>
      <c r="GZ19" s="45">
        <v>51.303801</v>
      </c>
      <c r="HA19" s="45">
        <v>43.265417999999997</v>
      </c>
      <c r="HB19" s="45">
        <v>39.641703</v>
      </c>
      <c r="HC19" s="45">
        <v>47.018545000000003</v>
      </c>
      <c r="HD19" s="45">
        <v>50.724089999999997</v>
      </c>
      <c r="HE19" s="45">
        <v>77.836799999999997</v>
      </c>
      <c r="HF19" s="45">
        <f t="shared" si="13"/>
        <v>556.98620800000003</v>
      </c>
      <c r="HG19" s="45">
        <v>24.455933999999999</v>
      </c>
      <c r="HH19" s="45">
        <v>46.462173</v>
      </c>
      <c r="HI19" s="45">
        <v>48.247183</v>
      </c>
      <c r="HJ19" s="45">
        <v>54.364685000000001</v>
      </c>
      <c r="HK19" s="45"/>
      <c r="HL19" s="45"/>
      <c r="HM19" s="45"/>
      <c r="HN19" s="45"/>
      <c r="HO19" s="45"/>
      <c r="HP19" s="45"/>
      <c r="HQ19" s="45"/>
      <c r="HR19" s="45"/>
      <c r="HS19" s="283">
        <f t="shared" si="14"/>
        <v>160.570515</v>
      </c>
      <c r="HT19" s="283">
        <f t="shared" si="15"/>
        <v>173.52997500000001</v>
      </c>
      <c r="HU19" s="280">
        <f t="shared" si="16"/>
        <v>12.959460000000007</v>
      </c>
      <c r="HV19" s="280">
        <f t="shared" si="17"/>
        <v>8.0708839976006743</v>
      </c>
    </row>
    <row r="20" spans="1:230" s="12" customFormat="1" ht="20.5">
      <c r="A20" s="314" t="s">
        <v>121</v>
      </c>
      <c r="B20" s="13">
        <v>1000</v>
      </c>
      <c r="C20" s="47" t="s">
        <v>122</v>
      </c>
      <c r="D20" s="42">
        <v>144.72940250766928</v>
      </c>
      <c r="E20" s="42">
        <v>147.69764732414234</v>
      </c>
      <c r="F20" s="42">
        <v>7.7128459712807551</v>
      </c>
      <c r="G20" s="42">
        <v>11.638932049333812</v>
      </c>
      <c r="H20" s="42">
        <v>14.006603548073148</v>
      </c>
      <c r="I20" s="42">
        <v>13.357361369599491</v>
      </c>
      <c r="J20" s="42">
        <v>13.522161228450608</v>
      </c>
      <c r="K20" s="42">
        <v>15.856807872465156</v>
      </c>
      <c r="L20" s="42">
        <v>18.111928788111623</v>
      </c>
      <c r="M20" s="42">
        <v>9.353713126277027</v>
      </c>
      <c r="N20" s="42">
        <v>11.384560987131549</v>
      </c>
      <c r="O20" s="42">
        <v>13.165371853318989</v>
      </c>
      <c r="P20" s="42">
        <v>12.919030056744129</v>
      </c>
      <c r="Q20" s="42">
        <v>18.558346281466811</v>
      </c>
      <c r="R20" s="42">
        <v>159.58766313225311</v>
      </c>
      <c r="S20" s="42">
        <v>159.59046821015963</v>
      </c>
      <c r="T20" s="42">
        <v>9.3183946021934982</v>
      </c>
      <c r="U20" s="42">
        <v>12.357954707144524</v>
      </c>
      <c r="V20" s="42">
        <v>13.720631925828538</v>
      </c>
      <c r="W20" s="42">
        <v>14.273157238718051</v>
      </c>
      <c r="X20" s="42">
        <v>13.693426616809237</v>
      </c>
      <c r="Y20" s="42">
        <v>17.113703109259479</v>
      </c>
      <c r="Z20" s="42">
        <v>16.986609353390133</v>
      </c>
      <c r="AA20" s="42">
        <v>10.541002896967006</v>
      </c>
      <c r="AB20" s="42">
        <v>10.743103340333862</v>
      </c>
      <c r="AC20" s="42">
        <v>13.769153277442928</v>
      </c>
      <c r="AD20" s="42">
        <v>14.644832698732507</v>
      </c>
      <c r="AE20" s="42">
        <v>17.223769358170983</v>
      </c>
      <c r="AF20" s="42">
        <v>164.38573912499075</v>
      </c>
      <c r="AG20" s="42">
        <v>164.36201349167052</v>
      </c>
      <c r="AH20" s="42">
        <v>8.8851984337027101</v>
      </c>
      <c r="AI20" s="42">
        <v>12.750914906574238</v>
      </c>
      <c r="AJ20" s="42">
        <v>12.942658266031497</v>
      </c>
      <c r="AK20" s="42">
        <v>12.599595335257057</v>
      </c>
      <c r="AL20" s="42">
        <v>13.470831127882027</v>
      </c>
      <c r="AM20" s="42">
        <v>16.536557845430586</v>
      </c>
      <c r="AN20" s="42">
        <v>16.303168450947918</v>
      </c>
      <c r="AO20" s="42">
        <v>10.297523918475136</v>
      </c>
      <c r="AP20" s="42">
        <v>10.178497845772078</v>
      </c>
      <c r="AQ20" s="42">
        <v>12.797751577964839</v>
      </c>
      <c r="AR20" s="42">
        <v>14.352007102976076</v>
      </c>
      <c r="AS20" s="42">
        <v>20.500093909539501</v>
      </c>
      <c r="AT20" s="42">
        <v>161.61479872055367</v>
      </c>
      <c r="AU20" s="42">
        <v>161.65735742378632</v>
      </c>
      <c r="AV20" s="42">
        <f>AV21+AV22</f>
        <v>6.3581979999999998</v>
      </c>
      <c r="AW20" s="42">
        <f>AW21+AW22</f>
        <v>12.395928000000001</v>
      </c>
      <c r="AX20" s="42">
        <f t="shared" ref="AX20:BE20" si="27">AX21+AX22</f>
        <v>12.626619</v>
      </c>
      <c r="AY20" s="42">
        <f t="shared" si="27"/>
        <v>14.490532999999999</v>
      </c>
      <c r="AZ20" s="42">
        <f t="shared" si="27"/>
        <v>11.970677</v>
      </c>
      <c r="BA20" s="42">
        <f t="shared" si="27"/>
        <v>16.591878000000001</v>
      </c>
      <c r="BB20" s="42">
        <f t="shared" si="27"/>
        <v>15.305407000000001</v>
      </c>
      <c r="BC20" s="42">
        <f t="shared" si="27"/>
        <v>9.4808599999999998</v>
      </c>
      <c r="BD20" s="42">
        <f t="shared" si="27"/>
        <v>10.554145</v>
      </c>
      <c r="BE20" s="42">
        <f t="shared" si="27"/>
        <v>13.212681</v>
      </c>
      <c r="BF20" s="42">
        <f>BF21+BF22</f>
        <v>14.810786</v>
      </c>
      <c r="BG20" s="42">
        <f>BG21+BG22</f>
        <v>19.225853999999998</v>
      </c>
      <c r="BH20" s="45">
        <f t="shared" si="6"/>
        <v>157.02356600000002</v>
      </c>
      <c r="BI20" s="45">
        <f>BI21+BI22</f>
        <v>157.08334200000002</v>
      </c>
      <c r="BJ20" s="42">
        <f>BJ21+BJ22</f>
        <v>8.0788720000000005</v>
      </c>
      <c r="BK20" s="42">
        <v>13.440594000000001</v>
      </c>
      <c r="BL20" s="42">
        <v>13.930833</v>
      </c>
      <c r="BM20" s="42">
        <v>14.643506</v>
      </c>
      <c r="BN20" s="42">
        <v>13.862744000000001</v>
      </c>
      <c r="BO20" s="42">
        <v>17.687472</v>
      </c>
      <c r="BP20" s="42">
        <v>16.491014</v>
      </c>
      <c r="BQ20" s="42">
        <v>10.783049</v>
      </c>
      <c r="BR20" s="42">
        <v>10.790625</v>
      </c>
      <c r="BS20" s="42">
        <v>13.423338000000001</v>
      </c>
      <c r="BT20" s="42">
        <v>14.001035000000002</v>
      </c>
      <c r="BU20" s="42">
        <v>22.838035000000001</v>
      </c>
      <c r="BV20" s="45">
        <f t="shared" si="7"/>
        <v>169.97111700000002</v>
      </c>
      <c r="BW20" s="45">
        <f>169.906823+0.070993</f>
        <v>169.97781599999999</v>
      </c>
      <c r="BX20" s="45">
        <v>5.8913930000000008</v>
      </c>
      <c r="BY20" s="45">
        <v>12.733260999999999</v>
      </c>
      <c r="BZ20" s="45">
        <v>13.372816</v>
      </c>
      <c r="CA20" s="45">
        <v>13.395726</v>
      </c>
      <c r="CB20" s="45">
        <v>13.384364</v>
      </c>
      <c r="CC20" s="45">
        <v>15.736871000000001</v>
      </c>
      <c r="CD20" s="45">
        <v>18.863147999999999</v>
      </c>
      <c r="CE20" s="45">
        <v>10.195108000000001</v>
      </c>
      <c r="CF20" s="45">
        <v>9.8382310000000004</v>
      </c>
      <c r="CG20" s="45">
        <v>13.158189</v>
      </c>
      <c r="CH20" s="45">
        <v>14.076583000000001</v>
      </c>
      <c r="CI20" s="45">
        <v>23.850667999999999</v>
      </c>
      <c r="CJ20" s="45">
        <f t="shared" si="8"/>
        <v>164.49635799999999</v>
      </c>
      <c r="CK20" s="45">
        <f>CK21+CK22</f>
        <v>164.42064499999998</v>
      </c>
      <c r="CL20" s="45">
        <v>5.6723849999999993</v>
      </c>
      <c r="CM20" s="45">
        <v>13.922727999999999</v>
      </c>
      <c r="CN20" s="45">
        <v>14.166244000000001</v>
      </c>
      <c r="CO20" s="45">
        <v>16.876238000000001</v>
      </c>
      <c r="CP20" s="45">
        <v>14.216514999999999</v>
      </c>
      <c r="CQ20" s="45">
        <v>18.733031</v>
      </c>
      <c r="CR20" s="45">
        <v>19.712807999999999</v>
      </c>
      <c r="CS20" s="45">
        <v>11.97035</v>
      </c>
      <c r="CT20" s="45">
        <v>12.060565</v>
      </c>
      <c r="CU20" s="45">
        <v>14.731225999999999</v>
      </c>
      <c r="CV20" s="45">
        <v>16.284925999999999</v>
      </c>
      <c r="CW20" s="45">
        <v>26.652059000000001</v>
      </c>
      <c r="CX20" s="45">
        <f t="shared" si="9"/>
        <v>184.999075</v>
      </c>
      <c r="CY20" s="45">
        <f>CY21+CY22</f>
        <v>184.93887700000002</v>
      </c>
      <c r="CZ20" s="45">
        <v>5.8669149999999997</v>
      </c>
      <c r="DA20" s="45">
        <v>15.932133</v>
      </c>
      <c r="DB20" s="45">
        <v>15.767795</v>
      </c>
      <c r="DC20" s="45">
        <v>16.857409000000001</v>
      </c>
      <c r="DD20" s="45">
        <v>16.344113</v>
      </c>
      <c r="DE20" s="45">
        <v>19.991101</v>
      </c>
      <c r="DF20" s="45">
        <v>21.294709000000001</v>
      </c>
      <c r="DG20" s="45">
        <v>13.687998</v>
      </c>
      <c r="DH20" s="45">
        <v>12.343279000000001</v>
      </c>
      <c r="DI20" s="45">
        <v>16.196936000000001</v>
      </c>
      <c r="DJ20" s="45">
        <v>18.328424999999999</v>
      </c>
      <c r="DK20" s="45">
        <v>28.166305000000001</v>
      </c>
      <c r="DL20" s="45">
        <f t="shared" si="10"/>
        <v>200.77711799999997</v>
      </c>
      <c r="DM20" s="45">
        <f>DM21+DM22</f>
        <v>200.70833500000001</v>
      </c>
      <c r="DN20" s="45">
        <v>6.8532640000000002</v>
      </c>
      <c r="DO20" s="45">
        <v>17.737016000000001</v>
      </c>
      <c r="DP20" s="45">
        <v>18.299797000000002</v>
      </c>
      <c r="DQ20" s="45">
        <v>18.712624999999999</v>
      </c>
      <c r="DR20" s="45">
        <v>18.207982999999999</v>
      </c>
      <c r="DS20" s="45">
        <v>21.620525000000001</v>
      </c>
      <c r="DT20" s="45">
        <v>24.959492999999998</v>
      </c>
      <c r="DU20" s="45">
        <v>15.262418</v>
      </c>
      <c r="DV20" s="45">
        <v>14.599466</v>
      </c>
      <c r="DW20" s="45">
        <v>18.683665999999999</v>
      </c>
      <c r="DX20" s="45">
        <v>21.376861999999999</v>
      </c>
      <c r="DY20" s="45">
        <v>30.020533</v>
      </c>
      <c r="DZ20" s="45">
        <f t="shared" si="18"/>
        <v>226.33364799999998</v>
      </c>
      <c r="EA20" s="45">
        <f>226.228312+0.294725</f>
        <v>226.52303699999999</v>
      </c>
      <c r="EB20" s="45">
        <v>7.8704470000000004</v>
      </c>
      <c r="EC20" s="45">
        <v>18.863707000000002</v>
      </c>
      <c r="ED20" s="45">
        <v>19.795397000000001</v>
      </c>
      <c r="EE20" s="45">
        <v>20.178571999999999</v>
      </c>
      <c r="EF20" s="42">
        <v>18.452179999999998</v>
      </c>
      <c r="EG20" s="45">
        <v>21.444863999999999</v>
      </c>
      <c r="EH20" s="45">
        <v>25.177267000000001</v>
      </c>
      <c r="EI20" s="42">
        <v>17.328198</v>
      </c>
      <c r="EJ20" s="45">
        <v>15.684473000000001</v>
      </c>
      <c r="EK20" s="45">
        <v>19.368545999999998</v>
      </c>
      <c r="EL20" s="45">
        <v>21.195542</v>
      </c>
      <c r="EM20" s="45">
        <v>35.747838000000002</v>
      </c>
      <c r="EN20" s="45">
        <f t="shared" si="19"/>
        <v>241.10703100000001</v>
      </c>
      <c r="EO20" s="45">
        <v>241.17179200000001</v>
      </c>
      <c r="EP20" s="45">
        <v>6.7727240000000002</v>
      </c>
      <c r="EQ20" s="45">
        <v>20.232286999999999</v>
      </c>
      <c r="ER20" s="45">
        <v>21.283653999999999</v>
      </c>
      <c r="ES20" s="45">
        <v>23.076944999999998</v>
      </c>
      <c r="ET20" s="45">
        <v>20.444326</v>
      </c>
      <c r="EU20" s="45">
        <v>23.964333</v>
      </c>
      <c r="EV20" s="45">
        <v>28.118494999999999</v>
      </c>
      <c r="EW20" s="45">
        <v>18.529088000000002</v>
      </c>
      <c r="EX20" s="45">
        <v>16.587548000000002</v>
      </c>
      <c r="EY20" s="45">
        <v>21.441959000000001</v>
      </c>
      <c r="EZ20" s="45">
        <v>23.069616</v>
      </c>
      <c r="FA20" s="45">
        <v>37.105054000000003</v>
      </c>
      <c r="FB20" s="45">
        <f t="shared" si="20"/>
        <v>260.62602900000002</v>
      </c>
      <c r="FC20" s="45">
        <f>260.544119+0.157013</f>
        <v>260.70113200000003</v>
      </c>
      <c r="FD20" s="45">
        <v>7.8177630000000002</v>
      </c>
      <c r="FE20" s="45">
        <v>20.820622</v>
      </c>
      <c r="FF20" s="45">
        <v>21.336704000000001</v>
      </c>
      <c r="FG20" s="45">
        <v>22.408503</v>
      </c>
      <c r="FH20" s="45">
        <v>21.999002999999998</v>
      </c>
      <c r="FI20" s="45">
        <v>25.245768000000002</v>
      </c>
      <c r="FJ20" s="45">
        <v>28.456458000000001</v>
      </c>
      <c r="FK20" s="45">
        <v>20.069832999999999</v>
      </c>
      <c r="FL20" s="45">
        <v>18.710311999999998</v>
      </c>
      <c r="FM20" s="45">
        <v>22.631451999999999</v>
      </c>
      <c r="FN20" s="45">
        <v>22.637806999999999</v>
      </c>
      <c r="FO20" s="45">
        <v>36.246321999999999</v>
      </c>
      <c r="FP20" s="45">
        <f t="shared" si="21"/>
        <v>268.38054699999998</v>
      </c>
      <c r="FQ20" s="45">
        <f>268.339448+0.18411</f>
        <v>268.52355799999998</v>
      </c>
      <c r="FR20" s="45">
        <v>10.013503</v>
      </c>
      <c r="FS20" s="45">
        <v>23.630251999999999</v>
      </c>
      <c r="FT20" s="45">
        <v>23.093972999999998</v>
      </c>
      <c r="FU20" s="45">
        <v>24.097771000000002</v>
      </c>
      <c r="FV20" s="45">
        <v>23.415510999999999</v>
      </c>
      <c r="FW20" s="45">
        <v>27.556695000000001</v>
      </c>
      <c r="FX20" s="45">
        <v>29.580393999999998</v>
      </c>
      <c r="FY20" s="45">
        <v>22.564305000000001</v>
      </c>
      <c r="FZ20" s="45">
        <v>20.139552999999999</v>
      </c>
      <c r="GA20" s="45">
        <v>25.196505999999999</v>
      </c>
      <c r="GB20" s="45">
        <v>27.606767999999999</v>
      </c>
      <c r="GC20" s="45">
        <v>42.075640999999997</v>
      </c>
      <c r="GD20" s="45">
        <f t="shared" si="11"/>
        <v>298.97087200000004</v>
      </c>
      <c r="GE20" s="45">
        <f>298.938833+0.230989</f>
        <v>299.16982200000001</v>
      </c>
      <c r="GF20" s="45">
        <v>10.372909999999999</v>
      </c>
      <c r="GG20" s="45">
        <v>26.590608</v>
      </c>
      <c r="GH20" s="45">
        <v>25.200168000000001</v>
      </c>
      <c r="GI20" s="45">
        <v>26.661667000000001</v>
      </c>
      <c r="GJ20" s="45">
        <v>26.730381999999999</v>
      </c>
      <c r="GK20" s="45">
        <v>30.895633</v>
      </c>
      <c r="GL20" s="45">
        <v>33.669876000000002</v>
      </c>
      <c r="GM20" s="45">
        <v>25.106401000000002</v>
      </c>
      <c r="GN20" s="45">
        <v>21.604657</v>
      </c>
      <c r="GO20" s="45">
        <v>28.724589999999999</v>
      </c>
      <c r="GP20" s="45">
        <v>30.370317</v>
      </c>
      <c r="GQ20" s="45">
        <v>48.565289999999997</v>
      </c>
      <c r="GR20" s="45">
        <f>SUM(GF20:GQ20)</f>
        <v>334.49249900000001</v>
      </c>
      <c r="GS20" s="45">
        <f>334.370608+0.215991</f>
        <v>334.58659899999998</v>
      </c>
      <c r="GT20" s="45">
        <v>11.806921000000001</v>
      </c>
      <c r="GU20" s="45">
        <v>29.478961999999999</v>
      </c>
      <c r="GV20" s="45">
        <v>30.543816</v>
      </c>
      <c r="GW20" s="45">
        <v>36.675902000000001</v>
      </c>
      <c r="GX20" s="45">
        <v>25.110878</v>
      </c>
      <c r="GY20" s="45">
        <v>35.503518</v>
      </c>
      <c r="GZ20" s="45">
        <v>38.772188</v>
      </c>
      <c r="HA20" s="45">
        <v>31.585719999999998</v>
      </c>
      <c r="HB20" s="45">
        <v>26.232772000000001</v>
      </c>
      <c r="HC20" s="45">
        <v>31.803915</v>
      </c>
      <c r="HD20" s="45">
        <v>34.303786000000002</v>
      </c>
      <c r="HE20" s="45">
        <v>55.335754000000001</v>
      </c>
      <c r="HF20" s="45">
        <f t="shared" si="13"/>
        <v>387.15413200000006</v>
      </c>
      <c r="HG20" s="45">
        <v>13.385703000000001</v>
      </c>
      <c r="HH20" s="45">
        <v>31.476119000000001</v>
      </c>
      <c r="HI20" s="45">
        <v>32.692874000000003</v>
      </c>
      <c r="HJ20" s="45">
        <v>37.033068</v>
      </c>
      <c r="HK20" s="45"/>
      <c r="HL20" s="45"/>
      <c r="HM20" s="45"/>
      <c r="HN20" s="45"/>
      <c r="HO20" s="45"/>
      <c r="HP20" s="45"/>
      <c r="HQ20" s="45"/>
      <c r="HR20" s="45"/>
      <c r="HS20" s="283">
        <f t="shared" si="14"/>
        <v>108.505601</v>
      </c>
      <c r="HT20" s="283">
        <f t="shared" si="15"/>
        <v>114.58776400000001</v>
      </c>
      <c r="HU20" s="280">
        <f t="shared" si="16"/>
        <v>6.0821630000000084</v>
      </c>
      <c r="HV20" s="280">
        <f t="shared" si="17"/>
        <v>5.6053908221751669</v>
      </c>
    </row>
    <row r="21" spans="1:230" s="12" customFormat="1" ht="20.5">
      <c r="A21" s="314" t="s">
        <v>123</v>
      </c>
      <c r="B21" s="13">
        <v>1100</v>
      </c>
      <c r="C21" s="47" t="s">
        <v>249</v>
      </c>
      <c r="D21" s="42">
        <v>118.30536394215173</v>
      </c>
      <c r="E21" s="42">
        <v>120.29134885401905</v>
      </c>
      <c r="F21" s="42">
        <v>6.3508204278860099</v>
      </c>
      <c r="G21" s="42">
        <v>9.6549265513571338</v>
      </c>
      <c r="H21" s="42">
        <v>11.10292770103756</v>
      </c>
      <c r="I21" s="42">
        <v>10.966737525682836</v>
      </c>
      <c r="J21" s="42">
        <v>10.89794309651055</v>
      </c>
      <c r="K21" s="42">
        <v>13.718570184574933</v>
      </c>
      <c r="L21" s="42">
        <v>13.990318780200454</v>
      </c>
      <c r="M21" s="42">
        <v>7.6241114165542596</v>
      </c>
      <c r="N21" s="42">
        <v>9.1223797815607206</v>
      </c>
      <c r="O21" s="42">
        <v>10.812590708077929</v>
      </c>
      <c r="P21" s="42">
        <v>10.743387914695989</v>
      </c>
      <c r="Q21" s="42">
        <v>14.70431016328877</v>
      </c>
      <c r="R21" s="42">
        <v>129.68902425142716</v>
      </c>
      <c r="S21" s="42">
        <v>129.69639967896339</v>
      </c>
      <c r="T21" s="42">
        <v>7.4339332160886951</v>
      </c>
      <c r="U21" s="42">
        <v>10.439266139634947</v>
      </c>
      <c r="V21" s="42">
        <v>11.127536269002453</v>
      </c>
      <c r="W21" s="42">
        <v>11.100451904087057</v>
      </c>
      <c r="X21" s="42">
        <v>11.072654680394534</v>
      </c>
      <c r="Y21" s="42">
        <v>14.645962458950148</v>
      </c>
      <c r="Z21" s="42">
        <v>13.594894166794724</v>
      </c>
      <c r="AA21" s="42">
        <v>7.9783538511448429</v>
      </c>
      <c r="AB21" s="42">
        <v>8.5248035014029515</v>
      </c>
      <c r="AC21" s="42">
        <v>11.194507999385319</v>
      </c>
      <c r="AD21" s="42">
        <v>12.109879852704312</v>
      </c>
      <c r="AE21" s="42">
        <v>13.722918480828225</v>
      </c>
      <c r="AF21" s="42">
        <v>132.94516252041822</v>
      </c>
      <c r="AG21" s="42">
        <v>132.92923065321204</v>
      </c>
      <c r="AH21" s="42">
        <v>7.1752181262485708</v>
      </c>
      <c r="AI21" s="42">
        <v>10.36219059652478</v>
      </c>
      <c r="AJ21" s="42">
        <v>10.336953119219585</v>
      </c>
      <c r="AK21" s="42">
        <v>10.112903455301904</v>
      </c>
      <c r="AL21" s="42">
        <v>10.950516787041622</v>
      </c>
      <c r="AM21" s="42">
        <v>13.641715186595409</v>
      </c>
      <c r="AN21" s="42">
        <v>13.005449599034723</v>
      </c>
      <c r="AO21" s="42">
        <v>7.8736489832158041</v>
      </c>
      <c r="AP21" s="42">
        <v>8.319309508767736</v>
      </c>
      <c r="AQ21" s="42">
        <v>10.324763376417891</v>
      </c>
      <c r="AR21" s="42">
        <v>11.759649916619711</v>
      </c>
      <c r="AS21" s="42">
        <v>16.294490355774869</v>
      </c>
      <c r="AT21" s="42">
        <v>130.15680901076257</v>
      </c>
      <c r="AU21" s="42">
        <v>130.22729665275656</v>
      </c>
      <c r="AV21" s="42">
        <v>5.2784170000000001</v>
      </c>
      <c r="AW21" s="42">
        <v>10.023599000000001</v>
      </c>
      <c r="AX21" s="42">
        <v>10.239694999999999</v>
      </c>
      <c r="AY21" s="42">
        <v>11.921023</v>
      </c>
      <c r="AZ21" s="42">
        <v>9.6673939999999998</v>
      </c>
      <c r="BA21" s="42">
        <v>13.942443000000001</v>
      </c>
      <c r="BB21" s="42">
        <v>12.119851000000001</v>
      </c>
      <c r="BC21" s="42">
        <v>7.1985109999999999</v>
      </c>
      <c r="BD21" s="42">
        <v>8.4219670000000004</v>
      </c>
      <c r="BE21" s="42">
        <v>10.693745</v>
      </c>
      <c r="BF21" s="42">
        <v>12.214306000000001</v>
      </c>
      <c r="BG21" s="42">
        <v>15.695705999999999</v>
      </c>
      <c r="BH21" s="45">
        <f t="shared" si="6"/>
        <v>127.41665699999999</v>
      </c>
      <c r="BI21" s="45">
        <v>127.466379</v>
      </c>
      <c r="BJ21" s="42">
        <v>6.5005949999999997</v>
      </c>
      <c r="BK21" s="42">
        <v>10.912756</v>
      </c>
      <c r="BL21" s="42">
        <v>11.212391</v>
      </c>
      <c r="BM21" s="42">
        <v>12.158094</v>
      </c>
      <c r="BN21" s="42">
        <v>11.129699</v>
      </c>
      <c r="BO21" s="42">
        <v>15.043448</v>
      </c>
      <c r="BP21" s="42">
        <v>12.653162999999999</v>
      </c>
      <c r="BQ21" s="42">
        <v>8.371734</v>
      </c>
      <c r="BR21" s="42">
        <v>8.5878399999999999</v>
      </c>
      <c r="BS21" s="42">
        <v>10.904688</v>
      </c>
      <c r="BT21" s="42">
        <v>11.279056000000001</v>
      </c>
      <c r="BU21" s="42">
        <v>18.673888000000002</v>
      </c>
      <c r="BV21" s="45">
        <f t="shared" si="7"/>
        <v>137.42735200000001</v>
      </c>
      <c r="BW21" s="45">
        <f>137.371187+0.063686</f>
        <v>137.43487299999998</v>
      </c>
      <c r="BX21" s="45">
        <v>4.6285930000000004</v>
      </c>
      <c r="BY21" s="45">
        <v>10.237188</v>
      </c>
      <c r="BZ21" s="45">
        <v>10.676171999999999</v>
      </c>
      <c r="CA21" s="45">
        <v>10.825215</v>
      </c>
      <c r="CB21" s="45">
        <v>10.878166</v>
      </c>
      <c r="CC21" s="45">
        <v>12.944691000000001</v>
      </c>
      <c r="CD21" s="45">
        <v>15.404112</v>
      </c>
      <c r="CE21" s="45">
        <v>7.6216850000000003</v>
      </c>
      <c r="CF21" s="45">
        <v>7.8364700000000003</v>
      </c>
      <c r="CG21" s="45">
        <v>10.625219</v>
      </c>
      <c r="CH21" s="45">
        <v>11.455042000000001</v>
      </c>
      <c r="CI21" s="45">
        <v>19.360538999999999</v>
      </c>
      <c r="CJ21" s="45">
        <f t="shared" si="8"/>
        <v>132.49309200000002</v>
      </c>
      <c r="CK21" s="45">
        <v>132.42155299999999</v>
      </c>
      <c r="CL21" s="45">
        <v>4.4780119999999997</v>
      </c>
      <c r="CM21" s="45">
        <v>11.158052</v>
      </c>
      <c r="CN21" s="45">
        <v>11.193483000000001</v>
      </c>
      <c r="CO21" s="45">
        <v>13.735044</v>
      </c>
      <c r="CP21" s="45">
        <v>11.439341000000001</v>
      </c>
      <c r="CQ21" s="45">
        <v>15.346856000000001</v>
      </c>
      <c r="CR21" s="45">
        <v>15.856916999999999</v>
      </c>
      <c r="CS21" s="45">
        <v>9.1870270000000005</v>
      </c>
      <c r="CT21" s="45">
        <v>9.1637939999999993</v>
      </c>
      <c r="CU21" s="45">
        <v>12.060895</v>
      </c>
      <c r="CV21" s="45">
        <v>13.009812999999999</v>
      </c>
      <c r="CW21" s="45">
        <v>21.327532000000001</v>
      </c>
      <c r="CX21" s="45">
        <f t="shared" si="9"/>
        <v>147.95676599999999</v>
      </c>
      <c r="CY21" s="45">
        <v>147.90364600000001</v>
      </c>
      <c r="CZ21" s="45">
        <v>4.8423030000000002</v>
      </c>
      <c r="DA21" s="45">
        <v>12.726286999999999</v>
      </c>
      <c r="DB21" s="45">
        <v>12.533996999999999</v>
      </c>
      <c r="DC21" s="45">
        <v>13.520429999999999</v>
      </c>
      <c r="DD21" s="45">
        <v>13.042042</v>
      </c>
      <c r="DE21" s="45">
        <v>16.546876999999999</v>
      </c>
      <c r="DF21" s="45">
        <v>16.838744999999999</v>
      </c>
      <c r="DG21" s="45">
        <v>10.215847999999999</v>
      </c>
      <c r="DH21" s="45">
        <v>9.6457099999999993</v>
      </c>
      <c r="DI21" s="45">
        <v>12.989186999999999</v>
      </c>
      <c r="DJ21" s="45">
        <v>14.43182</v>
      </c>
      <c r="DK21" s="45">
        <v>22.553384000000001</v>
      </c>
      <c r="DL21" s="45">
        <f t="shared" si="10"/>
        <v>159.88662999999997</v>
      </c>
      <c r="DM21" s="45">
        <v>159.82521600000001</v>
      </c>
      <c r="DN21" s="45">
        <v>5.5086149999999998</v>
      </c>
      <c r="DO21" s="45">
        <v>14.229253999999999</v>
      </c>
      <c r="DP21" s="45">
        <v>14.467504999999999</v>
      </c>
      <c r="DQ21" s="45">
        <v>15.050739</v>
      </c>
      <c r="DR21" s="45">
        <v>14.607504</v>
      </c>
      <c r="DS21" s="45">
        <v>17.708459000000001</v>
      </c>
      <c r="DT21" s="45">
        <v>19.426131000000002</v>
      </c>
      <c r="DU21" s="45">
        <v>11.754305</v>
      </c>
      <c r="DV21" s="45">
        <v>11.454945</v>
      </c>
      <c r="DW21" s="45">
        <v>14.875192</v>
      </c>
      <c r="DX21" s="45">
        <v>17.311164999999999</v>
      </c>
      <c r="DY21" s="45">
        <v>23.779245</v>
      </c>
      <c r="DZ21" s="45">
        <f t="shared" si="18"/>
        <v>180.17305899999999</v>
      </c>
      <c r="EA21" s="45">
        <f>180.083405+0.254351</f>
        <v>180.33775600000001</v>
      </c>
      <c r="EB21" s="45">
        <v>6.4106030000000001</v>
      </c>
      <c r="EC21" s="45">
        <v>15.115983999999999</v>
      </c>
      <c r="ED21" s="45">
        <v>15.767855000000001</v>
      </c>
      <c r="EE21" s="45">
        <v>16.144093000000002</v>
      </c>
      <c r="EF21" s="42">
        <v>14.773860000000001</v>
      </c>
      <c r="EG21" s="45">
        <v>17.845587999999999</v>
      </c>
      <c r="EH21" s="45">
        <v>19.718817999999999</v>
      </c>
      <c r="EI21" s="42">
        <v>13.447519</v>
      </c>
      <c r="EJ21" s="45">
        <v>12.409447999999999</v>
      </c>
      <c r="EK21" s="45">
        <v>15.499983</v>
      </c>
      <c r="EL21" s="45">
        <v>16.948388000000001</v>
      </c>
      <c r="EM21" s="45">
        <v>28.714918999999998</v>
      </c>
      <c r="EN21" s="45">
        <f t="shared" si="19"/>
        <v>192.79705800000002</v>
      </c>
      <c r="EO21" s="45">
        <v>192.85583500000001</v>
      </c>
      <c r="EP21" s="45">
        <v>5.5322889999999996</v>
      </c>
      <c r="EQ21" s="45">
        <v>16.344783</v>
      </c>
      <c r="ER21" s="45">
        <v>17.078928999999999</v>
      </c>
      <c r="ES21" s="45">
        <v>18.2911</v>
      </c>
      <c r="ET21" s="45">
        <v>16.533593</v>
      </c>
      <c r="EU21" s="45">
        <v>19.627738000000001</v>
      </c>
      <c r="EV21" s="45">
        <v>22.614165</v>
      </c>
      <c r="EW21" s="45">
        <v>14.310268000000001</v>
      </c>
      <c r="EX21" s="45">
        <v>13.16389</v>
      </c>
      <c r="EY21" s="45">
        <v>17.195627000000002</v>
      </c>
      <c r="EZ21" s="45">
        <v>18.49878</v>
      </c>
      <c r="FA21" s="45">
        <v>29.933895</v>
      </c>
      <c r="FB21" s="45">
        <f t="shared" si="20"/>
        <v>209.12505700000003</v>
      </c>
      <c r="FC21" s="45">
        <v>209.188704</v>
      </c>
      <c r="FD21" s="45">
        <v>6.3761850000000004</v>
      </c>
      <c r="FE21" s="45">
        <v>16.702238000000001</v>
      </c>
      <c r="FF21" s="45">
        <v>17.027664999999999</v>
      </c>
      <c r="FG21" s="45">
        <v>17.976623</v>
      </c>
      <c r="FH21" s="45">
        <v>17.721284000000001</v>
      </c>
      <c r="FI21" s="45">
        <v>20.769839000000001</v>
      </c>
      <c r="FJ21" s="45">
        <v>22.852646</v>
      </c>
      <c r="FK21" s="45">
        <v>15.153283999999999</v>
      </c>
      <c r="FL21" s="45">
        <v>14.833689</v>
      </c>
      <c r="FM21" s="45">
        <v>18.091484999999999</v>
      </c>
      <c r="FN21" s="45">
        <v>18.272141000000001</v>
      </c>
      <c r="FO21" s="45">
        <v>29.265336999999999</v>
      </c>
      <c r="FP21" s="45">
        <f t="shared" si="21"/>
        <v>215.042416</v>
      </c>
      <c r="FQ21" s="45">
        <v>215.15844600000003</v>
      </c>
      <c r="FR21" s="45">
        <v>7.6573070000000003</v>
      </c>
      <c r="FS21" s="45">
        <v>18.958656999999999</v>
      </c>
      <c r="FT21" s="45">
        <v>18.391528000000001</v>
      </c>
      <c r="FU21" s="45">
        <v>19.357931000000001</v>
      </c>
      <c r="FV21" s="45">
        <v>18.780569</v>
      </c>
      <c r="FW21" s="45">
        <v>22.629041000000001</v>
      </c>
      <c r="FX21" s="45">
        <v>23.684863</v>
      </c>
      <c r="FY21" s="45">
        <v>17.091279</v>
      </c>
      <c r="FZ21" s="45">
        <v>15.674536</v>
      </c>
      <c r="GA21" s="45">
        <v>20.328514999999999</v>
      </c>
      <c r="GB21" s="45">
        <v>21.937905000000001</v>
      </c>
      <c r="GC21" s="45">
        <v>33.906751</v>
      </c>
      <c r="GD21" s="45">
        <f t="shared" si="11"/>
        <v>238.39888200000001</v>
      </c>
      <c r="GE21" s="45">
        <v>238.372614</v>
      </c>
      <c r="GF21" s="45">
        <v>8.3724980000000002</v>
      </c>
      <c r="GG21" s="45">
        <v>21.133406000000001</v>
      </c>
      <c r="GH21" s="45">
        <v>20.024840999999999</v>
      </c>
      <c r="GI21" s="45">
        <v>21.418071999999999</v>
      </c>
      <c r="GJ21" s="45">
        <v>21.360616</v>
      </c>
      <c r="GK21" s="45">
        <v>25.380579000000001</v>
      </c>
      <c r="GL21" s="45">
        <v>26.551479</v>
      </c>
      <c r="GM21" s="45">
        <v>19.022863999999998</v>
      </c>
      <c r="GN21" s="45">
        <v>17.079038000000001</v>
      </c>
      <c r="GO21" s="45">
        <v>22.478318000000002</v>
      </c>
      <c r="GP21" s="45">
        <v>23.809267999999999</v>
      </c>
      <c r="GQ21" s="45">
        <v>39.160922999999997</v>
      </c>
      <c r="GR21" s="45">
        <f t="shared" si="12"/>
        <v>265.79190199999999</v>
      </c>
      <c r="GS21" s="45">
        <f>265.791902+0.167467</f>
        <v>265.95936899999998</v>
      </c>
      <c r="GT21" s="45">
        <v>9.4831629999999993</v>
      </c>
      <c r="GU21" s="45">
        <v>23.354431999999999</v>
      </c>
      <c r="GV21" s="45">
        <v>24.251828</v>
      </c>
      <c r="GW21" s="45">
        <v>30.403327000000001</v>
      </c>
      <c r="GX21" s="45">
        <v>19.132024000000001</v>
      </c>
      <c r="GY21" s="45">
        <v>28.661933000000001</v>
      </c>
      <c r="GZ21" s="45">
        <v>31.22955</v>
      </c>
      <c r="HA21" s="45">
        <v>23.746524000000001</v>
      </c>
      <c r="HB21" s="45">
        <v>20.222465</v>
      </c>
      <c r="HC21" s="45">
        <v>25.518763</v>
      </c>
      <c r="HD21" s="45">
        <v>27.413997999999999</v>
      </c>
      <c r="HE21" s="45">
        <v>44.235433999999998</v>
      </c>
      <c r="HF21" s="45">
        <f t="shared" si="13"/>
        <v>307.65344099999999</v>
      </c>
      <c r="HG21" s="45">
        <v>10.626132</v>
      </c>
      <c r="HH21" s="45">
        <v>25.72476</v>
      </c>
      <c r="HI21" s="45">
        <v>26.090692000000001</v>
      </c>
      <c r="HJ21" s="45">
        <v>29.294926</v>
      </c>
      <c r="HK21" s="45"/>
      <c r="HL21" s="45"/>
      <c r="HM21" s="45"/>
      <c r="HN21" s="45"/>
      <c r="HO21" s="45"/>
      <c r="HP21" s="45"/>
      <c r="HQ21" s="45"/>
      <c r="HR21" s="45"/>
      <c r="HS21" s="283">
        <f t="shared" si="14"/>
        <v>87.492750000000001</v>
      </c>
      <c r="HT21" s="283">
        <f t="shared" si="15"/>
        <v>91.736509999999996</v>
      </c>
      <c r="HU21" s="280">
        <f t="shared" si="16"/>
        <v>4.2437599999999946</v>
      </c>
      <c r="HV21" s="280">
        <f t="shared" si="17"/>
        <v>4.8504133199607935</v>
      </c>
    </row>
    <row r="22" spans="1:230" s="12" customFormat="1" ht="20.5">
      <c r="A22" s="314" t="s">
        <v>125</v>
      </c>
      <c r="B22" s="13">
        <v>1200</v>
      </c>
      <c r="C22" s="47" t="s">
        <v>250</v>
      </c>
      <c r="D22" s="42">
        <v>26.424038565517552</v>
      </c>
      <c r="E22" s="42">
        <v>27.40629847012335</v>
      </c>
      <c r="F22" s="42">
        <v>1.3620255433947446</v>
      </c>
      <c r="G22" s="42">
        <v>1.9840054979766766</v>
      </c>
      <c r="H22" s="42">
        <v>2.903675847035589</v>
      </c>
      <c r="I22" s="42">
        <v>2.3906238439166541</v>
      </c>
      <c r="J22" s="42">
        <v>2.6242181319400575</v>
      </c>
      <c r="K22" s="42">
        <v>2.1382376878902227</v>
      </c>
      <c r="L22" s="42">
        <v>4.1216100079111673</v>
      </c>
      <c r="M22" s="42">
        <v>1.7296017097227676</v>
      </c>
      <c r="N22" s="42">
        <v>2.2621812055708279</v>
      </c>
      <c r="O22" s="42">
        <v>2.352781145241063</v>
      </c>
      <c r="P22" s="42">
        <v>2.1756421420481389</v>
      </c>
      <c r="Q22" s="42">
        <v>3.8540361181780409</v>
      </c>
      <c r="R22" s="42">
        <v>29.898638880825956</v>
      </c>
      <c r="S22" s="42">
        <v>29.894068531196321</v>
      </c>
      <c r="T22" s="42">
        <v>1.8844613861048032</v>
      </c>
      <c r="U22" s="42">
        <v>1.9186885675095759</v>
      </c>
      <c r="V22" s="42">
        <v>2.5930956568260854</v>
      </c>
      <c r="W22" s="42">
        <v>3.1727053346309924</v>
      </c>
      <c r="X22" s="42">
        <v>2.6207719364147044</v>
      </c>
      <c r="Y22" s="42">
        <v>2.4677406503093322</v>
      </c>
      <c r="Z22" s="42">
        <v>3.3917151865954094</v>
      </c>
      <c r="AA22" s="42">
        <v>2.5626490458221638</v>
      </c>
      <c r="AB22" s="42">
        <v>2.218299838930911</v>
      </c>
      <c r="AC22" s="42">
        <v>2.5746452780576092</v>
      </c>
      <c r="AD22" s="42">
        <v>2.5349528460281956</v>
      </c>
      <c r="AE22" s="42">
        <v>3.5008508773427587</v>
      </c>
      <c r="AF22" s="42">
        <v>31.440576604572545</v>
      </c>
      <c r="AG22" s="42">
        <v>31.432782838458515</v>
      </c>
      <c r="AH22" s="42">
        <v>1.7099803074541409</v>
      </c>
      <c r="AI22" s="42">
        <v>2.3887243100494588</v>
      </c>
      <c r="AJ22" s="42">
        <v>2.6057051468119132</v>
      </c>
      <c r="AK22" s="42">
        <v>2.486691879955151</v>
      </c>
      <c r="AL22" s="42">
        <v>2.5203143408404052</v>
      </c>
      <c r="AM22" s="42">
        <v>2.8948426588351803</v>
      </c>
      <c r="AN22" s="42">
        <v>3.2977188519131935</v>
      </c>
      <c r="AO22" s="42">
        <v>2.4238749352593327</v>
      </c>
      <c r="AP22" s="42">
        <v>1.8591883370043425</v>
      </c>
      <c r="AQ22" s="42">
        <v>2.4729882015469462</v>
      </c>
      <c r="AR22" s="42">
        <v>2.592357186356367</v>
      </c>
      <c r="AS22" s="42">
        <v>4.2056035537646341</v>
      </c>
      <c r="AT22" s="42">
        <v>31.457989709791072</v>
      </c>
      <c r="AU22" s="42">
        <v>31.430060771029655</v>
      </c>
      <c r="AV22" s="42">
        <v>1.0797810000000001</v>
      </c>
      <c r="AW22" s="42">
        <v>2.3723290000000001</v>
      </c>
      <c r="AX22" s="42">
        <v>2.386924</v>
      </c>
      <c r="AY22" s="42">
        <v>2.5695100000000002</v>
      </c>
      <c r="AZ22" s="42">
        <v>2.303283</v>
      </c>
      <c r="BA22" s="42">
        <v>2.649435</v>
      </c>
      <c r="BB22" s="42">
        <v>3.1855560000000001</v>
      </c>
      <c r="BC22" s="42">
        <v>2.282349</v>
      </c>
      <c r="BD22" s="42">
        <v>2.1321780000000001</v>
      </c>
      <c r="BE22" s="42">
        <v>2.5189360000000001</v>
      </c>
      <c r="BF22" s="42">
        <v>2.5964800000000001</v>
      </c>
      <c r="BG22" s="42">
        <v>3.5301480000000001</v>
      </c>
      <c r="BH22" s="45">
        <f t="shared" si="6"/>
        <v>29.606909000000002</v>
      </c>
      <c r="BI22" s="45">
        <v>29.616962999999998</v>
      </c>
      <c r="BJ22" s="42">
        <v>1.5782769999999999</v>
      </c>
      <c r="BK22" s="42">
        <v>2.527838</v>
      </c>
      <c r="BL22" s="42">
        <v>2.718442</v>
      </c>
      <c r="BM22" s="42">
        <v>2.4854120000000002</v>
      </c>
      <c r="BN22" s="42">
        <v>2.7330450000000002</v>
      </c>
      <c r="BO22" s="42">
        <v>2.6440239999999999</v>
      </c>
      <c r="BP22" s="42">
        <v>3.8378510000000001</v>
      </c>
      <c r="BQ22" s="42">
        <v>2.4113150000000001</v>
      </c>
      <c r="BR22" s="42">
        <v>2.202785</v>
      </c>
      <c r="BS22" s="42">
        <v>2.5186500000000001</v>
      </c>
      <c r="BT22" s="42">
        <v>2.7219790000000001</v>
      </c>
      <c r="BU22" s="42">
        <v>4.1641469999999998</v>
      </c>
      <c r="BV22" s="45">
        <f t="shared" si="7"/>
        <v>32.543765000000008</v>
      </c>
      <c r="BW22" s="45">
        <f>BW20-BW21</f>
        <v>32.542943000000008</v>
      </c>
      <c r="BX22" s="45">
        <v>1.2627999999999999</v>
      </c>
      <c r="BY22" s="45">
        <v>2.496073</v>
      </c>
      <c r="BZ22" s="45">
        <v>2.696644</v>
      </c>
      <c r="CA22" s="45">
        <v>2.5705110000000002</v>
      </c>
      <c r="CB22" s="45">
        <v>2.5061979999999999</v>
      </c>
      <c r="CC22" s="45">
        <v>2.7921800000000001</v>
      </c>
      <c r="CD22" s="45">
        <v>3.4590360000000002</v>
      </c>
      <c r="CE22" s="45">
        <v>2.573423</v>
      </c>
      <c r="CF22" s="45">
        <v>2.0017610000000001</v>
      </c>
      <c r="CG22" s="45">
        <v>2.5329700000000002</v>
      </c>
      <c r="CH22" s="45">
        <v>2.6215410000000001</v>
      </c>
      <c r="CI22" s="45">
        <v>4.4901289999999996</v>
      </c>
      <c r="CJ22" s="45">
        <f t="shared" si="8"/>
        <v>32.003265999999996</v>
      </c>
      <c r="CK22" s="45">
        <v>31.999092000000001</v>
      </c>
      <c r="CL22" s="45">
        <v>1.1943729999999999</v>
      </c>
      <c r="CM22" s="45">
        <v>2.7646760000000001</v>
      </c>
      <c r="CN22" s="45">
        <v>2.9727610000000002</v>
      </c>
      <c r="CO22" s="45">
        <v>3.141194</v>
      </c>
      <c r="CP22" s="45">
        <v>2.777174</v>
      </c>
      <c r="CQ22" s="45">
        <v>3.3861750000000002</v>
      </c>
      <c r="CR22" s="45">
        <v>3.8558910000000002</v>
      </c>
      <c r="CS22" s="45">
        <v>2.7833230000000002</v>
      </c>
      <c r="CT22" s="45">
        <v>2.8967710000000002</v>
      </c>
      <c r="CU22" s="45">
        <v>2.670331</v>
      </c>
      <c r="CV22" s="45">
        <v>3.2751130000000002</v>
      </c>
      <c r="CW22" s="45">
        <v>5.3245269999999998</v>
      </c>
      <c r="CX22" s="45">
        <f t="shared" si="9"/>
        <v>37.042309000000003</v>
      </c>
      <c r="CY22" s="45">
        <v>37.035231000000003</v>
      </c>
      <c r="CZ22" s="45">
        <v>1.0246120000000001</v>
      </c>
      <c r="DA22" s="45">
        <v>3.2058460000000002</v>
      </c>
      <c r="DB22" s="45">
        <v>3.2337980000000002</v>
      </c>
      <c r="DC22" s="45">
        <v>3.3369789999999999</v>
      </c>
      <c r="DD22" s="45">
        <v>3.3020710000000002</v>
      </c>
      <c r="DE22" s="45">
        <v>3.4442240000000002</v>
      </c>
      <c r="DF22" s="45">
        <v>4.4559639999999998</v>
      </c>
      <c r="DG22" s="45">
        <v>3.4721500000000001</v>
      </c>
      <c r="DH22" s="45">
        <v>2.6975690000000001</v>
      </c>
      <c r="DI22" s="45">
        <v>3.2077490000000002</v>
      </c>
      <c r="DJ22" s="45">
        <v>3.8966050000000001</v>
      </c>
      <c r="DK22" s="45">
        <v>5.612921</v>
      </c>
      <c r="DL22" s="45">
        <f t="shared" si="10"/>
        <v>40.890488000000005</v>
      </c>
      <c r="DM22" s="45">
        <v>40.883119000000001</v>
      </c>
      <c r="DN22" s="45">
        <v>1.344649</v>
      </c>
      <c r="DO22" s="45">
        <v>3.507762</v>
      </c>
      <c r="DP22" s="45">
        <v>3.8322919999999998</v>
      </c>
      <c r="DQ22" s="45">
        <v>3.661886</v>
      </c>
      <c r="DR22" s="45">
        <v>3.600479</v>
      </c>
      <c r="DS22" s="45">
        <v>3.9120659999999998</v>
      </c>
      <c r="DT22" s="45">
        <v>5.5333620000000003</v>
      </c>
      <c r="DU22" s="45">
        <v>3.5081129999999998</v>
      </c>
      <c r="DV22" s="45">
        <v>3.1445210000000001</v>
      </c>
      <c r="DW22" s="45">
        <v>3.8084739999999999</v>
      </c>
      <c r="DX22" s="45">
        <v>4.0656970000000001</v>
      </c>
      <c r="DY22" s="45">
        <v>6.2412879999999999</v>
      </c>
      <c r="DZ22" s="45">
        <f t="shared" si="18"/>
        <v>46.160588999999987</v>
      </c>
      <c r="EA22" s="45">
        <f>46.144907+0.040374</f>
        <v>46.185281000000003</v>
      </c>
      <c r="EB22" s="45">
        <v>1.4598439999999999</v>
      </c>
      <c r="EC22" s="45">
        <v>3.7477230000000001</v>
      </c>
      <c r="ED22" s="45">
        <v>4.0275420000000004</v>
      </c>
      <c r="EE22" s="45">
        <v>4.0344790000000001</v>
      </c>
      <c r="EF22" s="42">
        <v>3.6783199999999998</v>
      </c>
      <c r="EG22" s="45">
        <v>3.5992760000000001</v>
      </c>
      <c r="EH22" s="45">
        <v>5.4584489999999999</v>
      </c>
      <c r="EI22" s="42">
        <v>3.8806790000000002</v>
      </c>
      <c r="EJ22" s="45">
        <v>3.2750249999999999</v>
      </c>
      <c r="EK22" s="45">
        <v>3.868563</v>
      </c>
      <c r="EL22" s="45">
        <v>4.2471540000000001</v>
      </c>
      <c r="EM22" s="45">
        <v>7.0329189999999997</v>
      </c>
      <c r="EN22" s="45">
        <f t="shared" si="19"/>
        <v>48.309973000000006</v>
      </c>
      <c r="EO22" s="45">
        <v>48.315956999999997</v>
      </c>
      <c r="EP22" s="45">
        <v>1.240435</v>
      </c>
      <c r="EQ22" s="45">
        <v>3.8875039999999998</v>
      </c>
      <c r="ER22" s="45">
        <v>4.2047249999999998</v>
      </c>
      <c r="ES22" s="45">
        <v>4.7858450000000001</v>
      </c>
      <c r="ET22" s="45">
        <v>3.910733</v>
      </c>
      <c r="EU22" s="45">
        <v>4.336595</v>
      </c>
      <c r="EV22" s="45">
        <v>5.5043300000000004</v>
      </c>
      <c r="EW22" s="45">
        <v>4.21882</v>
      </c>
      <c r="EX22" s="45">
        <v>3.4236580000000001</v>
      </c>
      <c r="EY22" s="45">
        <v>4.2463319999999998</v>
      </c>
      <c r="EZ22" s="45">
        <v>4.5708359999999999</v>
      </c>
      <c r="FA22" s="45">
        <v>7.1711590000000003</v>
      </c>
      <c r="FB22" s="45">
        <f t="shared" si="20"/>
        <v>51.500972000000004</v>
      </c>
      <c r="FC22" s="45">
        <v>51.512428</v>
      </c>
      <c r="FD22" s="45">
        <v>1.441578</v>
      </c>
      <c r="FE22" s="45">
        <v>4.1183839999999998</v>
      </c>
      <c r="FF22" s="45">
        <v>4.3090390000000003</v>
      </c>
      <c r="FG22" s="45">
        <v>4.4318799999999996</v>
      </c>
      <c r="FH22" s="45">
        <v>4.2777190000000003</v>
      </c>
      <c r="FI22" s="45">
        <v>4.4759289999999998</v>
      </c>
      <c r="FJ22" s="45">
        <v>5.6038119999999996</v>
      </c>
      <c r="FK22" s="45">
        <v>4.9165489999999998</v>
      </c>
      <c r="FL22" s="45">
        <v>3.8766229999999999</v>
      </c>
      <c r="FM22" s="45">
        <v>4.5399669999999999</v>
      </c>
      <c r="FN22" s="45">
        <v>4.365666</v>
      </c>
      <c r="FO22" s="45">
        <v>6.9809850000000004</v>
      </c>
      <c r="FP22" s="45">
        <f t="shared" si="21"/>
        <v>53.33813099999999</v>
      </c>
      <c r="FQ22" s="45">
        <v>53.365111999999996</v>
      </c>
      <c r="FR22" s="45">
        <v>2.3561960000000002</v>
      </c>
      <c r="FS22" s="45">
        <v>4.6715949999999999</v>
      </c>
      <c r="FT22" s="45">
        <v>4.702445</v>
      </c>
      <c r="FU22" s="45">
        <v>4.7398400000000001</v>
      </c>
      <c r="FV22" s="45">
        <v>4.6349419999999997</v>
      </c>
      <c r="FW22" s="45">
        <v>4.9276540000000004</v>
      </c>
      <c r="FX22" s="45">
        <v>5.8955310000000001</v>
      </c>
      <c r="FY22" s="45">
        <v>5.4730259999999999</v>
      </c>
      <c r="FZ22" s="45">
        <v>4.4650169999999996</v>
      </c>
      <c r="GA22" s="45">
        <v>4.867991</v>
      </c>
      <c r="GB22" s="45">
        <v>5.668863</v>
      </c>
      <c r="GC22" s="45">
        <v>8.1688899999999993</v>
      </c>
      <c r="GD22" s="45">
        <f t="shared" si="11"/>
        <v>60.571990000000007</v>
      </c>
      <c r="GE22" s="45">
        <v>60.601345999999999</v>
      </c>
      <c r="GF22" s="45">
        <v>2.0004119999999999</v>
      </c>
      <c r="GG22" s="45">
        <v>5.4572019999999997</v>
      </c>
      <c r="GH22" s="45">
        <v>5.1753270000000002</v>
      </c>
      <c r="GI22" s="45">
        <v>5.243595</v>
      </c>
      <c r="GJ22" s="45">
        <v>5.3697660000000003</v>
      </c>
      <c r="GK22" s="45">
        <v>5.5150540000000001</v>
      </c>
      <c r="GL22" s="45">
        <v>7.1183969999999999</v>
      </c>
      <c r="GM22" s="45">
        <v>6.0835369999999998</v>
      </c>
      <c r="GN22" s="45">
        <v>4.5256189999999998</v>
      </c>
      <c r="GO22" s="45">
        <v>6.2462720000000003</v>
      </c>
      <c r="GP22" s="45">
        <v>6.5610489999999997</v>
      </c>
      <c r="GQ22" s="45">
        <v>9.4043670000000006</v>
      </c>
      <c r="GR22" s="45">
        <f t="shared" si="12"/>
        <v>68.700596999999988</v>
      </c>
      <c r="GS22" s="45">
        <f>68.700597+0.048524</f>
        <v>68.749121000000002</v>
      </c>
      <c r="GT22" s="45">
        <v>2.3237580000000002</v>
      </c>
      <c r="GU22" s="45">
        <v>6.12453</v>
      </c>
      <c r="GV22" s="45">
        <v>6.2919879999999999</v>
      </c>
      <c r="GW22" s="45">
        <v>6.2725749999999998</v>
      </c>
      <c r="GX22" s="45">
        <v>5.9788540000000001</v>
      </c>
      <c r="GY22" s="45">
        <v>6.8415850000000002</v>
      </c>
      <c r="GZ22" s="45">
        <v>7.5426380000000002</v>
      </c>
      <c r="HA22" s="45">
        <v>7.8391960000000003</v>
      </c>
      <c r="HB22" s="45">
        <v>6.0103070000000001</v>
      </c>
      <c r="HC22" s="45">
        <v>6.2851520000000001</v>
      </c>
      <c r="HD22" s="45">
        <v>6.8897880000000002</v>
      </c>
      <c r="HE22" s="45">
        <v>11.10032</v>
      </c>
      <c r="HF22" s="45">
        <f t="shared" si="13"/>
        <v>79.500690999999989</v>
      </c>
      <c r="HG22" s="45">
        <v>2.7595709999999998</v>
      </c>
      <c r="HH22" s="45">
        <v>5.7513589999999999</v>
      </c>
      <c r="HI22" s="45">
        <v>6.602182</v>
      </c>
      <c r="HJ22" s="45">
        <v>7.7381419999999999</v>
      </c>
      <c r="HK22" s="45"/>
      <c r="HL22" s="45"/>
      <c r="HM22" s="45"/>
      <c r="HN22" s="45"/>
      <c r="HO22" s="45"/>
      <c r="HP22" s="45"/>
      <c r="HQ22" s="45"/>
      <c r="HR22" s="45"/>
      <c r="HS22" s="283">
        <f t="shared" si="14"/>
        <v>21.012851000000001</v>
      </c>
      <c r="HT22" s="283">
        <f t="shared" si="15"/>
        <v>22.851254000000001</v>
      </c>
      <c r="HU22" s="280">
        <f t="shared" si="16"/>
        <v>1.8384029999999996</v>
      </c>
      <c r="HV22" s="280">
        <f t="shared" si="17"/>
        <v>8.7489460616267536</v>
      </c>
    </row>
    <row r="23" spans="1:230" s="12" customFormat="1" ht="20.5">
      <c r="A23" s="314" t="s">
        <v>127</v>
      </c>
      <c r="B23" s="13">
        <v>2000</v>
      </c>
      <c r="C23" s="47" t="s">
        <v>128</v>
      </c>
      <c r="D23" s="42">
        <v>47.32101695494049</v>
      </c>
      <c r="E23" s="42">
        <v>61.662694307329268</v>
      </c>
      <c r="F23" s="42">
        <v>4.4194754156208562</v>
      </c>
      <c r="G23" s="42">
        <v>5.2862803854275162</v>
      </c>
      <c r="H23" s="42">
        <v>6.3668177756529571</v>
      </c>
      <c r="I23" s="42">
        <v>5.2959359935344708</v>
      </c>
      <c r="J23" s="42">
        <v>6.0158166430469953</v>
      </c>
      <c r="K23" s="42">
        <v>5.6879827092617568</v>
      </c>
      <c r="L23" s="42">
        <v>4.9514701111547454</v>
      </c>
      <c r="M23" s="42">
        <v>4.5832323094347789</v>
      </c>
      <c r="N23" s="42">
        <v>5.964832300328399</v>
      </c>
      <c r="O23" s="42">
        <v>5.4179970518096088</v>
      </c>
      <c r="P23" s="42">
        <v>6.015904861099254</v>
      </c>
      <c r="Q23" s="42">
        <v>10.151523041986101</v>
      </c>
      <c r="R23" s="42">
        <v>70.157268598357433</v>
      </c>
      <c r="S23" s="42">
        <v>69.756398014388978</v>
      </c>
      <c r="T23" s="42">
        <v>5.1925942368000184</v>
      </c>
      <c r="U23" s="42">
        <v>5.7193982959687197</v>
      </c>
      <c r="V23" s="42">
        <v>6.6690798572575005</v>
      </c>
      <c r="W23" s="42">
        <v>7.1966408842294589</v>
      </c>
      <c r="X23" s="42">
        <v>6.9596943102202031</v>
      </c>
      <c r="Y23" s="42">
        <v>5.6122674316025529</v>
      </c>
      <c r="Z23" s="42">
        <v>5.86448711162714</v>
      </c>
      <c r="AA23" s="42">
        <v>4.9437111911713654</v>
      </c>
      <c r="AB23" s="42">
        <v>5.3042640622421047</v>
      </c>
      <c r="AC23" s="42">
        <v>6.7509974331392533</v>
      </c>
      <c r="AD23" s="42">
        <v>6.8085867468028072</v>
      </c>
      <c r="AE23" s="42">
        <v>8.6633670269378094</v>
      </c>
      <c r="AF23" s="42">
        <v>75.685088587998933</v>
      </c>
      <c r="AG23" s="42">
        <v>75.781898694460722</v>
      </c>
      <c r="AH23" s="42">
        <v>5.7443953079379169</v>
      </c>
      <c r="AI23" s="42">
        <v>5.666750616103494</v>
      </c>
      <c r="AJ23" s="42">
        <v>6.520788157153345</v>
      </c>
      <c r="AK23" s="42">
        <v>7.7874087227733471</v>
      </c>
      <c r="AL23" s="42">
        <v>6.2938842123835377</v>
      </c>
      <c r="AM23" s="42">
        <v>5.6081510634543905</v>
      </c>
      <c r="AN23" s="42">
        <v>5.7154484038224034</v>
      </c>
      <c r="AO23" s="42">
        <v>5.9324733496109872</v>
      </c>
      <c r="AP23" s="42">
        <v>5.6648781168007014</v>
      </c>
      <c r="AQ23" s="42">
        <v>6.0394363151034991</v>
      </c>
      <c r="AR23" s="42">
        <v>7.1803390418950377</v>
      </c>
      <c r="AS23" s="42">
        <v>8.5262676364960921</v>
      </c>
      <c r="AT23" s="42">
        <v>76.680220943534735</v>
      </c>
      <c r="AU23" s="42">
        <v>76.328166855832976</v>
      </c>
      <c r="AV23" s="42">
        <v>5.1498660000000003</v>
      </c>
      <c r="AW23" s="42">
        <v>5.6645640000000004</v>
      </c>
      <c r="AX23" s="42">
        <v>6.4390200000000002</v>
      </c>
      <c r="AY23" s="42">
        <v>6.153562</v>
      </c>
      <c r="AZ23" s="42">
        <v>5.4652849999999997</v>
      </c>
      <c r="BA23" s="42">
        <v>4.6902330000000001</v>
      </c>
      <c r="BB23" s="42">
        <v>5.6641779999999997</v>
      </c>
      <c r="BC23" s="42">
        <v>4.7185499999999996</v>
      </c>
      <c r="BD23" s="42">
        <v>6.002033</v>
      </c>
      <c r="BE23" s="42">
        <v>6.5151409999999998</v>
      </c>
      <c r="BF23" s="42">
        <v>7.6774800000000001</v>
      </c>
      <c r="BG23" s="42">
        <v>9.1658329999999992</v>
      </c>
      <c r="BH23" s="45">
        <f t="shared" si="6"/>
        <v>73.305745000000002</v>
      </c>
      <c r="BI23" s="45">
        <v>73.180918000000005</v>
      </c>
      <c r="BJ23" s="42">
        <v>5.3613580000000001</v>
      </c>
      <c r="BK23" s="42">
        <v>5.9477120000000001</v>
      </c>
      <c r="BL23" s="42">
        <v>6.6417659999999996</v>
      </c>
      <c r="BM23" s="42">
        <v>6.3214699999999997</v>
      </c>
      <c r="BN23" s="42">
        <v>6.3906280000000004</v>
      </c>
      <c r="BO23" s="42">
        <v>6.3512079999999997</v>
      </c>
      <c r="BP23" s="42">
        <v>6.2279879999999999</v>
      </c>
      <c r="BQ23" s="42">
        <v>6.037318</v>
      </c>
      <c r="BR23" s="42">
        <v>6.234712</v>
      </c>
      <c r="BS23" s="42">
        <v>5.9764860000000004</v>
      </c>
      <c r="BT23" s="42">
        <v>7.5502419999999999</v>
      </c>
      <c r="BU23" s="42">
        <v>11.924486</v>
      </c>
      <c r="BV23" s="45">
        <f t="shared" si="7"/>
        <v>80.965374000000011</v>
      </c>
      <c r="BW23" s="45">
        <f>80.892601+0.123209</f>
        <v>81.015810000000002</v>
      </c>
      <c r="BX23" s="45">
        <v>5.2589560000000004</v>
      </c>
      <c r="BY23" s="45">
        <v>6.2725989999999996</v>
      </c>
      <c r="BZ23" s="45">
        <v>6.4744890000000002</v>
      </c>
      <c r="CA23" s="45">
        <v>6.5438830000000001</v>
      </c>
      <c r="CB23" s="45">
        <v>6.2161080000000002</v>
      </c>
      <c r="CC23" s="45">
        <v>5.2886629999999997</v>
      </c>
      <c r="CD23" s="45">
        <v>5.4292439999999997</v>
      </c>
      <c r="CE23" s="45">
        <v>4.9901340000000003</v>
      </c>
      <c r="CF23" s="45">
        <v>5.8573950000000004</v>
      </c>
      <c r="CG23" s="45">
        <v>5.7465200000000003</v>
      </c>
      <c r="CH23" s="45">
        <v>6.7972109999999999</v>
      </c>
      <c r="CI23" s="45">
        <v>9.205133</v>
      </c>
      <c r="CJ23" s="45">
        <f t="shared" si="8"/>
        <v>74.080335000000005</v>
      </c>
      <c r="CK23" s="45">
        <v>73.815521000000004</v>
      </c>
      <c r="CL23" s="45">
        <v>5.4543910000000002</v>
      </c>
      <c r="CM23" s="45">
        <v>5.960483</v>
      </c>
      <c r="CN23" s="45">
        <v>7.7558759999999998</v>
      </c>
      <c r="CO23" s="45">
        <v>6.4418340000000001</v>
      </c>
      <c r="CP23" s="45">
        <v>7.3742679999999998</v>
      </c>
      <c r="CQ23" s="45">
        <v>6.1888560000000004</v>
      </c>
      <c r="CR23" s="45">
        <v>5.3892720000000001</v>
      </c>
      <c r="CS23" s="45">
        <v>5.8181589999999996</v>
      </c>
      <c r="CT23" s="45">
        <v>7.0929120000000001</v>
      </c>
      <c r="CU23" s="45">
        <v>6.4874499999999999</v>
      </c>
      <c r="CV23" s="45">
        <v>7.5883250000000002</v>
      </c>
      <c r="CW23" s="45">
        <v>10.189576000000001</v>
      </c>
      <c r="CX23" s="45">
        <f t="shared" si="9"/>
        <v>81.741402000000008</v>
      </c>
      <c r="CY23" s="45">
        <v>81.793520000000001</v>
      </c>
      <c r="CZ23" s="45">
        <v>7.3297319999999999</v>
      </c>
      <c r="DA23" s="45">
        <v>6.2211670000000003</v>
      </c>
      <c r="DB23" s="45">
        <v>8.0427800000000005</v>
      </c>
      <c r="DC23" s="45">
        <v>8.0209440000000001</v>
      </c>
      <c r="DD23" s="45">
        <v>8.9814170000000004</v>
      </c>
      <c r="DE23" s="45">
        <v>7.7901819999999997</v>
      </c>
      <c r="DF23" s="45">
        <v>6.8879210000000004</v>
      </c>
      <c r="DG23" s="45">
        <v>6.7742990000000001</v>
      </c>
      <c r="DH23" s="45">
        <v>6.5823640000000001</v>
      </c>
      <c r="DI23" s="45">
        <v>7.1243489999999996</v>
      </c>
      <c r="DJ23" s="45">
        <v>8.208717</v>
      </c>
      <c r="DK23" s="45">
        <v>12.815381</v>
      </c>
      <c r="DL23" s="45">
        <f t="shared" si="10"/>
        <v>94.779253000000011</v>
      </c>
      <c r="DM23" s="45">
        <v>94.575969999999998</v>
      </c>
      <c r="DN23" s="45">
        <v>6.5928750000000003</v>
      </c>
      <c r="DO23" s="45">
        <v>7.9920439999999999</v>
      </c>
      <c r="DP23" s="45">
        <v>8.5802879999999995</v>
      </c>
      <c r="DQ23" s="45">
        <v>8.7711279999999991</v>
      </c>
      <c r="DR23" s="45">
        <v>9.2110179999999993</v>
      </c>
      <c r="DS23" s="45">
        <v>8.167548</v>
      </c>
      <c r="DT23" s="45">
        <v>9.0984800000000003</v>
      </c>
      <c r="DU23" s="45">
        <v>8.2966829999999998</v>
      </c>
      <c r="DV23" s="45">
        <v>8.8620339999999995</v>
      </c>
      <c r="DW23" s="45">
        <v>9.6516979999999997</v>
      </c>
      <c r="DX23" s="45">
        <v>8.5239209999999996</v>
      </c>
      <c r="DY23" s="45">
        <v>12.318633999999999</v>
      </c>
      <c r="DZ23" s="45">
        <f t="shared" si="18"/>
        <v>106.06635099999998</v>
      </c>
      <c r="EA23" s="45">
        <f>105.345227+0.547926</f>
        <v>105.893153</v>
      </c>
      <c r="EB23" s="45">
        <v>8.2543349999999993</v>
      </c>
      <c r="EC23" s="45">
        <v>8.273199</v>
      </c>
      <c r="ED23" s="45">
        <v>8.483053</v>
      </c>
      <c r="EE23" s="45">
        <v>7.2086350000000001</v>
      </c>
      <c r="EF23" s="42">
        <v>6.6416060000000003</v>
      </c>
      <c r="EG23" s="45">
        <v>6.082185</v>
      </c>
      <c r="EH23" s="45">
        <v>10.424363</v>
      </c>
      <c r="EI23" s="42">
        <v>5.637276</v>
      </c>
      <c r="EJ23" s="45">
        <v>8.1782369999999993</v>
      </c>
      <c r="EK23" s="45">
        <v>9.0945929999999997</v>
      </c>
      <c r="EL23" s="45">
        <v>8.2793390000000002</v>
      </c>
      <c r="EM23" s="45">
        <v>13.715843</v>
      </c>
      <c r="EN23" s="45">
        <f t="shared" si="19"/>
        <v>100.27266400000002</v>
      </c>
      <c r="EO23" s="45">
        <v>99.701225000000051</v>
      </c>
      <c r="EP23" s="45">
        <v>6.2751150000000004</v>
      </c>
      <c r="EQ23" s="45">
        <v>7.1641300000000001</v>
      </c>
      <c r="ER23" s="45">
        <v>8.9193630000000006</v>
      </c>
      <c r="ES23" s="45">
        <v>8.4226200000000002</v>
      </c>
      <c r="ET23" s="45">
        <v>10.449773</v>
      </c>
      <c r="EU23" s="45">
        <v>9.2472110000000001</v>
      </c>
      <c r="EV23" s="45">
        <v>9.8885819999999995</v>
      </c>
      <c r="EW23" s="45">
        <v>10.502295</v>
      </c>
      <c r="EX23" s="45">
        <v>9.3561119999999995</v>
      </c>
      <c r="EY23" s="45">
        <v>10.291527</v>
      </c>
      <c r="EZ23" s="45">
        <v>11.849138</v>
      </c>
      <c r="FA23" s="45">
        <v>16.977368999999999</v>
      </c>
      <c r="FB23" s="45">
        <f t="shared" si="20"/>
        <v>119.34323499999999</v>
      </c>
      <c r="FC23" s="45">
        <f>118.379778+0.274988</f>
        <v>118.654766</v>
      </c>
      <c r="FD23" s="45">
        <v>10.868073000000001</v>
      </c>
      <c r="FE23" s="45">
        <v>9.4450590000000005</v>
      </c>
      <c r="FF23" s="45">
        <v>13.503323</v>
      </c>
      <c r="FG23" s="45">
        <v>11.832354</v>
      </c>
      <c r="FH23" s="45">
        <v>12.264707</v>
      </c>
      <c r="FI23" s="45">
        <v>10.729403</v>
      </c>
      <c r="FJ23" s="45">
        <v>11.95435</v>
      </c>
      <c r="FK23" s="45">
        <v>10.994978</v>
      </c>
      <c r="FL23" s="45">
        <v>13.551645000000001</v>
      </c>
      <c r="FM23" s="45">
        <v>12.822607</v>
      </c>
      <c r="FN23" s="45">
        <v>8.8814600000000006</v>
      </c>
      <c r="FO23" s="45">
        <v>17.532433999999999</v>
      </c>
      <c r="FP23" s="45">
        <f t="shared" si="21"/>
        <v>144.38039300000003</v>
      </c>
      <c r="FQ23" s="45">
        <f>143.52314+0.429646</f>
        <v>143.952786</v>
      </c>
      <c r="FR23" s="45">
        <v>12.753259</v>
      </c>
      <c r="FS23" s="45">
        <v>11.617629000000001</v>
      </c>
      <c r="FT23" s="45">
        <v>14.226228000000001</v>
      </c>
      <c r="FU23" s="45">
        <v>12.215163</v>
      </c>
      <c r="FV23" s="45">
        <v>13.280981000000001</v>
      </c>
      <c r="FW23" s="45">
        <v>11.564586</v>
      </c>
      <c r="FX23" s="45">
        <v>10.518999000000001</v>
      </c>
      <c r="FY23" s="45">
        <v>11.207239</v>
      </c>
      <c r="FZ23" s="45">
        <v>11.669566</v>
      </c>
      <c r="GA23" s="45">
        <v>12.812585</v>
      </c>
      <c r="GB23" s="45">
        <v>14.052213999999999</v>
      </c>
      <c r="GC23" s="45">
        <v>18.423392</v>
      </c>
      <c r="GD23" s="45">
        <f t="shared" si="11"/>
        <v>154.34184100000002</v>
      </c>
      <c r="GE23" s="45">
        <f>153.163985+0.657431</f>
        <v>153.821416</v>
      </c>
      <c r="GF23" s="45">
        <v>11.726514</v>
      </c>
      <c r="GG23" s="45">
        <v>12.366757</v>
      </c>
      <c r="GH23" s="45">
        <v>12.853553</v>
      </c>
      <c r="GI23" s="45">
        <v>11.460262999999999</v>
      </c>
      <c r="GJ23" s="45">
        <v>11.614682</v>
      </c>
      <c r="GK23" s="45">
        <v>9.5667340000000003</v>
      </c>
      <c r="GL23" s="45">
        <v>11.713856</v>
      </c>
      <c r="GM23" s="45">
        <v>11.664374</v>
      </c>
      <c r="GN23" s="45">
        <v>11.415571</v>
      </c>
      <c r="GO23" s="45">
        <v>12.901087</v>
      </c>
      <c r="GP23" s="45">
        <v>14.381290999999999</v>
      </c>
      <c r="GQ23" s="45">
        <v>17.308672999999999</v>
      </c>
      <c r="GR23" s="45">
        <f t="shared" si="12"/>
        <v>148.973355</v>
      </c>
      <c r="GS23" s="45">
        <f>147.971114+0.52425</f>
        <v>148.495364</v>
      </c>
      <c r="GT23" s="45">
        <v>13.009954</v>
      </c>
      <c r="GU23" s="45">
        <v>10.763871</v>
      </c>
      <c r="GV23" s="45">
        <v>13.861378</v>
      </c>
      <c r="GW23" s="45">
        <v>14.429710999999999</v>
      </c>
      <c r="GX23" s="45">
        <v>13.552018</v>
      </c>
      <c r="GY23" s="45">
        <v>12.458921999999999</v>
      </c>
      <c r="GZ23" s="45">
        <v>12.531613</v>
      </c>
      <c r="HA23" s="45">
        <v>11.679698</v>
      </c>
      <c r="HB23" s="45">
        <v>13.408931000000001</v>
      </c>
      <c r="HC23" s="45">
        <v>15.21463</v>
      </c>
      <c r="HD23" s="45">
        <v>16.420304000000002</v>
      </c>
      <c r="HE23" s="45">
        <v>22.501045999999999</v>
      </c>
      <c r="HF23" s="45">
        <f t="shared" si="13"/>
        <v>169.832076</v>
      </c>
      <c r="HG23" s="45">
        <v>11.070231</v>
      </c>
      <c r="HH23" s="45">
        <v>14.986053999999999</v>
      </c>
      <c r="HI23" s="45">
        <v>15.554309</v>
      </c>
      <c r="HJ23" s="45">
        <v>17.331617000000001</v>
      </c>
      <c r="HK23" s="45"/>
      <c r="HL23" s="45"/>
      <c r="HM23" s="45"/>
      <c r="HN23" s="45"/>
      <c r="HO23" s="45"/>
      <c r="HP23" s="45"/>
      <c r="HQ23" s="45"/>
      <c r="HR23" s="45"/>
      <c r="HS23" s="283">
        <f t="shared" si="14"/>
        <v>52.064914000000002</v>
      </c>
      <c r="HT23" s="283">
        <f t="shared" si="15"/>
        <v>58.942211</v>
      </c>
      <c r="HU23" s="280">
        <f t="shared" si="16"/>
        <v>6.8772969999999987</v>
      </c>
      <c r="HV23" s="280">
        <f t="shared" si="17"/>
        <v>13.209081647575545</v>
      </c>
    </row>
    <row r="24" spans="1:230" s="12" customFormat="1" ht="20.25" customHeight="1">
      <c r="A24" s="314" t="s">
        <v>129</v>
      </c>
      <c r="B24" s="13">
        <v>4000</v>
      </c>
      <c r="C24" s="46" t="s">
        <v>131</v>
      </c>
      <c r="D24" s="42">
        <v>0.10834457402063734</v>
      </c>
      <c r="E24" s="42">
        <v>3.0738299725101167E-2</v>
      </c>
      <c r="F24" s="42">
        <v>1.3162987120164371E-2</v>
      </c>
      <c r="G24" s="42">
        <v>-1.2962362194865141E-2</v>
      </c>
      <c r="H24" s="42">
        <v>0</v>
      </c>
      <c r="I24" s="42">
        <v>9.5190124131336762E-4</v>
      </c>
      <c r="J24" s="42">
        <v>0</v>
      </c>
      <c r="K24" s="42">
        <v>1.6974860700849741E-3</v>
      </c>
      <c r="L24" s="42">
        <v>2.6749990039897324E-4</v>
      </c>
      <c r="M24" s="42">
        <v>2.5184831048201205E-4</v>
      </c>
      <c r="N24" s="42">
        <v>2.290823615118867E-4</v>
      </c>
      <c r="O24" s="42">
        <v>2.0916215616302697E-4</v>
      </c>
      <c r="P24" s="42">
        <v>1.9493343805669861E-4</v>
      </c>
      <c r="Q24" s="42">
        <v>2.4615682323948074E-4</v>
      </c>
      <c r="R24" s="42">
        <v>4.2486952265496499E-3</v>
      </c>
      <c r="S24" s="42">
        <v>4.2486952265496499E-3</v>
      </c>
      <c r="T24" s="42">
        <v>2.7888287488403592E-4</v>
      </c>
      <c r="U24" s="42">
        <v>2.7603713126277027E-4</v>
      </c>
      <c r="V24" s="42">
        <v>2.5611692591391056E-4</v>
      </c>
      <c r="W24" s="42">
        <v>8.8872573292126961E-3</v>
      </c>
      <c r="X24" s="42">
        <v>8.3095713740957645E-4</v>
      </c>
      <c r="Y24" s="42">
        <v>1.6789887365467471E-4</v>
      </c>
      <c r="Z24" s="42">
        <v>1.2443013983984154E-2</v>
      </c>
      <c r="AA24" s="42">
        <v>-4.8519928742579726E-4</v>
      </c>
      <c r="AB24" s="42">
        <v>1.4997068884070098E-3</v>
      </c>
      <c r="AC24" s="42">
        <v>2.0551960432780691E-2</v>
      </c>
      <c r="AD24" s="42">
        <v>4.6527908207693751E-4</v>
      </c>
      <c r="AE24" s="42">
        <v>4.7523918475136738E-4</v>
      </c>
      <c r="AF24" s="42">
        <v>4.5647150556912021E-2</v>
      </c>
      <c r="AG24" s="42">
        <v>4.5647150556912028E-2</v>
      </c>
      <c r="AH24" s="42">
        <v>4.1920649284864629E-2</v>
      </c>
      <c r="AI24" s="42">
        <v>1.2464357061143648E-3</v>
      </c>
      <c r="AJ24" s="42">
        <v>4.5105036397060917E-4</v>
      </c>
      <c r="AK24" s="42">
        <v>4.5312775681413307E-2</v>
      </c>
      <c r="AL24" s="42">
        <v>1.0102389855493139E-3</v>
      </c>
      <c r="AM24" s="42">
        <v>4.2970728681111667E-4</v>
      </c>
      <c r="AN24" s="42">
        <v>4.4422057927957156E-2</v>
      </c>
      <c r="AO24" s="42">
        <v>3.9128974792403007E-4</v>
      </c>
      <c r="AP24" s="42">
        <v>4.055184660303584E-4</v>
      </c>
      <c r="AQ24" s="42">
        <v>7.4447498875931273E-2</v>
      </c>
      <c r="AR24" s="42">
        <v>3.8559826068149865E-4</v>
      </c>
      <c r="AS24" s="42">
        <v>1.1055713968617139E-3</v>
      </c>
      <c r="AT24" s="42">
        <v>0.21152839198410936</v>
      </c>
      <c r="AU24" s="42">
        <v>0.21098912356787952</v>
      </c>
      <c r="AV24" s="42">
        <v>0.10256999999999999</v>
      </c>
      <c r="AW24" s="42">
        <v>4.8820000000000001E-3</v>
      </c>
      <c r="AX24" s="42">
        <v>4.3340000000000002E-3</v>
      </c>
      <c r="AY24" s="42">
        <v>0.12845899999999999</v>
      </c>
      <c r="AZ24" s="42">
        <v>4.6020000000000002E-3</v>
      </c>
      <c r="BA24" s="42">
        <v>2.7599999999999999E-3</v>
      </c>
      <c r="BB24" s="42">
        <v>0.118383</v>
      </c>
      <c r="BC24" s="42">
        <v>6.613E-3</v>
      </c>
      <c r="BD24" s="42">
        <v>3.2855000000000002E-2</v>
      </c>
      <c r="BE24" s="42">
        <v>0.118344</v>
      </c>
      <c r="BF24" s="42">
        <v>7.4900000000000001E-3</v>
      </c>
      <c r="BG24" s="42">
        <v>3.6900000000000001E-3</v>
      </c>
      <c r="BH24" s="45">
        <f t="shared" si="6"/>
        <v>0.53498199999999996</v>
      </c>
      <c r="BI24" s="45">
        <v>0.498228</v>
      </c>
      <c r="BJ24" s="42">
        <v>0.14984</v>
      </c>
      <c r="BK24" s="42">
        <v>3.2269999999999998E-3</v>
      </c>
      <c r="BL24" s="42">
        <v>1.5015000000000001E-2</v>
      </c>
      <c r="BM24" s="42">
        <v>0.13197900000000001</v>
      </c>
      <c r="BN24" s="42">
        <v>1.2751999999999999E-2</v>
      </c>
      <c r="BO24" s="42">
        <v>1.4612E-2</v>
      </c>
      <c r="BP24" s="42">
        <v>0.12425600000000001</v>
      </c>
      <c r="BQ24" s="42">
        <v>1.2733E-2</v>
      </c>
      <c r="BR24" s="42">
        <v>1.5263000000000001E-2</v>
      </c>
      <c r="BS24" s="42">
        <v>0.149085</v>
      </c>
      <c r="BT24" s="42">
        <v>4.0289999999999996E-3</v>
      </c>
      <c r="BU24" s="42">
        <v>2.3725E-2</v>
      </c>
      <c r="BV24" s="45">
        <f t="shared" si="7"/>
        <v>0.65651599999999999</v>
      </c>
      <c r="BW24" s="45">
        <v>0.62234599999999995</v>
      </c>
      <c r="BX24" s="45">
        <v>0.11326600000000001</v>
      </c>
      <c r="BY24" s="45">
        <v>2.3019000000000001E-2</v>
      </c>
      <c r="BZ24" s="45">
        <v>1.4362E-2</v>
      </c>
      <c r="CA24" s="45">
        <v>9.1597999999999999E-2</v>
      </c>
      <c r="CB24" s="45">
        <v>1.6952999999999999E-2</v>
      </c>
      <c r="CC24" s="45">
        <v>2.0688000000000002E-2</v>
      </c>
      <c r="CD24" s="45">
        <v>7.4507000000000004E-2</v>
      </c>
      <c r="CE24" s="45">
        <v>1.8714999999999999E-2</v>
      </c>
      <c r="CF24" s="45">
        <v>3.1775999999999999E-2</v>
      </c>
      <c r="CG24" s="45">
        <v>5.9705000000000001E-2</v>
      </c>
      <c r="CH24" s="45">
        <v>1.8072999999999999E-2</v>
      </c>
      <c r="CI24" s="45">
        <v>1.8702E-2</v>
      </c>
      <c r="CJ24" s="45">
        <f t="shared" si="8"/>
        <v>0.50136400000000003</v>
      </c>
      <c r="CK24" s="45">
        <v>0.52837199999999995</v>
      </c>
      <c r="CL24" s="45">
        <v>7.0285E-2</v>
      </c>
      <c r="CM24" s="45">
        <v>1.9313E-2</v>
      </c>
      <c r="CN24" s="45">
        <v>1.7694999999999999E-2</v>
      </c>
      <c r="CO24" s="45">
        <v>7.7247999999999997E-2</v>
      </c>
      <c r="CP24" s="45">
        <v>1.8724999999999999E-2</v>
      </c>
      <c r="CQ24" s="45">
        <v>2.1305999999999999E-2</v>
      </c>
      <c r="CR24" s="45">
        <v>7.6772999999999994E-2</v>
      </c>
      <c r="CS24" s="45">
        <v>2.0372999999999999E-2</v>
      </c>
      <c r="CT24" s="45">
        <v>2.0525999999999999E-2</v>
      </c>
      <c r="CU24" s="45">
        <v>7.7914999999999998E-2</v>
      </c>
      <c r="CV24" s="45">
        <v>2.1212000000000002E-2</v>
      </c>
      <c r="CW24" s="45">
        <v>3.2946000000000003E-2</v>
      </c>
      <c r="CX24" s="45">
        <f t="shared" si="9"/>
        <v>0.47431699999999999</v>
      </c>
      <c r="CY24" s="45">
        <v>0.48607800000000001</v>
      </c>
      <c r="CZ24" s="45">
        <v>6.1226999999999997E-2</v>
      </c>
      <c r="DA24" s="45">
        <v>3.2904999999999997E-2</v>
      </c>
      <c r="DB24" s="45">
        <v>8.7489999999999998E-3</v>
      </c>
      <c r="DC24" s="45">
        <v>6.7682999999999993E-2</v>
      </c>
      <c r="DD24" s="45">
        <v>2.7087E-2</v>
      </c>
      <c r="DE24" s="45">
        <v>2.3172000000000002E-2</v>
      </c>
      <c r="DF24" s="45">
        <v>5.8235000000000002E-2</v>
      </c>
      <c r="DG24" s="45">
        <v>3.2436E-2</v>
      </c>
      <c r="DH24" s="45">
        <v>4.3429999999999996E-3</v>
      </c>
      <c r="DI24" s="45">
        <v>7.1523000000000003E-2</v>
      </c>
      <c r="DJ24" s="45">
        <v>9.2746999999999996E-2</v>
      </c>
      <c r="DK24" s="45">
        <v>-5.7360000000000001E-2</v>
      </c>
      <c r="DL24" s="45">
        <f t="shared" si="10"/>
        <v>0.42274699999999993</v>
      </c>
      <c r="DM24" s="45">
        <v>0.42274600000000001</v>
      </c>
      <c r="DN24" s="45">
        <v>7.5419E-2</v>
      </c>
      <c r="DO24" s="45">
        <v>1.857E-2</v>
      </c>
      <c r="DP24" s="45">
        <v>1.6454E-2</v>
      </c>
      <c r="DQ24" s="45">
        <v>6.8901000000000004E-2</v>
      </c>
      <c r="DR24" s="45">
        <v>2.2172999999999998E-2</v>
      </c>
      <c r="DS24" s="45">
        <v>2.2203000000000001E-2</v>
      </c>
      <c r="DT24" s="45">
        <v>6.8095000000000003E-2</v>
      </c>
      <c r="DU24" s="45">
        <v>1.8935E-2</v>
      </c>
      <c r="DV24" s="45">
        <v>2.1177000000000001E-2</v>
      </c>
      <c r="DW24" s="45">
        <v>6.4223000000000002E-2</v>
      </c>
      <c r="DX24" s="45">
        <v>1.3831E-2</v>
      </c>
      <c r="DY24" s="45">
        <v>1.6407000000000001E-2</v>
      </c>
      <c r="DZ24" s="45">
        <f t="shared" si="18"/>
        <v>0.42638799999999999</v>
      </c>
      <c r="EA24" s="45">
        <v>0.42664600000000003</v>
      </c>
      <c r="EB24" s="45">
        <v>6.4222000000000001E-2</v>
      </c>
      <c r="EC24" s="45">
        <v>2.4135E-2</v>
      </c>
      <c r="ED24" s="45">
        <v>1.0624E-2</v>
      </c>
      <c r="EE24" s="45">
        <v>6.6396999999999998E-2</v>
      </c>
      <c r="EF24" s="42">
        <v>2.5301000000000001E-2</v>
      </c>
      <c r="EG24" s="45">
        <v>3.4514000000000003E-2</v>
      </c>
      <c r="EH24" s="45">
        <v>5.8013000000000002E-2</v>
      </c>
      <c r="EI24" s="42">
        <v>1.6424000000000001E-2</v>
      </c>
      <c r="EJ24" s="45">
        <v>2.3896000000000001E-2</v>
      </c>
      <c r="EK24" s="45">
        <v>6.6244999999999998E-2</v>
      </c>
      <c r="EL24" s="45">
        <v>4.4957999999999998E-2</v>
      </c>
      <c r="EM24" s="45">
        <v>1.3383000000000001E-2</v>
      </c>
      <c r="EN24" s="45">
        <f t="shared" si="19"/>
        <v>0.44811199999999995</v>
      </c>
      <c r="EO24" s="45">
        <v>0.44811299999999998</v>
      </c>
      <c r="EP24" s="45">
        <v>6.5797999999999995E-2</v>
      </c>
      <c r="EQ24" s="45">
        <v>1.6098000000000001E-2</v>
      </c>
      <c r="ER24" s="45">
        <v>2.2078E-2</v>
      </c>
      <c r="ES24" s="45">
        <v>6.6698999999999994E-2</v>
      </c>
      <c r="ET24" s="45">
        <v>4.3472999999999998E-2</v>
      </c>
      <c r="EU24" s="45">
        <v>2.3998999999999999E-2</v>
      </c>
      <c r="EV24" s="45">
        <v>6.4339999999999994E-2</v>
      </c>
      <c r="EW24" s="45">
        <v>1.5309E-2</v>
      </c>
      <c r="EX24" s="45">
        <v>2.4261000000000001E-2</v>
      </c>
      <c r="EY24" s="45">
        <v>6.3765000000000002E-2</v>
      </c>
      <c r="EZ24" s="45">
        <v>1.5126000000000001E-2</v>
      </c>
      <c r="FA24" s="45">
        <v>5.1192000000000001E-2</v>
      </c>
      <c r="FB24" s="45">
        <f t="shared" si="20"/>
        <v>0.47213800000000006</v>
      </c>
      <c r="FC24" s="45">
        <v>0.472138</v>
      </c>
      <c r="FD24" s="45">
        <v>6.3354999999999995E-2</v>
      </c>
      <c r="FE24" s="45">
        <v>1.4688E-2</v>
      </c>
      <c r="FF24" s="45">
        <v>2.2258E-2</v>
      </c>
      <c r="FG24" s="45">
        <v>5.774E-2</v>
      </c>
      <c r="FH24" s="45">
        <v>1.4035000000000001E-2</v>
      </c>
      <c r="FI24" s="45">
        <v>6.2819E-2</v>
      </c>
      <c r="FJ24" s="45">
        <v>5.8709999999999998E-2</v>
      </c>
      <c r="FK24" s="45">
        <v>1.5624000000000001E-2</v>
      </c>
      <c r="FL24" s="45">
        <v>2.6384000000000001E-2</v>
      </c>
      <c r="FM24" s="45">
        <v>9.3058000000000002E-2</v>
      </c>
      <c r="FN24" s="45">
        <v>6.2210000000000001E-2</v>
      </c>
      <c r="FO24" s="45">
        <v>6.2362000000000001E-2</v>
      </c>
      <c r="FP24" s="45">
        <f t="shared" si="21"/>
        <v>0.55324300000000004</v>
      </c>
      <c r="FQ24" s="45">
        <v>0.553284</v>
      </c>
      <c r="FR24" s="45">
        <v>0.130027</v>
      </c>
      <c r="FS24" s="45">
        <v>5.6818E-2</v>
      </c>
      <c r="FT24" s="45">
        <v>5.1566000000000001E-2</v>
      </c>
      <c r="FU24" s="45">
        <v>0.150203</v>
      </c>
      <c r="FV24" s="45">
        <v>9.6836000000000005E-2</v>
      </c>
      <c r="FW24" s="45">
        <v>0.213223</v>
      </c>
      <c r="FX24" s="45">
        <v>0.183561</v>
      </c>
      <c r="FY24" s="45">
        <v>7.5278999999999999E-2</v>
      </c>
      <c r="FZ24" s="45">
        <v>7.4760999999999994E-2</v>
      </c>
      <c r="GA24" s="45">
        <v>0.230046</v>
      </c>
      <c r="GB24" s="45">
        <v>0.10735599999999999</v>
      </c>
      <c r="GC24" s="45">
        <v>8.0815999999999999E-2</v>
      </c>
      <c r="GD24" s="45">
        <f t="shared" si="11"/>
        <v>1.4504920000000001</v>
      </c>
      <c r="GE24" s="45">
        <v>1.65835</v>
      </c>
      <c r="GF24" s="45">
        <v>0.229431</v>
      </c>
      <c r="GG24" s="45">
        <v>7.3647000000000004E-2</v>
      </c>
      <c r="GH24" s="45">
        <v>7.1261000000000005E-2</v>
      </c>
      <c r="GI24" s="45">
        <v>0.21564700000000001</v>
      </c>
      <c r="GJ24" s="45">
        <v>7.0271E-2</v>
      </c>
      <c r="GK24" s="45">
        <v>0.31659100000000001</v>
      </c>
      <c r="GL24" s="45">
        <v>0.204266</v>
      </c>
      <c r="GM24" s="45">
        <v>6.7938999999999999E-2</v>
      </c>
      <c r="GN24" s="45">
        <v>6.7398E-2</v>
      </c>
      <c r="GO24" s="45">
        <v>0.18956600000000001</v>
      </c>
      <c r="GP24" s="45">
        <v>8.9596999999999996E-2</v>
      </c>
      <c r="GQ24" s="45">
        <v>0.26300899999999999</v>
      </c>
      <c r="GR24" s="45">
        <f t="shared" si="12"/>
        <v>1.8586229999999999</v>
      </c>
      <c r="GS24" s="45">
        <v>1.8586229999999999</v>
      </c>
      <c r="GT24" s="45">
        <v>0.375025</v>
      </c>
      <c r="GU24" s="45">
        <v>5.0615E-2</v>
      </c>
      <c r="GV24" s="45">
        <v>5.4899999999999997E-2</v>
      </c>
      <c r="GW24" s="45">
        <v>0.29851699999999998</v>
      </c>
      <c r="GX24" s="45">
        <v>2.8680000000000001E-2</v>
      </c>
      <c r="GY24" s="45">
        <v>0.17604700000000001</v>
      </c>
      <c r="GZ24" s="45">
        <v>0.31254199999999999</v>
      </c>
      <c r="HA24" s="45">
        <v>3.7706000000000003E-2</v>
      </c>
      <c r="HB24" s="45">
        <v>4.5832999999999999E-2</v>
      </c>
      <c r="HC24" s="45">
        <v>0.25267600000000001</v>
      </c>
      <c r="HD24" s="45">
        <v>6.2515000000000001E-2</v>
      </c>
      <c r="HE24" s="45">
        <v>0.143042</v>
      </c>
      <c r="HF24" s="45">
        <f t="shared" si="13"/>
        <v>1.8380980000000005</v>
      </c>
      <c r="HG24" s="45">
        <v>0.19834099999999999</v>
      </c>
      <c r="HH24" s="45">
        <v>6.6312999999999997E-2</v>
      </c>
      <c r="HI24" s="45">
        <v>8.8142999999999999E-2</v>
      </c>
      <c r="HJ24" s="45">
        <v>0.121446</v>
      </c>
      <c r="HK24" s="45"/>
      <c r="HL24" s="45"/>
      <c r="HM24" s="45"/>
      <c r="HN24" s="45"/>
      <c r="HO24" s="45"/>
      <c r="HP24" s="45"/>
      <c r="HQ24" s="45"/>
      <c r="HR24" s="45"/>
      <c r="HS24" s="283">
        <f t="shared" si="14"/>
        <v>0.779057</v>
      </c>
      <c r="HT24" s="283">
        <f t="shared" si="15"/>
        <v>0.47424300000000003</v>
      </c>
      <c r="HU24" s="280">
        <f t="shared" si="16"/>
        <v>-0.30481399999999997</v>
      </c>
      <c r="HV24" s="280">
        <f t="shared" si="17"/>
        <v>-39.126020304034235</v>
      </c>
    </row>
    <row r="25" spans="1:230" s="12" customFormat="1" ht="20.25" customHeight="1">
      <c r="A25" s="314" t="s">
        <v>132</v>
      </c>
      <c r="B25" s="13">
        <v>3000</v>
      </c>
      <c r="C25" s="46" t="s">
        <v>133</v>
      </c>
      <c r="D25" s="42">
        <v>2.0413344260988837</v>
      </c>
      <c r="E25" s="42">
        <v>21.459935088586963</v>
      </c>
      <c r="F25" s="42">
        <v>1.3037959374164063</v>
      </c>
      <c r="G25" s="42">
        <v>1.3492680747406105</v>
      </c>
      <c r="H25" s="42">
        <v>1.3251134028833076</v>
      </c>
      <c r="I25" s="42">
        <v>1.325242884218075</v>
      </c>
      <c r="J25" s="42">
        <v>1.4119285035372593</v>
      </c>
      <c r="K25" s="42">
        <v>1.8677568710479737</v>
      </c>
      <c r="L25" s="42">
        <v>1.5752315012435902</v>
      </c>
      <c r="M25" s="42">
        <v>1.3471181154347442</v>
      </c>
      <c r="N25" s="42">
        <v>1.8946050392428047</v>
      </c>
      <c r="O25" s="42">
        <v>1.356853404363094</v>
      </c>
      <c r="P25" s="42">
        <v>1.569239788049015</v>
      </c>
      <c r="Q25" s="42">
        <v>2.284813404590754</v>
      </c>
      <c r="R25" s="42">
        <v>18.610966926767635</v>
      </c>
      <c r="S25" s="42">
        <v>18.897272923887229</v>
      </c>
      <c r="T25" s="42">
        <v>1.3691655141405001</v>
      </c>
      <c r="U25" s="42">
        <v>1.2966815783632422</v>
      </c>
      <c r="V25" s="42">
        <v>1.6600118952083369</v>
      </c>
      <c r="W25" s="42">
        <v>1.2272795829278149</v>
      </c>
      <c r="X25" s="42">
        <v>1.422299816164962</v>
      </c>
      <c r="Y25" s="42">
        <v>2.1696091655710554</v>
      </c>
      <c r="Z25" s="42">
        <v>1.1426044814770546</v>
      </c>
      <c r="AA25" s="42">
        <v>1.0856028138712925</v>
      </c>
      <c r="AB25" s="42">
        <v>1.0761649051513651</v>
      </c>
      <c r="AC25" s="42">
        <v>1.8743404989157719</v>
      </c>
      <c r="AD25" s="42">
        <v>2.2154925128485323</v>
      </c>
      <c r="AE25" s="42">
        <v>2.2209947581402498</v>
      </c>
      <c r="AF25" s="42">
        <v>18.760247522780176</v>
      </c>
      <c r="AG25" s="42">
        <v>20.09935287789844</v>
      </c>
      <c r="AH25" s="42">
        <v>1.2626962851662769</v>
      </c>
      <c r="AI25" s="42">
        <v>1.3319929880877173</v>
      </c>
      <c r="AJ25" s="42">
        <v>1.3507307869619412</v>
      </c>
      <c r="AK25" s="42">
        <v>1.6864445848344631</v>
      </c>
      <c r="AL25" s="42">
        <v>2.0399869664942147</v>
      </c>
      <c r="AM25" s="42">
        <v>1.2255451021906534</v>
      </c>
      <c r="AN25" s="42">
        <v>2.4253177272753144</v>
      </c>
      <c r="AO25" s="42">
        <v>1.1281039948548954</v>
      </c>
      <c r="AP25" s="42">
        <v>1.4537025970256285</v>
      </c>
      <c r="AQ25" s="42">
        <v>1.1662682625596894</v>
      </c>
      <c r="AR25" s="42">
        <v>1.7289728003824678</v>
      </c>
      <c r="AS25" s="42">
        <v>3.2865194278917027</v>
      </c>
      <c r="AT25" s="42">
        <v>20.086281523724963</v>
      </c>
      <c r="AU25" s="42">
        <v>20.859520710727086</v>
      </c>
      <c r="AV25" s="42">
        <f>AV26+AV27+AV28</f>
        <v>8.7950000000000007E-3</v>
      </c>
      <c r="AW25" s="42">
        <f>AW26+AW27+AW28</f>
        <v>1.9751000000000001E-2</v>
      </c>
      <c r="AX25" s="42">
        <f t="shared" ref="AX25:BE25" si="28">AX26+AX27+AX28</f>
        <v>2.0683E-2</v>
      </c>
      <c r="AY25" s="42">
        <f t="shared" si="28"/>
        <v>0.28532400000000002</v>
      </c>
      <c r="AZ25" s="42">
        <f t="shared" si="28"/>
        <v>5.2847999999999999E-2</v>
      </c>
      <c r="BA25" s="42">
        <f t="shared" si="28"/>
        <v>1.9E-2</v>
      </c>
      <c r="BB25" s="42">
        <f t="shared" si="28"/>
        <v>0.100545</v>
      </c>
      <c r="BC25" s="42">
        <f t="shared" si="28"/>
        <v>2.3664000000000001E-2</v>
      </c>
      <c r="BD25" s="42">
        <f t="shared" si="28"/>
        <v>0.32225599999999999</v>
      </c>
      <c r="BE25" s="42">
        <f t="shared" si="28"/>
        <v>7.6220000000000003E-3</v>
      </c>
      <c r="BF25" s="42">
        <f>BF26+BF27+BF28</f>
        <v>4.3284999999999997E-2</v>
      </c>
      <c r="BG25" s="42">
        <f>BG26+BG27+BG28</f>
        <v>0.05</v>
      </c>
      <c r="BH25" s="45">
        <f t="shared" si="6"/>
        <v>0.9537730000000002</v>
      </c>
      <c r="BI25" s="45">
        <f>BI26+BI27+BI28</f>
        <v>0.96384400000000003</v>
      </c>
      <c r="BJ25" s="42">
        <f>BJ26+BJ27+BJ28</f>
        <v>0.19880700000000001</v>
      </c>
      <c r="BK25" s="42">
        <v>1.7561E-2</v>
      </c>
      <c r="BL25" s="42">
        <v>0.56662999999999997</v>
      </c>
      <c r="BM25" s="42">
        <v>4.5585000000000001E-2</v>
      </c>
      <c r="BN25" s="42">
        <v>0.13622600000000001</v>
      </c>
      <c r="BO25" s="42">
        <v>6.9829000000000002E-2</v>
      </c>
      <c r="BP25" s="42">
        <v>1.3018999999999999E-2</v>
      </c>
      <c r="BQ25" s="42">
        <v>4.1373E-2</v>
      </c>
      <c r="BR25" s="42">
        <v>0.113258</v>
      </c>
      <c r="BS25" s="42">
        <v>0.230294</v>
      </c>
      <c r="BT25" s="42">
        <v>6.08E-2</v>
      </c>
      <c r="BU25" s="42">
        <v>0.120314</v>
      </c>
      <c r="BV25" s="45">
        <f t="shared" si="7"/>
        <v>1.613696</v>
      </c>
      <c r="BW25" s="45">
        <f>BW26+BW27+BW28</f>
        <v>1.6222080000000001</v>
      </c>
      <c r="BX25" s="45">
        <v>2.5000000000000001E-2</v>
      </c>
      <c r="BY25" s="45">
        <v>9.6159999999999995E-3</v>
      </c>
      <c r="BZ25" s="45">
        <v>8.1505999999999995E-2</v>
      </c>
      <c r="CA25" s="45">
        <v>3.9390000000000001E-2</v>
      </c>
      <c r="CB25" s="45">
        <v>5.7284000000000002E-2</v>
      </c>
      <c r="CC25" s="45">
        <v>3.4643E-2</v>
      </c>
      <c r="CD25" s="45">
        <v>4.7000000000000002E-3</v>
      </c>
      <c r="CE25" s="45">
        <v>2.6229999999999999E-3</v>
      </c>
      <c r="CF25" s="45">
        <v>1.2999999999999999E-2</v>
      </c>
      <c r="CG25" s="45">
        <v>8.1504999999999994E-2</v>
      </c>
      <c r="CH25" s="45">
        <v>1.7999999999999999E-2</v>
      </c>
      <c r="CI25" s="45">
        <v>5.6212999999999999E-2</v>
      </c>
      <c r="CJ25" s="45">
        <f t="shared" si="8"/>
        <v>0.42348000000000002</v>
      </c>
      <c r="CK25" s="45">
        <f>CK26+CK27+CK28</f>
        <v>0.41048000000000001</v>
      </c>
      <c r="CL25" s="45">
        <v>3.4525E-2</v>
      </c>
      <c r="CM25" s="45">
        <v>0.148116</v>
      </c>
      <c r="CN25" s="45">
        <v>0.121202</v>
      </c>
      <c r="CO25" s="45">
        <v>0.63295900000000005</v>
      </c>
      <c r="CP25" s="45">
        <v>0.42292800000000003</v>
      </c>
      <c r="CQ25" s="45">
        <v>0.17830299999999999</v>
      </c>
      <c r="CR25" s="45">
        <v>0.101199</v>
      </c>
      <c r="CS25" s="45">
        <v>4.8190999999999998E-2</v>
      </c>
      <c r="CT25" s="45">
        <v>1.2886169999999999</v>
      </c>
      <c r="CU25" s="45">
        <v>0.18925800000000001</v>
      </c>
      <c r="CV25" s="45">
        <v>0.84727600000000003</v>
      </c>
      <c r="CW25" s="45">
        <v>0.79666999999999999</v>
      </c>
      <c r="CX25" s="45">
        <f t="shared" si="9"/>
        <v>4.8092440000000005</v>
      </c>
      <c r="CY25" s="45">
        <f>CY26+CY27+CY28</f>
        <v>4.8131490000000001</v>
      </c>
      <c r="CZ25" s="45">
        <v>6.1647E-2</v>
      </c>
      <c r="DA25" s="45">
        <v>0.12006600000000001</v>
      </c>
      <c r="DB25" s="45">
        <v>0.47291299999999997</v>
      </c>
      <c r="DC25" s="45">
        <v>0.148785</v>
      </c>
      <c r="DD25" s="45">
        <v>0.203761</v>
      </c>
      <c r="DE25" s="45">
        <v>0.128583</v>
      </c>
      <c r="DF25" s="45">
        <v>0.206542</v>
      </c>
      <c r="DG25" s="45">
        <v>0.101033</v>
      </c>
      <c r="DH25" s="45">
        <v>0.2319</v>
      </c>
      <c r="DI25" s="45">
        <v>0.25278299999999998</v>
      </c>
      <c r="DJ25" s="45">
        <v>0.460897</v>
      </c>
      <c r="DK25" s="45">
        <v>0.15540100000000001</v>
      </c>
      <c r="DL25" s="45">
        <f t="shared" si="10"/>
        <v>2.544311</v>
      </c>
      <c r="DM25" s="45">
        <f>DM26+DM27+DM28</f>
        <v>2.5383110000000002</v>
      </c>
      <c r="DN25" s="45">
        <v>0.92921500000000001</v>
      </c>
      <c r="DO25" s="45">
        <v>0.33336300000000002</v>
      </c>
      <c r="DP25" s="45">
        <v>0.12501300000000001</v>
      </c>
      <c r="DQ25" s="45">
        <v>0.15323500000000001</v>
      </c>
      <c r="DR25" s="45">
        <v>0.43686199999999997</v>
      </c>
      <c r="DS25" s="45">
        <v>0.226906</v>
      </c>
      <c r="DT25" s="45">
        <v>0.29142800000000002</v>
      </c>
      <c r="DU25" s="45">
        <v>0.44014300000000001</v>
      </c>
      <c r="DV25" s="45">
        <v>0.16755600000000001</v>
      </c>
      <c r="DW25" s="45">
        <v>0.23394300000000001</v>
      </c>
      <c r="DX25" s="45">
        <v>0.17616599999999999</v>
      </c>
      <c r="DY25" s="45">
        <v>0.33562799999999998</v>
      </c>
      <c r="DZ25" s="45">
        <f t="shared" si="18"/>
        <v>3.8494579999999994</v>
      </c>
      <c r="EA25" s="45">
        <f>EA26+EA27+EA28</f>
        <v>5.4060389999999998</v>
      </c>
      <c r="EB25" s="45">
        <v>0.85080599999999995</v>
      </c>
      <c r="EC25" s="45">
        <v>1.125861</v>
      </c>
      <c r="ED25" s="45">
        <v>0.59326900000000005</v>
      </c>
      <c r="EE25" s="45">
        <v>0.32111899999999999</v>
      </c>
      <c r="EF25" s="42">
        <v>0.34916900000000001</v>
      </c>
      <c r="EG25" s="45">
        <v>0.98874600000000001</v>
      </c>
      <c r="EH25" s="45">
        <v>1.396487</v>
      </c>
      <c r="EI25" s="42">
        <v>0.38556099999999999</v>
      </c>
      <c r="EJ25" s="45">
        <v>0.52288900000000005</v>
      </c>
      <c r="EK25" s="45">
        <v>1.664156</v>
      </c>
      <c r="EL25" s="45">
        <v>0.28353699999999998</v>
      </c>
      <c r="EM25" s="45">
        <v>1.558219</v>
      </c>
      <c r="EN25" s="45">
        <f t="shared" si="19"/>
        <v>10.039819000000001</v>
      </c>
      <c r="EO25" s="45">
        <f>EO26+EO27+EO28</f>
        <v>11.348794</v>
      </c>
      <c r="EP25" s="45">
        <v>0.46989399999999998</v>
      </c>
      <c r="EQ25" s="45">
        <v>0.39119199999999998</v>
      </c>
      <c r="ER25" s="45">
        <v>0.45876299999999998</v>
      </c>
      <c r="ES25" s="45">
        <v>0.68186800000000003</v>
      </c>
      <c r="ET25" s="45">
        <v>0.59804800000000002</v>
      </c>
      <c r="EU25" s="45">
        <v>0.57513999999999998</v>
      </c>
      <c r="EV25" s="45">
        <v>0.94168300000000005</v>
      </c>
      <c r="EW25" s="45">
        <v>0.338588</v>
      </c>
      <c r="EX25" s="45">
        <v>0.65826700000000005</v>
      </c>
      <c r="EY25" s="45">
        <v>0.46721499999999999</v>
      </c>
      <c r="EZ25" s="45">
        <v>0.17341899999999999</v>
      </c>
      <c r="FA25" s="45">
        <v>0.56586700000000001</v>
      </c>
      <c r="FB25" s="45">
        <f t="shared" si="20"/>
        <v>6.3199440000000005</v>
      </c>
      <c r="FC25" s="45">
        <f>FC26+FC27+FC28</f>
        <v>7.7380459999999998</v>
      </c>
      <c r="FD25" s="45">
        <v>0.69825000000000004</v>
      </c>
      <c r="FE25" s="45">
        <v>0.48668499999999998</v>
      </c>
      <c r="FF25" s="45">
        <v>5.6555549999999997</v>
      </c>
      <c r="FG25" s="45">
        <v>0.56990300000000005</v>
      </c>
      <c r="FH25" s="45">
        <v>0.404532</v>
      </c>
      <c r="FI25" s="45">
        <v>0.29847699999999999</v>
      </c>
      <c r="FJ25" s="45">
        <v>0.71873299999999996</v>
      </c>
      <c r="FK25" s="45">
        <v>0.43027399999999999</v>
      </c>
      <c r="FL25" s="45">
        <v>0.35000700000000001</v>
      </c>
      <c r="FM25" s="45">
        <v>3.032448</v>
      </c>
      <c r="FN25" s="45">
        <v>0.32577099999999998</v>
      </c>
      <c r="FO25" s="45">
        <v>1.2483310000000001</v>
      </c>
      <c r="FP25" s="45">
        <f t="shared" si="21"/>
        <v>14.218966</v>
      </c>
      <c r="FQ25" s="45">
        <f>FQ26+FQ27+FQ28</f>
        <v>15.549947000000001</v>
      </c>
      <c r="FR25" s="45">
        <v>1.0008330000000001</v>
      </c>
      <c r="FS25" s="45">
        <v>0.42030600000000001</v>
      </c>
      <c r="FT25" s="45">
        <v>1.322902</v>
      </c>
      <c r="FU25" s="45">
        <v>0.42466799999999999</v>
      </c>
      <c r="FV25" s="45">
        <v>0.684307</v>
      </c>
      <c r="FW25" s="45">
        <v>1.0354760000000001</v>
      </c>
      <c r="FX25" s="45">
        <v>0.75216099999999997</v>
      </c>
      <c r="FY25" s="45">
        <v>0.47229100000000002</v>
      </c>
      <c r="FZ25" s="45">
        <v>0.54300400000000004</v>
      </c>
      <c r="GA25" s="45">
        <v>0.29309000000000002</v>
      </c>
      <c r="GB25" s="45">
        <v>0.36997600000000003</v>
      </c>
      <c r="GC25" s="45">
        <v>0.54554400000000003</v>
      </c>
      <c r="GD25" s="45">
        <f t="shared" si="11"/>
        <v>7.8645580000000006</v>
      </c>
      <c r="GE25" s="45">
        <f>GE26+GE27+GE28</f>
        <v>8.0228359999999999</v>
      </c>
      <c r="GF25" s="45">
        <v>0.55976899999999996</v>
      </c>
      <c r="GG25" s="45">
        <v>0.59764600000000001</v>
      </c>
      <c r="GH25" s="45">
        <v>0.51880099999999996</v>
      </c>
      <c r="GI25" s="45">
        <v>0.62490800000000002</v>
      </c>
      <c r="GJ25" s="45">
        <v>0.32536199999999998</v>
      </c>
      <c r="GK25" s="45">
        <v>0.377886</v>
      </c>
      <c r="GL25" s="45">
        <v>0.94520300000000002</v>
      </c>
      <c r="GM25" s="45">
        <v>2.8410000000000001E-2</v>
      </c>
      <c r="GN25" s="45">
        <v>1.6279999999999999E-2</v>
      </c>
      <c r="GO25" s="45">
        <v>0.253106</v>
      </c>
      <c r="GP25" s="45">
        <v>0.16001499999999999</v>
      </c>
      <c r="GQ25" s="45">
        <v>0.17883599999999999</v>
      </c>
      <c r="GR25" s="45">
        <f t="shared" si="12"/>
        <v>4.5862219999999994</v>
      </c>
      <c r="GS25" s="45">
        <f>GS26+GS27+GS28</f>
        <v>4.6945249999999996</v>
      </c>
      <c r="GT25" s="45">
        <v>0.50012900000000005</v>
      </c>
      <c r="GU25" s="45">
        <v>0.33846700000000002</v>
      </c>
      <c r="GV25" s="45">
        <v>8.0000000000000002E-3</v>
      </c>
      <c r="GW25" s="45">
        <v>0.51144699999999998</v>
      </c>
      <c r="GX25" s="45">
        <v>0.478495</v>
      </c>
      <c r="GY25" s="45">
        <v>-1.49E-3</v>
      </c>
      <c r="GZ25" s="45">
        <v>0.76339000000000001</v>
      </c>
      <c r="HA25" s="45">
        <v>0.20966299999999999</v>
      </c>
      <c r="HB25" s="45">
        <v>0.76824499999999996</v>
      </c>
      <c r="HC25" s="45">
        <v>0.99016000000000004</v>
      </c>
      <c r="HD25" s="45">
        <v>0.40541300000000002</v>
      </c>
      <c r="HE25" s="45">
        <v>0.40429300000000001</v>
      </c>
      <c r="HF25" s="45">
        <f t="shared" si="13"/>
        <v>5.3762119999999998</v>
      </c>
      <c r="HG25" s="45">
        <v>0.276194</v>
      </c>
      <c r="HH25" s="45">
        <v>1.5803609999999999</v>
      </c>
      <c r="HI25" s="45">
        <v>1.3208489999999999</v>
      </c>
      <c r="HJ25" s="45">
        <v>0.12773699999999999</v>
      </c>
      <c r="HK25" s="45"/>
      <c r="HL25" s="45"/>
      <c r="HM25" s="45"/>
      <c r="HN25" s="45"/>
      <c r="HO25" s="45"/>
      <c r="HP25" s="45"/>
      <c r="HQ25" s="45"/>
      <c r="HR25" s="45"/>
      <c r="HS25" s="283">
        <f t="shared" si="14"/>
        <v>1.3580429999999999</v>
      </c>
      <c r="HT25" s="283">
        <f t="shared" si="15"/>
        <v>3.3051409999999999</v>
      </c>
      <c r="HU25" s="280">
        <f t="shared" si="16"/>
        <v>1.947098</v>
      </c>
      <c r="HV25" s="280">
        <f t="shared" si="17"/>
        <v>143.37528340413374</v>
      </c>
    </row>
    <row r="26" spans="1:230" s="12" customFormat="1" ht="24" customHeight="1">
      <c r="A26" s="314" t="s">
        <v>136</v>
      </c>
      <c r="B26" s="13">
        <v>3200</v>
      </c>
      <c r="C26" s="56" t="s">
        <v>137</v>
      </c>
      <c r="D26" s="42">
        <v>1.7895131501812738</v>
      </c>
      <c r="E26" s="42">
        <v>0.82927103431397653</v>
      </c>
      <c r="F26" s="42">
        <v>1.5684315968605755E-2</v>
      </c>
      <c r="G26" s="42">
        <v>5.9947012253772039E-2</v>
      </c>
      <c r="H26" s="42">
        <v>3.7572353031570679E-2</v>
      </c>
      <c r="I26" s="42">
        <v>3.7701834366338269E-2</v>
      </c>
      <c r="J26" s="42">
        <v>0.12103943631510351</v>
      </c>
      <c r="K26" s="42">
        <v>0.22449786853802767</v>
      </c>
      <c r="L26" s="42">
        <v>0.27941787468483387</v>
      </c>
      <c r="M26" s="42">
        <v>5.9972623946363421E-2</v>
      </c>
      <c r="N26" s="42">
        <v>0.22374374647839226</v>
      </c>
      <c r="O26" s="42">
        <v>6.9310931639546727E-2</v>
      </c>
      <c r="P26" s="42">
        <v>2.7977928412473464E-2</v>
      </c>
      <c r="Q26" s="42">
        <v>0.16620992481545352</v>
      </c>
      <c r="R26" s="42">
        <v>1.3230758504504814</v>
      </c>
      <c r="S26" s="42">
        <v>1.2558451573980796</v>
      </c>
      <c r="T26" s="42">
        <v>0.12941445979248839</v>
      </c>
      <c r="U26" s="42">
        <v>5.5814992515694273E-2</v>
      </c>
      <c r="V26" s="42">
        <v>0.40173789562950696</v>
      </c>
      <c r="W26" s="42">
        <v>-2.1190829875754835E-2</v>
      </c>
      <c r="X26" s="42">
        <v>0.16464334295194677</v>
      </c>
      <c r="Y26" s="42">
        <v>0.15165252332086898</v>
      </c>
      <c r="Z26" s="42">
        <v>3.4557287664839696E-2</v>
      </c>
      <c r="AA26" s="42">
        <v>2.1769938702682399E-4</v>
      </c>
      <c r="AB26" s="42">
        <v>8.9228291244785179E-3</v>
      </c>
      <c r="AC26" s="42">
        <v>-0.1559083329064718</v>
      </c>
      <c r="AD26" s="42">
        <v>7.1933284386543048E-2</v>
      </c>
      <c r="AE26" s="42">
        <v>5.721367550554636E-2</v>
      </c>
      <c r="AF26" s="42">
        <v>0.89900882749671307</v>
      </c>
      <c r="AG26" s="42">
        <v>2.090704663033415</v>
      </c>
      <c r="AH26" s="42">
        <v>6.9991064365029221E-3</v>
      </c>
      <c r="AI26" s="42">
        <v>0</v>
      </c>
      <c r="AJ26" s="42">
        <v>6.5850507396087677E-3</v>
      </c>
      <c r="AK26" s="42">
        <v>0.37971753148815318</v>
      </c>
      <c r="AL26" s="42">
        <v>5.8608089879966536E-3</v>
      </c>
      <c r="AM26" s="42">
        <v>9.3425763086152046E-3</v>
      </c>
      <c r="AN26" s="42">
        <v>2.4356719654412898E-2</v>
      </c>
      <c r="AO26" s="42">
        <v>0.11304574248296824</v>
      </c>
      <c r="AP26" s="42">
        <v>4.2686154318985099E-3</v>
      </c>
      <c r="AQ26" s="42">
        <v>4.0039612751208023E-3</v>
      </c>
      <c r="AR26" s="42">
        <v>8.8915259446445946E-2</v>
      </c>
      <c r="AS26" s="42">
        <v>8.8270698516229276E-2</v>
      </c>
      <c r="AT26" s="42">
        <v>0.73136607076795235</v>
      </c>
      <c r="AU26" s="42">
        <v>1.5046052577700753</v>
      </c>
      <c r="AV26" s="42">
        <v>8.7950000000000007E-3</v>
      </c>
      <c r="AW26" s="42">
        <v>1.9751000000000001E-2</v>
      </c>
      <c r="AX26" s="42">
        <v>2.0683E-2</v>
      </c>
      <c r="AY26" s="42">
        <v>0.28532400000000002</v>
      </c>
      <c r="AZ26" s="42">
        <v>5.2847999999999999E-2</v>
      </c>
      <c r="BA26" s="42">
        <v>1.9E-2</v>
      </c>
      <c r="BB26" s="42">
        <v>0.100545</v>
      </c>
      <c r="BC26" s="42">
        <v>2.3664000000000001E-2</v>
      </c>
      <c r="BD26" s="42">
        <v>0.32225599999999999</v>
      </c>
      <c r="BE26" s="42">
        <v>7.6220000000000003E-3</v>
      </c>
      <c r="BF26" s="42">
        <v>4.3284999999999997E-2</v>
      </c>
      <c r="BG26" s="42">
        <v>0.05</v>
      </c>
      <c r="BH26" s="45">
        <f t="shared" si="6"/>
        <v>0.9537730000000002</v>
      </c>
      <c r="BI26" s="45">
        <v>0.96384400000000003</v>
      </c>
      <c r="BJ26" s="42">
        <v>0.19880700000000001</v>
      </c>
      <c r="BK26" s="42">
        <v>1.7561E-2</v>
      </c>
      <c r="BL26" s="42">
        <v>0.56662999999999997</v>
      </c>
      <c r="BM26" s="42">
        <v>4.5585000000000001E-2</v>
      </c>
      <c r="BN26" s="42">
        <v>0.13622600000000001</v>
      </c>
      <c r="BO26" s="42">
        <v>6.9829000000000002E-2</v>
      </c>
      <c r="BP26" s="42">
        <v>1.3018999999999999E-2</v>
      </c>
      <c r="BQ26" s="42">
        <v>4.1373E-2</v>
      </c>
      <c r="BR26" s="42">
        <v>0.113258</v>
      </c>
      <c r="BS26" s="42">
        <v>0.230294</v>
      </c>
      <c r="BT26" s="42">
        <v>6.08E-2</v>
      </c>
      <c r="BU26" s="42">
        <v>0.120314</v>
      </c>
      <c r="BV26" s="45">
        <f t="shared" si="7"/>
        <v>1.613696</v>
      </c>
      <c r="BW26" s="45">
        <v>1.6222080000000001</v>
      </c>
      <c r="BX26" s="45">
        <v>2.5000000000000001E-2</v>
      </c>
      <c r="BY26" s="45">
        <v>9.6159999999999995E-3</v>
      </c>
      <c r="BZ26" s="45">
        <v>8.1505999999999995E-2</v>
      </c>
      <c r="CA26" s="45">
        <v>3.9390000000000001E-2</v>
      </c>
      <c r="CB26" s="45">
        <v>5.7284000000000002E-2</v>
      </c>
      <c r="CC26" s="45">
        <v>3.4643E-2</v>
      </c>
      <c r="CD26" s="45">
        <v>4.7000000000000002E-3</v>
      </c>
      <c r="CE26" s="45">
        <v>2.6229999999999999E-3</v>
      </c>
      <c r="CF26" s="45">
        <v>1.2999999999999999E-2</v>
      </c>
      <c r="CG26" s="45">
        <v>8.1504999999999994E-2</v>
      </c>
      <c r="CH26" s="45">
        <v>1.7999999999999999E-2</v>
      </c>
      <c r="CI26" s="45">
        <v>5.6212999999999999E-2</v>
      </c>
      <c r="CJ26" s="45">
        <f t="shared" si="8"/>
        <v>0.42348000000000002</v>
      </c>
      <c r="CK26" s="45">
        <v>0.41048000000000001</v>
      </c>
      <c r="CL26" s="45">
        <v>3.4525E-2</v>
      </c>
      <c r="CM26" s="45">
        <v>0.148116</v>
      </c>
      <c r="CN26" s="45">
        <v>0.121202</v>
      </c>
      <c r="CO26" s="45">
        <v>0.63295900000000005</v>
      </c>
      <c r="CP26" s="45">
        <v>0.42292800000000003</v>
      </c>
      <c r="CQ26" s="45">
        <v>0.17830299999999999</v>
      </c>
      <c r="CR26" s="45">
        <v>0.101199</v>
      </c>
      <c r="CS26" s="45">
        <v>4.8190999999999998E-2</v>
      </c>
      <c r="CT26" s="45">
        <v>1.2886169999999999</v>
      </c>
      <c r="CU26" s="45">
        <v>0.18925800000000001</v>
      </c>
      <c r="CV26" s="45">
        <v>0.84727600000000003</v>
      </c>
      <c r="CW26" s="45">
        <v>0.79666999999999999</v>
      </c>
      <c r="CX26" s="45">
        <f t="shared" si="9"/>
        <v>4.8092440000000005</v>
      </c>
      <c r="CY26" s="45">
        <v>4.8131490000000001</v>
      </c>
      <c r="CZ26" s="45">
        <v>6.1647E-2</v>
      </c>
      <c r="DA26" s="45">
        <v>0.12006600000000001</v>
      </c>
      <c r="DB26" s="45">
        <v>0.47291299999999997</v>
      </c>
      <c r="DC26" s="45">
        <v>0.148785</v>
      </c>
      <c r="DD26" s="45">
        <v>0.203761</v>
      </c>
      <c r="DE26" s="45">
        <v>0.128583</v>
      </c>
      <c r="DF26" s="45">
        <v>0.206542</v>
      </c>
      <c r="DG26" s="45">
        <v>0.101033</v>
      </c>
      <c r="DH26" s="45">
        <v>0.2319</v>
      </c>
      <c r="DI26" s="45">
        <v>0.25278299999999998</v>
      </c>
      <c r="DJ26" s="45">
        <v>0.460897</v>
      </c>
      <c r="DK26" s="45">
        <v>0.15540100000000001</v>
      </c>
      <c r="DL26" s="45">
        <f t="shared" si="10"/>
        <v>2.544311</v>
      </c>
      <c r="DM26" s="45">
        <v>2.5383110000000002</v>
      </c>
      <c r="DN26" s="45">
        <v>0.92921500000000001</v>
      </c>
      <c r="DO26" s="45">
        <v>0.33336300000000002</v>
      </c>
      <c r="DP26" s="45">
        <v>0.12501300000000001</v>
      </c>
      <c r="DQ26" s="45">
        <v>0.15323500000000001</v>
      </c>
      <c r="DR26" s="45">
        <v>0.43686199999999997</v>
      </c>
      <c r="DS26" s="45">
        <v>0.226906</v>
      </c>
      <c r="DT26" s="45">
        <v>0.29142800000000002</v>
      </c>
      <c r="DU26" s="45">
        <v>0.44014300000000001</v>
      </c>
      <c r="DV26" s="45">
        <v>0.16755600000000001</v>
      </c>
      <c r="DW26" s="45">
        <v>0.23394300000000001</v>
      </c>
      <c r="DX26" s="45">
        <v>0.17616599999999999</v>
      </c>
      <c r="DY26" s="45">
        <v>0.33562799999999998</v>
      </c>
      <c r="DZ26" s="45">
        <f t="shared" si="18"/>
        <v>3.8494579999999994</v>
      </c>
      <c r="EA26" s="45">
        <f>3.85151+1.554529</f>
        <v>5.4060389999999998</v>
      </c>
      <c r="EB26" s="45">
        <v>0.85080599999999995</v>
      </c>
      <c r="EC26" s="45">
        <v>1.125861</v>
      </c>
      <c r="ED26" s="45">
        <v>0.59326900000000005</v>
      </c>
      <c r="EE26" s="45">
        <v>0.32111899999999999</v>
      </c>
      <c r="EF26" s="42">
        <v>0.34916900000000001</v>
      </c>
      <c r="EG26" s="45">
        <v>0.98874600000000001</v>
      </c>
      <c r="EH26" s="45">
        <v>1.396487</v>
      </c>
      <c r="EI26" s="42">
        <v>0.38556099999999999</v>
      </c>
      <c r="EJ26" s="45">
        <v>0.52288900000000005</v>
      </c>
      <c r="EK26" s="45">
        <v>1.664156</v>
      </c>
      <c r="EL26" s="45">
        <v>0.28353699999999998</v>
      </c>
      <c r="EM26" s="45">
        <v>1.558219</v>
      </c>
      <c r="EN26" s="45">
        <f t="shared" si="19"/>
        <v>10.039819000000001</v>
      </c>
      <c r="EO26" s="45">
        <v>11.348794</v>
      </c>
      <c r="EP26" s="45">
        <v>0.46989399999999998</v>
      </c>
      <c r="EQ26" s="45">
        <v>0.39119199999999998</v>
      </c>
      <c r="ER26" s="45">
        <v>0.45876299999999998</v>
      </c>
      <c r="ES26" s="45">
        <v>0.68186800000000003</v>
      </c>
      <c r="ET26" s="45">
        <v>0.59804800000000002</v>
      </c>
      <c r="EU26" s="45">
        <v>0.57513999999999998</v>
      </c>
      <c r="EV26" s="42">
        <v>0.94168300000000005</v>
      </c>
      <c r="EW26" s="45">
        <v>0.338588</v>
      </c>
      <c r="EX26" s="45">
        <v>0.65826700000000005</v>
      </c>
      <c r="EY26" s="45">
        <v>0.46721499999999999</v>
      </c>
      <c r="EZ26" s="45">
        <v>0.17341899999999999</v>
      </c>
      <c r="FA26" s="45">
        <v>0.56586700000000001</v>
      </c>
      <c r="FB26" s="45">
        <f t="shared" si="20"/>
        <v>6.3199440000000005</v>
      </c>
      <c r="FC26" s="45">
        <f>6.319908+1.418138</f>
        <v>7.7380459999999998</v>
      </c>
      <c r="FD26" s="45">
        <v>0.69825000000000004</v>
      </c>
      <c r="FE26" s="45">
        <v>0.48668499999999998</v>
      </c>
      <c r="FF26" s="45">
        <v>5.6555549999999997</v>
      </c>
      <c r="FG26" s="45">
        <v>0.56990300000000005</v>
      </c>
      <c r="FH26" s="45">
        <v>0.404532</v>
      </c>
      <c r="FI26" s="45">
        <v>0.29847699999999999</v>
      </c>
      <c r="FJ26" s="45">
        <v>0.71873299999999996</v>
      </c>
      <c r="FK26" s="45">
        <v>0.43027399999999999</v>
      </c>
      <c r="FL26" s="45">
        <v>0.35000700000000001</v>
      </c>
      <c r="FM26" s="45">
        <v>3.032448</v>
      </c>
      <c r="FN26" s="45">
        <v>0.32577099999999998</v>
      </c>
      <c r="FO26" s="45">
        <v>1.2483310000000001</v>
      </c>
      <c r="FP26" s="45">
        <f t="shared" si="21"/>
        <v>14.218966</v>
      </c>
      <c r="FQ26" s="45">
        <f>14.221965+1.327982</f>
        <v>15.549947000000001</v>
      </c>
      <c r="FR26" s="45">
        <v>1.0008330000000001</v>
      </c>
      <c r="FS26" s="45">
        <v>0.42030600000000001</v>
      </c>
      <c r="FT26" s="45">
        <v>1.322902</v>
      </c>
      <c r="FU26" s="45">
        <v>0.42466799999999999</v>
      </c>
      <c r="FV26" s="45">
        <v>0.684307</v>
      </c>
      <c r="FW26" s="45">
        <v>1.0354760000000001</v>
      </c>
      <c r="FX26" s="45">
        <v>0.75216099999999997</v>
      </c>
      <c r="FY26" s="45">
        <v>0.47229100000000002</v>
      </c>
      <c r="FZ26" s="45">
        <v>0.54300400000000004</v>
      </c>
      <c r="GA26" s="45">
        <v>0.29309000000000002</v>
      </c>
      <c r="GB26" s="45">
        <v>0.36997600000000003</v>
      </c>
      <c r="GC26" s="45">
        <v>0.54554400000000003</v>
      </c>
      <c r="GD26" s="45">
        <f t="shared" si="11"/>
        <v>7.8645580000000006</v>
      </c>
      <c r="GE26" s="45">
        <f>7.860747+0.162089</f>
        <v>8.0228359999999999</v>
      </c>
      <c r="GF26" s="45">
        <v>0.55976899999999996</v>
      </c>
      <c r="GG26" s="45">
        <v>0.59764600000000001</v>
      </c>
      <c r="GH26" s="45">
        <v>0.51880099999999996</v>
      </c>
      <c r="GI26" s="45">
        <v>0.62490800000000002</v>
      </c>
      <c r="GJ26" s="45">
        <v>0.32536199999999998</v>
      </c>
      <c r="GK26" s="45">
        <v>0.377886</v>
      </c>
      <c r="GL26" s="45">
        <v>0.94520300000000002</v>
      </c>
      <c r="GM26" s="45">
        <v>2.8410000000000001E-2</v>
      </c>
      <c r="GN26" s="45">
        <v>1.6279999999999999E-2</v>
      </c>
      <c r="GO26" s="45">
        <v>0.253106</v>
      </c>
      <c r="GP26" s="45">
        <v>0.16001499999999999</v>
      </c>
      <c r="GQ26" s="45">
        <v>0.17883599999999999</v>
      </c>
      <c r="GR26" s="45">
        <f t="shared" si="12"/>
        <v>4.5862219999999994</v>
      </c>
      <c r="GS26" s="45">
        <f>4.593436+0.101089</f>
        <v>4.6945249999999996</v>
      </c>
      <c r="GT26" s="45">
        <v>0.50012900000000005</v>
      </c>
      <c r="GU26" s="45">
        <v>0.33846700000000002</v>
      </c>
      <c r="GV26" s="45">
        <v>8.0000000000000002E-3</v>
      </c>
      <c r="GW26" s="45">
        <v>0.51144699999999998</v>
      </c>
      <c r="GX26" s="45">
        <v>0.478495</v>
      </c>
      <c r="GY26" s="45">
        <v>-1.49E-3</v>
      </c>
      <c r="GZ26" s="45">
        <v>0.76339000000000001</v>
      </c>
      <c r="HA26" s="45">
        <v>0.20966299999999999</v>
      </c>
      <c r="HB26" s="45">
        <v>0.76824499999999996</v>
      </c>
      <c r="HC26" s="45">
        <v>0.99016000000000004</v>
      </c>
      <c r="HD26" s="45">
        <v>0.40541300000000002</v>
      </c>
      <c r="HE26" s="45">
        <v>0.40429300000000001</v>
      </c>
      <c r="HF26" s="45">
        <f t="shared" si="13"/>
        <v>5.3762119999999998</v>
      </c>
      <c r="HG26" s="45">
        <v>0.276194</v>
      </c>
      <c r="HH26" s="45">
        <v>1.5803609999999999</v>
      </c>
      <c r="HI26" s="45">
        <v>1.3208489999999999</v>
      </c>
      <c r="HJ26" s="45">
        <v>0.12773699999999999</v>
      </c>
      <c r="HK26" s="45"/>
      <c r="HL26" s="45"/>
      <c r="HM26" s="45"/>
      <c r="HN26" s="45"/>
      <c r="HO26" s="45"/>
      <c r="HP26" s="45"/>
      <c r="HQ26" s="45"/>
      <c r="HR26" s="45"/>
      <c r="HS26" s="283">
        <f t="shared" si="14"/>
        <v>1.3580429999999999</v>
      </c>
      <c r="HT26" s="283">
        <f t="shared" si="15"/>
        <v>3.3051409999999999</v>
      </c>
      <c r="HU26" s="280">
        <f t="shared" si="16"/>
        <v>1.947098</v>
      </c>
      <c r="HV26" s="280">
        <f t="shared" si="17"/>
        <v>143.37528340413374</v>
      </c>
    </row>
    <row r="27" spans="1:230" s="12" customFormat="1" ht="42" hidden="1" customHeight="1">
      <c r="A27" s="314" t="s">
        <v>138</v>
      </c>
      <c r="B27" s="13">
        <v>3300</v>
      </c>
      <c r="C27" s="56" t="s">
        <v>138</v>
      </c>
      <c r="D27" s="42">
        <v>0</v>
      </c>
      <c r="E27" s="42">
        <v>20.280598858287657</v>
      </c>
      <c r="F27" s="42">
        <v>1.2875424727235474</v>
      </c>
      <c r="G27" s="42">
        <v>1.2875424727235474</v>
      </c>
      <c r="H27" s="42">
        <v>1.2875410498517368</v>
      </c>
      <c r="I27" s="42">
        <v>1.2875410498517368</v>
      </c>
      <c r="J27" s="42">
        <v>1.2908890672221558</v>
      </c>
      <c r="K27" s="42">
        <v>1.6432590025099461</v>
      </c>
      <c r="L27" s="42">
        <v>1.2958136265587561</v>
      </c>
      <c r="M27" s="42">
        <v>1.2841930324813178</v>
      </c>
      <c r="N27" s="42">
        <v>1.6515315792169654</v>
      </c>
      <c r="O27" s="42">
        <v>1.2875424727235474</v>
      </c>
      <c r="P27" s="42">
        <v>1.535086595978395</v>
      </c>
      <c r="Q27" s="42">
        <v>2.1186034797753002</v>
      </c>
      <c r="R27" s="42">
        <v>17.25708590161695</v>
      </c>
      <c r="S27" s="42">
        <v>17.257085901616954</v>
      </c>
      <c r="T27" s="42">
        <v>1.2397510543480117</v>
      </c>
      <c r="U27" s="42">
        <v>1.2408665858475478</v>
      </c>
      <c r="V27" s="42">
        <v>1.2582739995788299</v>
      </c>
      <c r="W27" s="42">
        <v>1.2484704128035697</v>
      </c>
      <c r="X27" s="42">
        <v>1.2576564732130153</v>
      </c>
      <c r="Y27" s="42">
        <v>2.0179566422501867</v>
      </c>
      <c r="Z27" s="42">
        <v>1.1080471938122152</v>
      </c>
      <c r="AA27" s="42">
        <v>1.0853851144842659</v>
      </c>
      <c r="AB27" s="42">
        <v>1.0672420760268866</v>
      </c>
      <c r="AC27" s="42">
        <v>2.0302488318222438</v>
      </c>
      <c r="AD27" s="42">
        <v>2.1435592284619895</v>
      </c>
      <c r="AE27" s="42">
        <v>2.1637810826347033</v>
      </c>
      <c r="AF27" s="42">
        <v>17.861238695283465</v>
      </c>
      <c r="AG27" s="42">
        <v>17.861238695283465</v>
      </c>
      <c r="AH27" s="42">
        <v>1.2556971787297739</v>
      </c>
      <c r="AI27" s="42">
        <v>1.3319929880877173</v>
      </c>
      <c r="AJ27" s="42">
        <v>1.3441457362223324</v>
      </c>
      <c r="AK27" s="42">
        <v>1.30672705334631</v>
      </c>
      <c r="AL27" s="42">
        <v>2.0341261575062179</v>
      </c>
      <c r="AM27" s="42">
        <v>1.2162025258820381</v>
      </c>
      <c r="AN27" s="42">
        <v>2.4009610076209014</v>
      </c>
      <c r="AO27" s="42">
        <v>1.0150582523719274</v>
      </c>
      <c r="AP27" s="42">
        <v>1.44943398159373</v>
      </c>
      <c r="AQ27" s="42">
        <v>1.1622643012845688</v>
      </c>
      <c r="AR27" s="42">
        <v>1.6400575409360221</v>
      </c>
      <c r="AS27" s="42">
        <v>3.1982487293754733</v>
      </c>
      <c r="AT27" s="42">
        <v>19.354915452957016</v>
      </c>
      <c r="AU27" s="42">
        <v>19.354915452957012</v>
      </c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5"/>
      <c r="BI27" s="45"/>
      <c r="BJ27" s="42"/>
      <c r="BK27" s="42">
        <v>0</v>
      </c>
      <c r="BL27" s="42">
        <v>0</v>
      </c>
      <c r="BM27" s="42">
        <v>0</v>
      </c>
      <c r="BN27" s="42">
        <v>0</v>
      </c>
      <c r="BO27" s="42">
        <v>0</v>
      </c>
      <c r="BP27" s="42">
        <v>0</v>
      </c>
      <c r="BQ27" s="42">
        <v>0</v>
      </c>
      <c r="BR27" s="42">
        <v>0</v>
      </c>
      <c r="BS27" s="42">
        <v>0</v>
      </c>
      <c r="BT27" s="42">
        <v>0</v>
      </c>
      <c r="BU27" s="42">
        <v>0</v>
      </c>
      <c r="BV27" s="45">
        <f t="shared" si="7"/>
        <v>0</v>
      </c>
      <c r="BW27" s="45"/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f t="shared" si="8"/>
        <v>0</v>
      </c>
      <c r="CK27" s="45"/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f t="shared" si="9"/>
        <v>0</v>
      </c>
      <c r="CY27" s="45"/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f t="shared" si="10"/>
        <v>0</v>
      </c>
      <c r="DM27" s="45"/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f t="shared" si="18"/>
        <v>0</v>
      </c>
      <c r="EA27" s="45"/>
      <c r="EB27" s="45">
        <v>0</v>
      </c>
      <c r="EC27" s="45">
        <v>0</v>
      </c>
      <c r="ED27" s="45">
        <v>0</v>
      </c>
      <c r="EE27" s="45">
        <v>0</v>
      </c>
      <c r="EF27" s="42">
        <v>0</v>
      </c>
      <c r="EG27" s="45">
        <v>0</v>
      </c>
      <c r="EH27" s="45">
        <v>0</v>
      </c>
      <c r="EI27" s="42">
        <v>0</v>
      </c>
      <c r="EJ27" s="45">
        <v>0</v>
      </c>
      <c r="EK27" s="45">
        <v>0</v>
      </c>
      <c r="EL27" s="45">
        <v>0</v>
      </c>
      <c r="EM27" s="45">
        <v>0</v>
      </c>
      <c r="EN27" s="45">
        <f t="shared" si="19"/>
        <v>0</v>
      </c>
      <c r="EO27" s="45"/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2">
        <v>0</v>
      </c>
      <c r="EW27" s="45">
        <v>0</v>
      </c>
      <c r="EX27" s="42">
        <v>0</v>
      </c>
      <c r="EY27" s="45">
        <v>0</v>
      </c>
      <c r="EZ27" s="45"/>
      <c r="FA27" s="45"/>
      <c r="FB27" s="45">
        <f t="shared" si="20"/>
        <v>0</v>
      </c>
      <c r="FC27" s="45"/>
      <c r="FD27" s="54"/>
      <c r="FE27" s="45">
        <v>0</v>
      </c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>
        <f t="shared" si="21"/>
        <v>0</v>
      </c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>
        <f t="shared" si="11"/>
        <v>0</v>
      </c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>
        <f t="shared" si="12"/>
        <v>0</v>
      </c>
      <c r="GS27" s="322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>
        <f t="shared" si="13"/>
        <v>0</v>
      </c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283">
        <f t="shared" si="14"/>
        <v>0</v>
      </c>
      <c r="HT27" s="283">
        <f t="shared" si="15"/>
        <v>0</v>
      </c>
      <c r="HU27" s="280">
        <f t="shared" si="16"/>
        <v>0</v>
      </c>
      <c r="HV27" s="280"/>
    </row>
    <row r="28" spans="1:230" s="12" customFormat="1" ht="20.25" hidden="1" customHeight="1">
      <c r="A28" s="314" t="s">
        <v>140</v>
      </c>
      <c r="B28" s="13">
        <v>3900</v>
      </c>
      <c r="C28" s="56" t="s">
        <v>140</v>
      </c>
      <c r="D28" s="42">
        <v>0.25182127591761005</v>
      </c>
      <c r="E28" s="42">
        <v>0.35006519598532093</v>
      </c>
      <c r="F28" s="42">
        <v>5.6914872425313458E-4</v>
      </c>
      <c r="G28" s="42">
        <v>1.7785897632910457E-3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2.9524590070631358E-3</v>
      </c>
      <c r="N28" s="42">
        <v>1.9329713547447083E-2</v>
      </c>
      <c r="O28" s="42">
        <v>0</v>
      </c>
      <c r="P28" s="42">
        <v>6.1752636581465107E-3</v>
      </c>
      <c r="Q28" s="42">
        <v>0</v>
      </c>
      <c r="R28" s="42">
        <v>3.0805174700200909E-2</v>
      </c>
      <c r="S28" s="42">
        <v>0.38434186487270988</v>
      </c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42">
        <v>0</v>
      </c>
      <c r="AG28" s="42">
        <v>0.14740951958156184</v>
      </c>
      <c r="AH28" s="100"/>
      <c r="AI28" s="100"/>
      <c r="AJ28" s="100"/>
      <c r="AK28" s="100"/>
      <c r="AL28" s="100"/>
      <c r="AM28" s="100"/>
      <c r="AN28" s="100"/>
      <c r="AO28" s="100"/>
      <c r="AP28" s="42"/>
      <c r="AQ28" s="42"/>
      <c r="AR28" s="42"/>
      <c r="AS28" s="42"/>
      <c r="AT28" s="42">
        <v>0</v>
      </c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5"/>
      <c r="BI28" s="45"/>
      <c r="BJ28" s="42"/>
      <c r="BK28" s="42">
        <v>0</v>
      </c>
      <c r="BL28" s="42">
        <v>0</v>
      </c>
      <c r="BM28" s="42">
        <v>0</v>
      </c>
      <c r="BN28" s="42">
        <v>0</v>
      </c>
      <c r="BO28" s="42">
        <v>0</v>
      </c>
      <c r="BP28" s="42">
        <v>0</v>
      </c>
      <c r="BQ28" s="42">
        <v>0</v>
      </c>
      <c r="BR28" s="42">
        <v>0</v>
      </c>
      <c r="BS28" s="42">
        <v>0</v>
      </c>
      <c r="BT28" s="42">
        <v>0</v>
      </c>
      <c r="BU28" s="42">
        <v>0</v>
      </c>
      <c r="BV28" s="45">
        <f t="shared" si="7"/>
        <v>0</v>
      </c>
      <c r="BW28" s="45"/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f t="shared" si="8"/>
        <v>0</v>
      </c>
      <c r="CK28" s="45"/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f t="shared" si="9"/>
        <v>0</v>
      </c>
      <c r="CY28" s="45"/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f t="shared" si="10"/>
        <v>0</v>
      </c>
      <c r="DM28" s="45"/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f t="shared" si="18"/>
        <v>0</v>
      </c>
      <c r="EA28" s="45"/>
      <c r="EB28" s="45">
        <v>0</v>
      </c>
      <c r="EC28" s="45"/>
      <c r="ED28" s="45">
        <v>0</v>
      </c>
      <c r="EE28" s="45"/>
      <c r="EF28" s="42">
        <v>0</v>
      </c>
      <c r="EG28" s="45">
        <v>0</v>
      </c>
      <c r="EH28" s="45">
        <v>0</v>
      </c>
      <c r="EI28" s="42">
        <v>0</v>
      </c>
      <c r="EJ28" s="45">
        <v>0</v>
      </c>
      <c r="EK28" s="45">
        <v>0</v>
      </c>
      <c r="EL28" s="45">
        <v>0</v>
      </c>
      <c r="EM28" s="45">
        <v>0</v>
      </c>
      <c r="EN28" s="45">
        <f t="shared" si="19"/>
        <v>0</v>
      </c>
      <c r="EO28" s="45"/>
      <c r="EP28" s="45">
        <v>0</v>
      </c>
      <c r="EQ28" s="45">
        <v>0</v>
      </c>
      <c r="ER28" s="45">
        <v>0</v>
      </c>
      <c r="ES28" s="45">
        <v>0</v>
      </c>
      <c r="ET28" s="45">
        <v>0</v>
      </c>
      <c r="EU28" s="45">
        <v>0</v>
      </c>
      <c r="EV28" s="183"/>
      <c r="EW28" s="179"/>
      <c r="EX28" s="183"/>
      <c r="EY28" s="179"/>
      <c r="EZ28" s="45"/>
      <c r="FA28" s="45"/>
      <c r="FB28" s="45">
        <f t="shared" si="20"/>
        <v>0</v>
      </c>
      <c r="FC28" s="45"/>
      <c r="FD28" s="45"/>
      <c r="FE28" s="45">
        <v>0</v>
      </c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>
        <f t="shared" si="21"/>
        <v>0</v>
      </c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>
        <f t="shared" si="11"/>
        <v>0</v>
      </c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>
        <f t="shared" si="12"/>
        <v>0</v>
      </c>
      <c r="GS28" s="322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>
        <f t="shared" si="13"/>
        <v>0</v>
      </c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283">
        <f t="shared" si="14"/>
        <v>0</v>
      </c>
      <c r="HT28" s="283">
        <f t="shared" si="15"/>
        <v>0</v>
      </c>
      <c r="HU28" s="280">
        <f t="shared" si="16"/>
        <v>0</v>
      </c>
      <c r="HV28" s="280"/>
    </row>
    <row r="29" spans="1:230" s="12" customFormat="1" ht="21.65" customHeight="1">
      <c r="A29" s="314" t="s">
        <v>143</v>
      </c>
      <c r="B29" s="13" t="s">
        <v>144</v>
      </c>
      <c r="C29" s="46" t="s">
        <v>145</v>
      </c>
      <c r="D29" s="42">
        <v>5.5178968816341403E-3</v>
      </c>
      <c r="E29" s="42">
        <v>1.3730912174660361</v>
      </c>
      <c r="F29" s="42">
        <v>0</v>
      </c>
      <c r="G29" s="42">
        <v>8.8302001696063198E-2</v>
      </c>
      <c r="H29" s="42">
        <v>0.10583747389030228</v>
      </c>
      <c r="I29" s="42">
        <v>0</v>
      </c>
      <c r="J29" s="42">
        <v>0.14890353498272635</v>
      </c>
      <c r="K29" s="42">
        <v>0.25611265729847865</v>
      </c>
      <c r="L29" s="42">
        <v>-2.235758476047376E-2</v>
      </c>
      <c r="M29" s="42">
        <v>7.5595756427111971E-2</v>
      </c>
      <c r="N29" s="42">
        <v>9.9608141103351713E-2</v>
      </c>
      <c r="O29" s="42">
        <v>5.1616097802516782E-2</v>
      </c>
      <c r="P29" s="42">
        <v>0.4401454744139191</v>
      </c>
      <c r="Q29" s="42">
        <v>0.26904940780075237</v>
      </c>
      <c r="R29" s="42">
        <v>1.5128129606547485</v>
      </c>
      <c r="S29" s="42">
        <v>1.5202175855572821</v>
      </c>
      <c r="T29" s="42">
        <v>0.84448864832869475</v>
      </c>
      <c r="U29" s="42">
        <v>2.7308709113778522</v>
      </c>
      <c r="V29" s="42">
        <v>-0.7160474328546792</v>
      </c>
      <c r="W29" s="42">
        <v>0.77045378227784711</v>
      </c>
      <c r="X29" s="42">
        <v>0.99002139999203198</v>
      </c>
      <c r="Y29" s="42">
        <v>1.8667779352422582</v>
      </c>
      <c r="Z29" s="42">
        <v>1.0403924849602448</v>
      </c>
      <c r="AA29" s="42">
        <v>1.1904442774941519</v>
      </c>
      <c r="AB29" s="42">
        <v>1.0463215917951521</v>
      </c>
      <c r="AC29" s="42">
        <v>2.0538172804935662</v>
      </c>
      <c r="AD29" s="42">
        <v>1.0887345547264957</v>
      </c>
      <c r="AE29" s="42">
        <v>2.1642975851019632</v>
      </c>
      <c r="AF29" s="42">
        <v>15.07057301893558</v>
      </c>
      <c r="AG29" s="42">
        <v>8.6099552649102691</v>
      </c>
      <c r="AH29" s="42">
        <v>1.1069515825180278</v>
      </c>
      <c r="AI29" s="42">
        <v>0.55272166919937848</v>
      </c>
      <c r="AJ29" s="42">
        <v>0.76523184273282463</v>
      </c>
      <c r="AK29" s="42">
        <v>1.2008653906352271</v>
      </c>
      <c r="AL29" s="42">
        <v>1.1038369161245525</v>
      </c>
      <c r="AM29" s="42">
        <v>1.3997899841207506</v>
      </c>
      <c r="AN29" s="42">
        <v>1.2407627162053716</v>
      </c>
      <c r="AO29" s="42">
        <v>1.6062714497925454</v>
      </c>
      <c r="AP29" s="42">
        <v>1.0365806113795595</v>
      </c>
      <c r="AQ29" s="42">
        <v>1.0970042856898936</v>
      </c>
      <c r="AR29" s="42">
        <v>1.4113124000432553</v>
      </c>
      <c r="AS29" s="42">
        <v>2.2798134330481901</v>
      </c>
      <c r="AT29" s="42">
        <v>14.801142281489577</v>
      </c>
      <c r="AU29" s="42">
        <v>9.7579922709600577</v>
      </c>
      <c r="AV29" s="42">
        <f>AV30+AV31+AV32</f>
        <v>1.4139149999999998</v>
      </c>
      <c r="AW29" s="42">
        <f>AW30+AW31+AW32</f>
        <v>1.2705500000000001</v>
      </c>
      <c r="AX29" s="42">
        <f t="shared" ref="AX29:BE29" si="29">AX30+AX31+AX32</f>
        <v>1.4413869999999998</v>
      </c>
      <c r="AY29" s="42">
        <f t="shared" si="29"/>
        <v>1.0878060000000001</v>
      </c>
      <c r="AZ29" s="42">
        <f t="shared" si="29"/>
        <v>1.130007</v>
      </c>
      <c r="BA29" s="42">
        <f t="shared" si="29"/>
        <v>1.321242</v>
      </c>
      <c r="BB29" s="42">
        <f t="shared" si="29"/>
        <v>1.1583840000000001</v>
      </c>
      <c r="BC29" s="42">
        <f t="shared" si="29"/>
        <v>0.83107500000000001</v>
      </c>
      <c r="BD29" s="42">
        <f t="shared" si="29"/>
        <v>1.5802960000000001</v>
      </c>
      <c r="BE29" s="42">
        <f t="shared" si="29"/>
        <v>1.519374</v>
      </c>
      <c r="BF29" s="42">
        <f>BF30+BF31+BF32</f>
        <v>1.440761</v>
      </c>
      <c r="BG29" s="42">
        <f>BG30+BG31+BG32</f>
        <v>1.7792220000000001</v>
      </c>
      <c r="BH29" s="45">
        <f t="shared" si="6"/>
        <v>15.974019000000004</v>
      </c>
      <c r="BI29" s="45">
        <f>BI30+BI31+BI32</f>
        <v>9.6394550000000017</v>
      </c>
      <c r="BJ29" s="42">
        <f>BJ30+BJ31+BJ32</f>
        <v>1.2931940000000002</v>
      </c>
      <c r="BK29" s="42">
        <v>1.1173570000000002</v>
      </c>
      <c r="BL29" s="42">
        <v>1.4488449999999999</v>
      </c>
      <c r="BM29" s="42">
        <v>0.87211300000000003</v>
      </c>
      <c r="BN29" s="42">
        <v>1.296319</v>
      </c>
      <c r="BO29" s="42">
        <v>1.481538</v>
      </c>
      <c r="BP29" s="42">
        <v>1.2939349999999998</v>
      </c>
      <c r="BQ29" s="42">
        <v>1.053444</v>
      </c>
      <c r="BR29" s="42">
        <v>1.9180079999999999</v>
      </c>
      <c r="BS29" s="42">
        <v>1.4859789999999999</v>
      </c>
      <c r="BT29" s="42">
        <v>1.3873350000000002</v>
      </c>
      <c r="BU29" s="42">
        <v>3.2697000000000003</v>
      </c>
      <c r="BV29" s="45">
        <f t="shared" si="7"/>
        <v>17.917767000000001</v>
      </c>
      <c r="BW29" s="45">
        <f>BW30+BW31+BW32</f>
        <v>9.5129619999999999</v>
      </c>
      <c r="BX29" s="45">
        <v>1.0957270000000001</v>
      </c>
      <c r="BY29" s="45">
        <v>0.53015199999999996</v>
      </c>
      <c r="BZ29" s="45">
        <v>0.75051200000000007</v>
      </c>
      <c r="CA29" s="45">
        <v>0.643459</v>
      </c>
      <c r="CB29" s="45">
        <v>1.0137689999999999</v>
      </c>
      <c r="CC29" s="45">
        <v>0.46286099999999997</v>
      </c>
      <c r="CD29" s="45">
        <v>0.61301500000000009</v>
      </c>
      <c r="CE29" s="45">
        <v>0.37356400000000001</v>
      </c>
      <c r="CF29" s="45">
        <v>0.506023</v>
      </c>
      <c r="CG29" s="45">
        <v>0.44572400000000001</v>
      </c>
      <c r="CH29" s="45">
        <v>0.44790599999999997</v>
      </c>
      <c r="CI29" s="45">
        <v>2.8562659999999997</v>
      </c>
      <c r="CJ29" s="45">
        <f t="shared" si="8"/>
        <v>9.7389779999999995</v>
      </c>
      <c r="CK29" s="45">
        <f>CK30+CK31+CK32</f>
        <v>6.6899940000000004</v>
      </c>
      <c r="CL29" s="45">
        <v>5.5396000000000001E-2</v>
      </c>
      <c r="CM29" s="45">
        <v>0.86767499999999997</v>
      </c>
      <c r="CN29" s="45">
        <v>0.47855700000000001</v>
      </c>
      <c r="CO29" s="45">
        <v>0.70643600000000006</v>
      </c>
      <c r="CP29" s="45">
        <v>1.094112</v>
      </c>
      <c r="CQ29" s="45">
        <v>0.60733199999999998</v>
      </c>
      <c r="CR29" s="45">
        <v>0.57246399999999997</v>
      </c>
      <c r="CS29" s="45">
        <v>0.46053299999999997</v>
      </c>
      <c r="CT29" s="45">
        <v>0.70145999999999997</v>
      </c>
      <c r="CU29" s="45">
        <v>0.84385500000000002</v>
      </c>
      <c r="CV29" s="45">
        <v>1.2016339999999999</v>
      </c>
      <c r="CW29" s="45">
        <v>0.89829000000000003</v>
      </c>
      <c r="CX29" s="45">
        <f t="shared" si="9"/>
        <v>8.4877439999999993</v>
      </c>
      <c r="CY29" s="45">
        <f>CY30+CY31+CY32</f>
        <v>5.5661269999999998</v>
      </c>
      <c r="CZ29" s="45">
        <v>0.201125</v>
      </c>
      <c r="DA29" s="45">
        <v>1.1529689999999999</v>
      </c>
      <c r="DB29" s="45">
        <v>0.954955</v>
      </c>
      <c r="DC29" s="45">
        <v>1.175141</v>
      </c>
      <c r="DD29" s="45">
        <v>1.013199</v>
      </c>
      <c r="DE29" s="45">
        <v>0.873861</v>
      </c>
      <c r="DF29" s="45">
        <v>1.1825939999999999</v>
      </c>
      <c r="DG29" s="45">
        <v>0.96263600000000005</v>
      </c>
      <c r="DH29" s="45">
        <v>1.327534</v>
      </c>
      <c r="DI29" s="45">
        <v>1.440372</v>
      </c>
      <c r="DJ29" s="45">
        <v>1.2354719999999999</v>
      </c>
      <c r="DK29" s="45">
        <v>2.2755100000000001</v>
      </c>
      <c r="DL29" s="45">
        <f t="shared" si="10"/>
        <v>13.795368</v>
      </c>
      <c r="DM29" s="45">
        <f>DM30+DM31+DM32</f>
        <v>7.8534550000000003</v>
      </c>
      <c r="DN29" s="45">
        <v>0.38343300000000002</v>
      </c>
      <c r="DO29" s="45">
        <v>1.081564</v>
      </c>
      <c r="DP29" s="45">
        <v>2.1977440000000001</v>
      </c>
      <c r="DQ29" s="45">
        <v>2.0810209999999998</v>
      </c>
      <c r="DR29" s="45">
        <v>1.3669750000000001</v>
      </c>
      <c r="DS29" s="45">
        <v>0.86748400000000003</v>
      </c>
      <c r="DT29" s="45">
        <v>3.3040340000000001</v>
      </c>
      <c r="DU29" s="45">
        <v>0.31622699999999998</v>
      </c>
      <c r="DV29" s="45">
        <v>1.465295</v>
      </c>
      <c r="DW29" s="45">
        <v>3.2377889999999998</v>
      </c>
      <c r="DX29" s="45">
        <v>1.4187940000000001</v>
      </c>
      <c r="DY29" s="45">
        <v>1.8677079999999999</v>
      </c>
      <c r="DZ29" s="45">
        <f t="shared" si="18"/>
        <v>19.588068</v>
      </c>
      <c r="EA29" s="45">
        <f>EA30+EA31+EA32</f>
        <v>10.079157</v>
      </c>
      <c r="EB29" s="45">
        <v>1.814071</v>
      </c>
      <c r="EC29" s="45">
        <v>2.9238710000000001</v>
      </c>
      <c r="ED29" s="45">
        <v>0.78227000000000002</v>
      </c>
      <c r="EE29" s="45">
        <v>3.1795260000000001</v>
      </c>
      <c r="EF29" s="42">
        <v>0.87473699999999999</v>
      </c>
      <c r="EG29" s="45">
        <v>0.81786300000000001</v>
      </c>
      <c r="EH29" s="45">
        <v>2.9616769999999999</v>
      </c>
      <c r="EI29" s="42">
        <v>1.733798</v>
      </c>
      <c r="EJ29" s="45">
        <v>2.7024849999999998</v>
      </c>
      <c r="EK29" s="45">
        <v>3.2053889999999998</v>
      </c>
      <c r="EL29" s="45">
        <v>1.842414</v>
      </c>
      <c r="EM29" s="45">
        <v>2.1605810000000001</v>
      </c>
      <c r="EN29" s="45">
        <f t="shared" si="19"/>
        <v>24.998682000000002</v>
      </c>
      <c r="EO29" s="45">
        <f>EO30+EO31+EO32</f>
        <v>8.9340910000000004</v>
      </c>
      <c r="EP29" s="45">
        <v>0.97819699999999998</v>
      </c>
      <c r="EQ29" s="45">
        <v>1.4319120000000001</v>
      </c>
      <c r="ER29" s="45">
        <v>1.308897</v>
      </c>
      <c r="ES29" s="45">
        <v>1.0523659999999999</v>
      </c>
      <c r="ET29" s="45">
        <v>0.99163500000000004</v>
      </c>
      <c r="EU29" s="45">
        <v>1.221654</v>
      </c>
      <c r="EV29" s="42">
        <v>1.3100099999999999</v>
      </c>
      <c r="EW29" s="45">
        <v>0.64648899999999998</v>
      </c>
      <c r="EX29" s="42">
        <v>1.431065</v>
      </c>
      <c r="EY29" s="45">
        <v>1.6327719999999999</v>
      </c>
      <c r="EZ29" s="45">
        <v>1.0486439999999999</v>
      </c>
      <c r="FA29" s="45">
        <v>2.6078079999999999</v>
      </c>
      <c r="FB29" s="45">
        <f t="shared" si="20"/>
        <v>15.661448999999999</v>
      </c>
      <c r="FC29" s="45">
        <f>FC30+FC31+FC32</f>
        <v>11.845130999999999</v>
      </c>
      <c r="FD29" s="45">
        <v>0.87526300000000001</v>
      </c>
      <c r="FE29" s="45">
        <v>2.0876039999999998</v>
      </c>
      <c r="FF29" s="45">
        <v>1.980286</v>
      </c>
      <c r="FG29" s="45">
        <v>1.040521</v>
      </c>
      <c r="FH29" s="45">
        <v>1.6845490000000001</v>
      </c>
      <c r="FI29" s="45">
        <v>1.3508990000000001</v>
      </c>
      <c r="FJ29" s="45">
        <v>1.4864269999999999</v>
      </c>
      <c r="FK29" s="45">
        <v>2.1093500000000001</v>
      </c>
      <c r="FL29" s="45">
        <v>1.716116</v>
      </c>
      <c r="FM29" s="45">
        <v>2.4111120000000001</v>
      </c>
      <c r="FN29" s="45">
        <v>2.7324160000000002</v>
      </c>
      <c r="FO29" s="45">
        <v>6.5855300000000003</v>
      </c>
      <c r="FP29" s="45">
        <f t="shared" si="21"/>
        <v>26.060072999999996</v>
      </c>
      <c r="FQ29" s="45">
        <f>FQ30+FQ31+FQ32</f>
        <v>18.107122999999998</v>
      </c>
      <c r="FR29" s="45">
        <v>1.4157580000000001</v>
      </c>
      <c r="FS29" s="45">
        <v>1.949676</v>
      </c>
      <c r="FT29" s="45">
        <v>3.3874369999999998</v>
      </c>
      <c r="FU29" s="45">
        <v>3.7522359999999999</v>
      </c>
      <c r="FV29" s="45">
        <v>2.5952229999999998</v>
      </c>
      <c r="FW29" s="45">
        <v>4.12887</v>
      </c>
      <c r="FX29" s="45">
        <v>3.8101349999999998</v>
      </c>
      <c r="FY29" s="45">
        <v>3.3822130000000001</v>
      </c>
      <c r="FZ29" s="45">
        <v>3.6294729999999999</v>
      </c>
      <c r="GA29" s="45">
        <v>2.9152800000000001</v>
      </c>
      <c r="GB29" s="45">
        <v>4.7468060000000003</v>
      </c>
      <c r="GC29" s="45">
        <v>4.1010169999999997</v>
      </c>
      <c r="GD29" s="45">
        <f t="shared" si="11"/>
        <v>39.814124</v>
      </c>
      <c r="GE29" s="45">
        <f>GE30+GE31+GE32</f>
        <v>30.044022000000002</v>
      </c>
      <c r="GF29" s="45">
        <v>1.8194319999999999</v>
      </c>
      <c r="GG29" s="45">
        <v>6.8205790000000004</v>
      </c>
      <c r="GH29" s="45">
        <v>0.93599500000000002</v>
      </c>
      <c r="GI29" s="45">
        <v>1.5699559999999999</v>
      </c>
      <c r="GJ29" s="45">
        <v>1.3123039999999999</v>
      </c>
      <c r="GK29" s="45">
        <v>1.7955680000000001</v>
      </c>
      <c r="GL29" s="45">
        <v>2.9713910000000001</v>
      </c>
      <c r="GM29" s="45">
        <v>1.5527219999999999</v>
      </c>
      <c r="GN29" s="45">
        <v>1.492051</v>
      </c>
      <c r="GO29" s="45">
        <v>1.6470720000000001</v>
      </c>
      <c r="GP29" s="45">
        <v>1.682563</v>
      </c>
      <c r="GQ29" s="45">
        <v>1.9701660000000001</v>
      </c>
      <c r="GR29" s="45">
        <f t="shared" si="12"/>
        <v>25.569798999999996</v>
      </c>
      <c r="GS29" s="45">
        <f>GS30+GS31+GS32</f>
        <v>10.659732999999999</v>
      </c>
      <c r="GT29" s="45">
        <v>0.20990200000000001</v>
      </c>
      <c r="GU29" s="45">
        <v>0.71780600000000006</v>
      </c>
      <c r="GV29" s="45">
        <v>0.74266600000000005</v>
      </c>
      <c r="GW29" s="45">
        <v>0.72927799999999998</v>
      </c>
      <c r="GX29" s="45">
        <v>0.72753400000000001</v>
      </c>
      <c r="GY29" s="45">
        <v>1.1633039999999999</v>
      </c>
      <c r="GZ29" s="45">
        <v>0.51522000000000001</v>
      </c>
      <c r="HA29" s="45">
        <v>0.46475</v>
      </c>
      <c r="HB29" s="45">
        <v>0.76272799999999996</v>
      </c>
      <c r="HC29" s="45">
        <v>1.0205900000000001</v>
      </c>
      <c r="HD29" s="45">
        <v>0.78904200000000002</v>
      </c>
      <c r="HE29" s="45">
        <v>1.4080189999999999</v>
      </c>
      <c r="HF29" s="45">
        <f t="shared" si="13"/>
        <v>9.2508390000000009</v>
      </c>
      <c r="HG29" s="45">
        <v>0.36622899999999997</v>
      </c>
      <c r="HH29" s="45">
        <v>0.81403400000000004</v>
      </c>
      <c r="HI29" s="45">
        <v>0.78806299999999996</v>
      </c>
      <c r="HJ29" s="45">
        <v>1.2752889999999999</v>
      </c>
      <c r="HK29" s="45"/>
      <c r="HL29" s="45"/>
      <c r="HM29" s="45"/>
      <c r="HN29" s="45"/>
      <c r="HO29" s="45"/>
      <c r="HP29" s="45"/>
      <c r="HQ29" s="45"/>
      <c r="HR29" s="45"/>
      <c r="HS29" s="283">
        <f t="shared" si="14"/>
        <v>2.3996520000000001</v>
      </c>
      <c r="HT29" s="283">
        <f t="shared" si="15"/>
        <v>3.2436150000000001</v>
      </c>
      <c r="HU29" s="280">
        <f t="shared" si="16"/>
        <v>0.84396300000000002</v>
      </c>
      <c r="HV29" s="280">
        <f t="shared" si="17"/>
        <v>35.170224682578976</v>
      </c>
    </row>
    <row r="30" spans="1:230" s="12" customFormat="1" ht="20.149999999999999" customHeight="1">
      <c r="A30" s="314" t="s">
        <v>239</v>
      </c>
      <c r="B30" s="13" t="s">
        <v>251</v>
      </c>
      <c r="C30" s="47" t="s">
        <v>240</v>
      </c>
      <c r="D30" s="44"/>
      <c r="E30" s="44">
        <v>0.32395945384488412</v>
      </c>
      <c r="F30" s="44"/>
      <c r="G30" s="44">
        <v>3.0933233163157868E-3</v>
      </c>
      <c r="H30" s="44">
        <v>0.10583747389030228</v>
      </c>
      <c r="I30" s="44"/>
      <c r="J30" s="44"/>
      <c r="K30" s="44">
        <v>0.25611265729847865</v>
      </c>
      <c r="L30" s="44">
        <v>-2.235758476047376E-2</v>
      </c>
      <c r="M30" s="44">
        <v>7.5595756427111957E-2</v>
      </c>
      <c r="N30" s="44">
        <v>2.9716677765066792E-2</v>
      </c>
      <c r="O30" s="44">
        <v>5.1616097802516782E-2</v>
      </c>
      <c r="P30" s="44">
        <v>9.9175588072919346E-2</v>
      </c>
      <c r="Q30" s="44">
        <v>0.24876921588380263</v>
      </c>
      <c r="R30" s="44">
        <v>0</v>
      </c>
      <c r="S30" s="44">
        <v>0.87542757297947371</v>
      </c>
      <c r="T30" s="44">
        <v>0.3390703524738049</v>
      </c>
      <c r="U30" s="44">
        <v>0.10074643855185798</v>
      </c>
      <c r="V30" s="44">
        <v>6.8704788248217144E-2</v>
      </c>
      <c r="W30" s="44">
        <v>0.29762067375825979</v>
      </c>
      <c r="X30" s="44">
        <v>0.51924007262337724</v>
      </c>
      <c r="Y30" s="44">
        <v>0.26467407698305645</v>
      </c>
      <c r="Z30" s="44">
        <v>0.34048326418176333</v>
      </c>
      <c r="AA30" s="44">
        <v>0.7021758555728197</v>
      </c>
      <c r="AB30" s="44">
        <v>0.30991286333031687</v>
      </c>
      <c r="AC30" s="44">
        <v>0.31418005589040471</v>
      </c>
      <c r="AD30" s="44">
        <v>0.31259070807792783</v>
      </c>
      <c r="AE30" s="44">
        <v>0.49019783609655032</v>
      </c>
      <c r="AF30" s="44">
        <v>0</v>
      </c>
      <c r="AG30" s="44">
        <v>4.1895905544077712</v>
      </c>
      <c r="AH30" s="44">
        <v>0.27298933984439477</v>
      </c>
      <c r="AI30" s="44">
        <v>6.1426798936830188E-2</v>
      </c>
      <c r="AJ30" s="44">
        <v>0.27443070898856581</v>
      </c>
      <c r="AK30" s="44">
        <v>0.42385643792579442</v>
      </c>
      <c r="AL30" s="44">
        <v>0.38268279634151198</v>
      </c>
      <c r="AM30" s="44">
        <v>0.67941844383355809</v>
      </c>
      <c r="AN30" s="44">
        <v>0.34602961849961017</v>
      </c>
      <c r="AO30" s="44">
        <v>0.86750786848111283</v>
      </c>
      <c r="AP30" s="44">
        <v>0.56821958896079139</v>
      </c>
      <c r="AQ30" s="44">
        <v>0.58108804161615468</v>
      </c>
      <c r="AR30" s="44">
        <v>0.46381352411198568</v>
      </c>
      <c r="AS30" s="44">
        <v>1.1341184739984407</v>
      </c>
      <c r="AT30" s="44">
        <f>SUM(AH30:AS30)</f>
        <v>6.0555816415387502</v>
      </c>
      <c r="AU30" s="44">
        <v>6.2983861787921036</v>
      </c>
      <c r="AV30" s="44">
        <v>0.48297499999999999</v>
      </c>
      <c r="AW30" s="44">
        <v>0.39569799999999999</v>
      </c>
      <c r="AX30" s="44">
        <v>0.65080499999999997</v>
      </c>
      <c r="AY30" s="44">
        <v>0.52501600000000004</v>
      </c>
      <c r="AZ30" s="44">
        <v>0.26904</v>
      </c>
      <c r="BA30" s="44">
        <v>0.716229</v>
      </c>
      <c r="BB30" s="44">
        <v>0.11871900000000001</v>
      </c>
      <c r="BC30" s="44">
        <v>0.16361000000000001</v>
      </c>
      <c r="BD30" s="44">
        <v>0.433197</v>
      </c>
      <c r="BE30" s="44">
        <v>0.66418299999999997</v>
      </c>
      <c r="BF30" s="44">
        <v>0.85458599999999996</v>
      </c>
      <c r="BG30" s="44">
        <v>0.75775300000000001</v>
      </c>
      <c r="BH30" s="50">
        <f t="shared" si="6"/>
        <v>6.0318109999999994</v>
      </c>
      <c r="BI30" s="50">
        <v>6.0092850000000002</v>
      </c>
      <c r="BJ30" s="44">
        <v>0.288354</v>
      </c>
      <c r="BK30" s="42">
        <v>0.135516</v>
      </c>
      <c r="BL30" s="42">
        <v>0.59799599999999997</v>
      </c>
      <c r="BM30" s="42">
        <v>0.109241</v>
      </c>
      <c r="BN30" s="42">
        <v>0.26861099999999999</v>
      </c>
      <c r="BO30" s="42">
        <v>0.15292600000000001</v>
      </c>
      <c r="BP30" s="42">
        <v>0.21568599999999999</v>
      </c>
      <c r="BQ30" s="42">
        <v>0.21814800000000001</v>
      </c>
      <c r="BR30" s="42">
        <v>0.77334099999999995</v>
      </c>
      <c r="BS30" s="42">
        <v>0.548844</v>
      </c>
      <c r="BT30" s="42">
        <v>0.20268600000000001</v>
      </c>
      <c r="BU30" s="42">
        <v>1.191333</v>
      </c>
      <c r="BV30" s="45">
        <f t="shared" si="7"/>
        <v>4.7026819999999994</v>
      </c>
      <c r="BW30" s="45">
        <v>0.92661099999999996</v>
      </c>
      <c r="BX30" s="45">
        <v>0.51065000000000005</v>
      </c>
      <c r="BY30" s="45">
        <v>9.0303999999999995E-2</v>
      </c>
      <c r="BZ30" s="45">
        <v>0.23466400000000001</v>
      </c>
      <c r="CA30" s="45">
        <v>0.15602199999999999</v>
      </c>
      <c r="CB30" s="45">
        <v>2.9152000000000001E-2</v>
      </c>
      <c r="CC30" s="45">
        <v>5.0242000000000002E-2</v>
      </c>
      <c r="CD30" s="45">
        <v>0.21276300000000001</v>
      </c>
      <c r="CE30" s="45">
        <v>6.2810000000000005E-2</v>
      </c>
      <c r="CF30" s="45">
        <v>8.0288999999999999E-2</v>
      </c>
      <c r="CG30" s="45">
        <v>6.4973000000000003E-2</v>
      </c>
      <c r="CH30" s="45">
        <v>0.10706400000000001</v>
      </c>
      <c r="CI30" s="45">
        <v>1.903643</v>
      </c>
      <c r="CJ30" s="45">
        <f t="shared" si="8"/>
        <v>3.5025759999999999</v>
      </c>
      <c r="CK30" s="45">
        <v>1.1912240000000001</v>
      </c>
      <c r="CL30" s="45">
        <v>1.0033E-2</v>
      </c>
      <c r="CM30" s="45">
        <v>0.13881399999999999</v>
      </c>
      <c r="CN30" s="45">
        <v>5.2118999999999999E-2</v>
      </c>
      <c r="CO30" s="45">
        <v>0.18693000000000001</v>
      </c>
      <c r="CP30" s="45">
        <v>8.9008000000000004E-2</v>
      </c>
      <c r="CQ30" s="45">
        <v>0.12968299999999999</v>
      </c>
      <c r="CR30" s="45">
        <v>8.7173E-2</v>
      </c>
      <c r="CS30" s="45">
        <v>2.053E-2</v>
      </c>
      <c r="CT30" s="45">
        <v>0.153392</v>
      </c>
      <c r="CU30" s="45">
        <v>0.33242899999999997</v>
      </c>
      <c r="CV30" s="45">
        <v>0.66184900000000002</v>
      </c>
      <c r="CW30" s="45">
        <v>0.33465200000000001</v>
      </c>
      <c r="CX30" s="45">
        <f t="shared" si="9"/>
        <v>2.196612</v>
      </c>
      <c r="CY30" s="45">
        <v>1.592816</v>
      </c>
      <c r="CZ30" s="45">
        <v>7.0150000000000004E-2</v>
      </c>
      <c r="DA30" s="45">
        <v>0.18040300000000001</v>
      </c>
      <c r="DB30" s="45">
        <v>0.48330099999999998</v>
      </c>
      <c r="DC30" s="45">
        <v>0.31704700000000002</v>
      </c>
      <c r="DD30" s="45">
        <v>0.30493999999999999</v>
      </c>
      <c r="DE30" s="45">
        <v>0.26745200000000002</v>
      </c>
      <c r="DF30" s="45">
        <v>0.24673900000000001</v>
      </c>
      <c r="DG30" s="45">
        <v>0.31591200000000003</v>
      </c>
      <c r="DH30" s="45">
        <v>0.685334</v>
      </c>
      <c r="DI30" s="45">
        <v>0.61609000000000003</v>
      </c>
      <c r="DJ30" s="45">
        <v>0.57577400000000001</v>
      </c>
      <c r="DK30" s="45">
        <v>1.0086040000000001</v>
      </c>
      <c r="DL30" s="45">
        <f t="shared" si="10"/>
        <v>5.0717460000000001</v>
      </c>
      <c r="DM30" s="45">
        <v>5.040934</v>
      </c>
      <c r="DN30" s="45">
        <v>7.2907E-2</v>
      </c>
      <c r="DO30" s="45">
        <v>0.52125200000000005</v>
      </c>
      <c r="DP30" s="45">
        <v>0.907107</v>
      </c>
      <c r="DQ30" s="45">
        <v>0.34134100000000001</v>
      </c>
      <c r="DR30" s="45">
        <v>0.49089699999999997</v>
      </c>
      <c r="DS30" s="45">
        <v>0.52991900000000003</v>
      </c>
      <c r="DT30" s="45">
        <v>0.74826800000000004</v>
      </c>
      <c r="DU30" s="45">
        <v>0.13331100000000001</v>
      </c>
      <c r="DV30" s="45">
        <v>0.89923600000000004</v>
      </c>
      <c r="DW30" s="45">
        <v>0.52136099999999996</v>
      </c>
      <c r="DX30" s="45">
        <v>0.73139600000000005</v>
      </c>
      <c r="DY30" s="45">
        <v>1.111021</v>
      </c>
      <c r="DZ30" s="45">
        <f t="shared" si="18"/>
        <v>7.0080159999999996</v>
      </c>
      <c r="EA30" s="45">
        <f>6.978015</f>
        <v>6.9780150000000001</v>
      </c>
      <c r="EB30" s="45">
        <v>0.33516499999999999</v>
      </c>
      <c r="EC30" s="45">
        <v>0.259378</v>
      </c>
      <c r="ED30" s="45">
        <v>0.32483000000000001</v>
      </c>
      <c r="EE30" s="45">
        <v>0.67277699999999996</v>
      </c>
      <c r="EF30" s="42">
        <v>0.43719599999999997</v>
      </c>
      <c r="EG30" s="45">
        <v>0.46984100000000001</v>
      </c>
      <c r="EH30" s="45">
        <v>0.47523399999999999</v>
      </c>
      <c r="EI30" s="42">
        <v>0.27791199999999999</v>
      </c>
      <c r="EJ30" s="45">
        <v>0.29724499999999998</v>
      </c>
      <c r="EK30" s="45">
        <v>0.45849600000000001</v>
      </c>
      <c r="EL30" s="45">
        <v>0.77205199999999996</v>
      </c>
      <c r="EM30" s="45">
        <v>1.0450870000000001</v>
      </c>
      <c r="EN30" s="45">
        <f t="shared" si="19"/>
        <v>5.8252130000000015</v>
      </c>
      <c r="EO30" s="45">
        <v>5.825215</v>
      </c>
      <c r="EP30" s="45">
        <v>0.38458199999999998</v>
      </c>
      <c r="EQ30" s="45">
        <v>0.33267999999999998</v>
      </c>
      <c r="ER30" s="45">
        <v>0.79359400000000002</v>
      </c>
      <c r="ES30" s="45">
        <v>0.49528499999999998</v>
      </c>
      <c r="ET30" s="45">
        <v>0.62184600000000001</v>
      </c>
      <c r="EU30" s="45">
        <v>0.58343999999999996</v>
      </c>
      <c r="EV30" s="42">
        <v>0.60847300000000004</v>
      </c>
      <c r="EW30" s="42">
        <v>0.212781</v>
      </c>
      <c r="EX30" s="42">
        <v>0.61043499999999995</v>
      </c>
      <c r="EY30" s="45">
        <v>0.76783100000000004</v>
      </c>
      <c r="EZ30" s="45">
        <v>0.55264599999999997</v>
      </c>
      <c r="FA30" s="45">
        <v>1.4658370000000001</v>
      </c>
      <c r="FB30" s="45">
        <f t="shared" si="20"/>
        <v>7.42943</v>
      </c>
      <c r="FC30" s="45">
        <f>7.454444+0.015</f>
        <v>7.4694439999999993</v>
      </c>
      <c r="FD30" s="45">
        <v>0.30847200000000002</v>
      </c>
      <c r="FE30" s="45">
        <v>0.84345099999999995</v>
      </c>
      <c r="FF30" s="45">
        <v>0.79451400000000005</v>
      </c>
      <c r="FG30" s="45">
        <v>0.21757599999999999</v>
      </c>
      <c r="FH30" s="45">
        <v>0.76909899999999998</v>
      </c>
      <c r="FI30" s="45">
        <v>0.18912899999999999</v>
      </c>
      <c r="FJ30" s="45">
        <v>0.44473600000000002</v>
      </c>
      <c r="FK30" s="45">
        <v>0.95237700000000003</v>
      </c>
      <c r="FL30" s="45">
        <v>0.42814400000000002</v>
      </c>
      <c r="FM30" s="45">
        <v>0.66145299999999996</v>
      </c>
      <c r="FN30" s="45">
        <v>1.193973</v>
      </c>
      <c r="FO30" s="45">
        <v>0.83701800000000004</v>
      </c>
      <c r="FP30" s="45">
        <f t="shared" si="21"/>
        <v>7.6399419999999996</v>
      </c>
      <c r="FQ30" s="45">
        <f>7.68375</f>
        <v>7.6837499999999999</v>
      </c>
      <c r="FR30" s="45">
        <v>0.29617900000000003</v>
      </c>
      <c r="FS30" s="45">
        <v>0.44204900000000003</v>
      </c>
      <c r="FT30" s="45">
        <v>0.407939</v>
      </c>
      <c r="FU30" s="45">
        <v>0.25425900000000001</v>
      </c>
      <c r="FV30" s="45">
        <v>0.48680899999999999</v>
      </c>
      <c r="FW30" s="45">
        <v>0.38372000000000001</v>
      </c>
      <c r="FX30" s="45">
        <v>0.52451000000000003</v>
      </c>
      <c r="FY30" s="45">
        <v>0.30212499999999998</v>
      </c>
      <c r="FZ30" s="45">
        <v>0.23278199999999999</v>
      </c>
      <c r="GA30" s="45">
        <v>0.90287799999999996</v>
      </c>
      <c r="GB30" s="45">
        <v>0.57567400000000002</v>
      </c>
      <c r="GC30" s="45">
        <v>0.790547</v>
      </c>
      <c r="GD30" s="45">
        <f t="shared" si="11"/>
        <v>5.5994710000000003</v>
      </c>
      <c r="GE30" s="45">
        <v>5.6014470000000003</v>
      </c>
      <c r="GF30" s="45">
        <v>0.75760799999999995</v>
      </c>
      <c r="GG30" s="45">
        <v>1.7358260000000001</v>
      </c>
      <c r="GH30" s="45">
        <v>0.351738</v>
      </c>
      <c r="GI30" s="45">
        <v>0.36019299999999999</v>
      </c>
      <c r="GJ30" s="45">
        <v>0.48936800000000003</v>
      </c>
      <c r="GK30" s="45">
        <v>0.41040900000000002</v>
      </c>
      <c r="GL30" s="45">
        <v>0.29322100000000001</v>
      </c>
      <c r="GM30" s="45">
        <v>0.97168100000000002</v>
      </c>
      <c r="GN30" s="45">
        <v>0.55118500000000004</v>
      </c>
      <c r="GO30" s="45">
        <v>0.61957200000000001</v>
      </c>
      <c r="GP30" s="45">
        <v>1.1144430000000001</v>
      </c>
      <c r="GQ30" s="45">
        <v>1.029404</v>
      </c>
      <c r="GR30" s="45">
        <f>SUM(GF30:GQ30)</f>
        <v>8.684648000000001</v>
      </c>
      <c r="GS30" s="45">
        <v>8.9900649999999995</v>
      </c>
      <c r="GT30" s="45">
        <v>0.20899000000000001</v>
      </c>
      <c r="GU30" s="45">
        <v>0.67202200000000001</v>
      </c>
      <c r="GV30" s="45">
        <v>0.70667000000000002</v>
      </c>
      <c r="GW30" s="45">
        <v>0.71226900000000004</v>
      </c>
      <c r="GX30" s="45">
        <v>0.64361900000000005</v>
      </c>
      <c r="GY30" s="45">
        <v>1.0776809999999999</v>
      </c>
      <c r="GZ30" s="45">
        <v>0.39660800000000002</v>
      </c>
      <c r="HA30" s="45">
        <v>0.38387500000000002</v>
      </c>
      <c r="HB30" s="45">
        <v>0.445932</v>
      </c>
      <c r="HC30" s="45">
        <v>0.90458000000000005</v>
      </c>
      <c r="HD30" s="45">
        <v>0.72683500000000001</v>
      </c>
      <c r="HE30" s="45">
        <v>1.338274</v>
      </c>
      <c r="HF30" s="45">
        <f t="shared" si="13"/>
        <v>8.2173549999999995</v>
      </c>
      <c r="HG30" s="45">
        <v>0.30835299999999999</v>
      </c>
      <c r="HH30" s="45">
        <v>0.72509599999999996</v>
      </c>
      <c r="HI30" s="45">
        <v>0.713229</v>
      </c>
      <c r="HJ30" s="45">
        <v>1.2222930000000001</v>
      </c>
      <c r="HK30" s="45"/>
      <c r="HL30" s="45"/>
      <c r="HM30" s="45"/>
      <c r="HN30" s="45"/>
      <c r="HO30" s="45"/>
      <c r="HP30" s="45"/>
      <c r="HQ30" s="45"/>
      <c r="HR30" s="45"/>
      <c r="HS30" s="283">
        <f t="shared" si="14"/>
        <v>2.2999510000000001</v>
      </c>
      <c r="HT30" s="283">
        <f t="shared" si="15"/>
        <v>2.9689709999999998</v>
      </c>
      <c r="HU30" s="277">
        <f t="shared" si="16"/>
        <v>0.66901999999999973</v>
      </c>
      <c r="HV30" s="277">
        <f t="shared" si="17"/>
        <v>29.088445797323516</v>
      </c>
    </row>
    <row r="31" spans="1:230" s="12" customFormat="1" ht="20.25" customHeight="1">
      <c r="A31" s="314" t="s">
        <v>241</v>
      </c>
      <c r="B31" s="13">
        <v>7320.7820000000002</v>
      </c>
      <c r="C31" s="47" t="s">
        <v>212</v>
      </c>
      <c r="D31" s="44"/>
      <c r="E31" s="44">
        <v>1.0491317636211519</v>
      </c>
      <c r="F31" s="44"/>
      <c r="G31" s="44">
        <v>8.520867837974741E-2</v>
      </c>
      <c r="H31" s="44"/>
      <c r="I31" s="44"/>
      <c r="J31" s="44">
        <v>0.14890353498272632</v>
      </c>
      <c r="K31" s="44"/>
      <c r="L31" s="44"/>
      <c r="M31" s="44"/>
      <c r="N31" s="44">
        <v>6.9891463338284915E-2</v>
      </c>
      <c r="O31" s="44"/>
      <c r="P31" s="44">
        <v>0.34096988634099978</v>
      </c>
      <c r="Q31" s="44">
        <v>-1.835504635716359E-4</v>
      </c>
      <c r="R31" s="44">
        <v>0</v>
      </c>
      <c r="S31" s="44">
        <v>0.6447900125781868</v>
      </c>
      <c r="T31" s="44">
        <v>3.9318216743217171E-2</v>
      </c>
      <c r="U31" s="44">
        <v>0.15301421164364462</v>
      </c>
      <c r="V31" s="44">
        <v>1.798225394277779E-2</v>
      </c>
      <c r="W31" s="44">
        <v>1.0072509547469849E-2</v>
      </c>
      <c r="X31" s="44">
        <v>1.4546018520099487E-2</v>
      </c>
      <c r="Y31" s="44">
        <v>3.9975583519729546E-2</v>
      </c>
      <c r="Z31" s="44">
        <v>0.18252599586798027</v>
      </c>
      <c r="AA31" s="44">
        <v>2.1917917370988211E-2</v>
      </c>
      <c r="AB31" s="44">
        <v>0.11412570218723855</v>
      </c>
      <c r="AC31" s="44">
        <v>8.3596564618300409E-2</v>
      </c>
      <c r="AD31" s="44">
        <v>3.4362354226783005E-3</v>
      </c>
      <c r="AE31" s="44">
        <v>2.6535136396491771E-2</v>
      </c>
      <c r="AF31" s="44">
        <v>0</v>
      </c>
      <c r="AG31" s="44">
        <v>0.70704634578061609</v>
      </c>
      <c r="AH31" s="44">
        <v>0.13114182617059664</v>
      </c>
      <c r="AI31" s="44">
        <v>1.4228718106328365E-6</v>
      </c>
      <c r="AJ31" s="44">
        <v>2.3808914007319253E-2</v>
      </c>
      <c r="AK31" s="44">
        <v>4.8262388944855177E-2</v>
      </c>
      <c r="AL31" s="44">
        <v>5.5735311694298843E-2</v>
      </c>
      <c r="AM31" s="44">
        <v>0.17082998958457835</v>
      </c>
      <c r="AN31" s="44">
        <v>7.7577816859323523E-2</v>
      </c>
      <c r="AO31" s="44">
        <v>0.19876523184273284</v>
      </c>
      <c r="AP31" s="44">
        <v>1.1987695004581649E-2</v>
      </c>
      <c r="AQ31" s="44">
        <v>-2.0475125355006517E-3</v>
      </c>
      <c r="AR31" s="44">
        <v>1.3205673274483356E-2</v>
      </c>
      <c r="AS31" s="44">
        <v>0.26703746706051756</v>
      </c>
      <c r="AT31" s="44">
        <f>SUM(AH31:AS31)</f>
        <v>0.99630622477959729</v>
      </c>
      <c r="AU31" s="44">
        <v>0.99630622477959729</v>
      </c>
      <c r="AV31" s="44">
        <v>0.107859</v>
      </c>
      <c r="AW31" s="44">
        <v>2.5488E-2</v>
      </c>
      <c r="AX31" s="44">
        <v>0.23302200000000001</v>
      </c>
      <c r="AY31" s="44">
        <v>1.2437999999999999E-2</v>
      </c>
      <c r="AZ31" s="44">
        <v>0.12639600000000001</v>
      </c>
      <c r="BA31" s="44">
        <v>2.9862E-2</v>
      </c>
      <c r="BB31" s="44">
        <v>0.15017900000000001</v>
      </c>
      <c r="BC31" s="44">
        <v>2.1762E-2</v>
      </c>
      <c r="BD31" s="44">
        <v>0.13452500000000001</v>
      </c>
      <c r="BE31" s="44">
        <v>3.3778000000000002E-2</v>
      </c>
      <c r="BF31" s="44">
        <v>4.6664999999999998E-2</v>
      </c>
      <c r="BG31" s="44">
        <v>6.8262000000000003E-2</v>
      </c>
      <c r="BH31" s="50">
        <f t="shared" si="6"/>
        <v>0.99023600000000012</v>
      </c>
      <c r="BI31" s="50">
        <v>0.99023700000000003</v>
      </c>
      <c r="BJ31" s="44">
        <v>0.26187500000000002</v>
      </c>
      <c r="BK31" s="42">
        <v>3.9888E-2</v>
      </c>
      <c r="BL31" s="42">
        <v>0.18324199999999999</v>
      </c>
      <c r="BM31" s="42">
        <v>4.5600000000000002E-2</v>
      </c>
      <c r="BN31" s="42">
        <v>0.18284700000000001</v>
      </c>
      <c r="BO31" s="42">
        <v>6.0961000000000001E-2</v>
      </c>
      <c r="BP31" s="42">
        <v>7.3160000000000003E-2</v>
      </c>
      <c r="BQ31" s="42">
        <v>5.8312000000000003E-2</v>
      </c>
      <c r="BR31" s="42">
        <v>-7.3119999999999999E-3</v>
      </c>
      <c r="BS31" s="42">
        <v>7.2992000000000001E-2</v>
      </c>
      <c r="BT31" s="42">
        <v>0.11771</v>
      </c>
      <c r="BU31" s="42">
        <v>0.20524899999999999</v>
      </c>
      <c r="BV31" s="45">
        <f t="shared" si="7"/>
        <v>1.294524</v>
      </c>
      <c r="BW31" s="45">
        <v>0</v>
      </c>
      <c r="BX31" s="45">
        <v>3.8999999999999998E-3</v>
      </c>
      <c r="BY31" s="45">
        <v>4.1510000000000002E-3</v>
      </c>
      <c r="BZ31" s="45">
        <v>1.7649000000000001E-2</v>
      </c>
      <c r="CA31" s="45">
        <v>8.0000000000000004E-4</v>
      </c>
      <c r="CB31" s="45">
        <v>7.6093999999999995E-2</v>
      </c>
      <c r="CC31" s="45">
        <v>2.2984999999999998E-2</v>
      </c>
      <c r="CD31" s="45">
        <v>7.4640000000000001E-3</v>
      </c>
      <c r="CE31" s="45">
        <v>2.1289999999999998E-3</v>
      </c>
      <c r="CF31" s="45">
        <v>3.7208999999999999E-2</v>
      </c>
      <c r="CG31" s="45">
        <v>1.6022000000000002E-2</v>
      </c>
      <c r="CH31" s="45">
        <v>1.1488E-2</v>
      </c>
      <c r="CI31" s="45">
        <v>0.46700999999999998</v>
      </c>
      <c r="CJ31" s="45">
        <f t="shared" si="8"/>
        <v>0.66690099999999997</v>
      </c>
      <c r="CK31" s="45"/>
      <c r="CL31" s="45">
        <v>2.3632E-2</v>
      </c>
      <c r="CM31" s="45">
        <v>2.6266000000000001E-2</v>
      </c>
      <c r="CN31" s="45">
        <v>2.2856000000000001E-2</v>
      </c>
      <c r="CO31" s="45">
        <v>3.1736E-2</v>
      </c>
      <c r="CP31" s="45">
        <v>0.58792800000000001</v>
      </c>
      <c r="CQ31" s="45">
        <v>4.4745E-2</v>
      </c>
      <c r="CR31" s="45">
        <v>4.2181000000000003E-2</v>
      </c>
      <c r="CS31" s="45">
        <v>1.0150000000000001E-3</v>
      </c>
      <c r="CT31" s="45">
        <v>1.4652999999999999E-2</v>
      </c>
      <c r="CU31" s="45">
        <v>1.7347999999999999E-2</v>
      </c>
      <c r="CV31" s="45">
        <v>9.2919999999999999E-3</v>
      </c>
      <c r="CW31" s="45">
        <v>6.7821000000000006E-2</v>
      </c>
      <c r="CX31" s="45">
        <f t="shared" si="9"/>
        <v>0.88947300000000007</v>
      </c>
      <c r="CY31" s="45">
        <v>0.88947299999999996</v>
      </c>
      <c r="CZ31" s="45">
        <v>1.2716E-2</v>
      </c>
      <c r="DA31" s="45">
        <v>1.9082999999999999E-2</v>
      </c>
      <c r="DB31" s="45">
        <v>0.12979099999999999</v>
      </c>
      <c r="DC31" s="45">
        <v>2.5973E-2</v>
      </c>
      <c r="DD31" s="45">
        <v>8.5833999999999994E-2</v>
      </c>
      <c r="DE31" s="45">
        <v>0.11011799999999999</v>
      </c>
      <c r="DF31" s="45">
        <v>0.113175</v>
      </c>
      <c r="DG31" s="45">
        <v>8.3802000000000001E-2</v>
      </c>
      <c r="DH31" s="45">
        <v>3.8542E-2</v>
      </c>
      <c r="DI31" s="45">
        <v>6.1977999999999998E-2</v>
      </c>
      <c r="DJ31" s="45">
        <v>0.113152</v>
      </c>
      <c r="DK31" s="45">
        <v>0.29346499999999998</v>
      </c>
      <c r="DL31" s="45">
        <f t="shared" si="10"/>
        <v>1.087629</v>
      </c>
      <c r="DM31" s="45">
        <v>1.087631</v>
      </c>
      <c r="DN31" s="45">
        <v>5.0708999999999997E-2</v>
      </c>
      <c r="DO31" s="45">
        <v>9.2154E-2</v>
      </c>
      <c r="DP31" s="45">
        <v>0.176533</v>
      </c>
      <c r="DQ31" s="45">
        <v>0.10926900000000001</v>
      </c>
      <c r="DR31" s="45">
        <v>0.20612900000000001</v>
      </c>
      <c r="DS31" s="45">
        <v>0.28419299999999997</v>
      </c>
      <c r="DT31" s="45">
        <v>0.34288299999999999</v>
      </c>
      <c r="DU31" s="45">
        <v>8.1614999999999993E-2</v>
      </c>
      <c r="DV31" s="45">
        <v>0.39211600000000002</v>
      </c>
      <c r="DW31" s="45">
        <v>0.32577800000000001</v>
      </c>
      <c r="DX31" s="45">
        <v>0.36299599999999999</v>
      </c>
      <c r="DY31" s="45">
        <v>0.31736199999999998</v>
      </c>
      <c r="DZ31" s="45">
        <f t="shared" si="18"/>
        <v>2.7417370000000001</v>
      </c>
      <c r="EA31" s="45">
        <f>2.741738+0.0177</f>
        <v>2.7594379999999998</v>
      </c>
      <c r="EB31" s="45">
        <v>5.7690999999999999E-2</v>
      </c>
      <c r="EC31" s="45">
        <v>0.15495700000000001</v>
      </c>
      <c r="ED31" s="45">
        <v>0.21340999999999999</v>
      </c>
      <c r="EE31" s="45">
        <v>0.17033200000000001</v>
      </c>
      <c r="EF31" s="42">
        <v>0.28742899999999999</v>
      </c>
      <c r="EG31" s="45">
        <v>0.224911</v>
      </c>
      <c r="EH31" s="45">
        <v>0.153866</v>
      </c>
      <c r="EI31" s="42">
        <v>0.24559</v>
      </c>
      <c r="EJ31" s="45">
        <v>0.32369900000000001</v>
      </c>
      <c r="EK31" s="45">
        <v>0.121821</v>
      </c>
      <c r="EL31" s="45">
        <v>0.248253</v>
      </c>
      <c r="EM31" s="45">
        <v>0.51458499999999996</v>
      </c>
      <c r="EN31" s="45">
        <f t="shared" si="19"/>
        <v>2.7165439999999998</v>
      </c>
      <c r="EO31" s="45">
        <v>2.727624</v>
      </c>
      <c r="EP31" s="45">
        <v>0.11626599999999999</v>
      </c>
      <c r="EQ31" s="45">
        <v>0.11287899999999999</v>
      </c>
      <c r="ER31" s="45">
        <v>0.38949099999999998</v>
      </c>
      <c r="ES31" s="45">
        <v>0.25467699999999999</v>
      </c>
      <c r="ET31" s="45">
        <v>0.19751199999999999</v>
      </c>
      <c r="EU31" s="45">
        <v>0.431728</v>
      </c>
      <c r="EV31" s="42">
        <v>0.121642</v>
      </c>
      <c r="EW31" s="42">
        <v>0.26103100000000001</v>
      </c>
      <c r="EX31" s="42">
        <v>0.48228399999999999</v>
      </c>
      <c r="EY31" s="45">
        <v>0.33182499999999998</v>
      </c>
      <c r="EZ31" s="45">
        <v>0.30125800000000003</v>
      </c>
      <c r="FA31" s="45">
        <v>0.96305499999999999</v>
      </c>
      <c r="FB31" s="45">
        <f t="shared" si="20"/>
        <v>3.9636479999999992</v>
      </c>
      <c r="FC31" s="45">
        <f>3.963487+0.0012</f>
        <v>3.9646870000000001</v>
      </c>
      <c r="FD31" s="45">
        <v>0.12815499999999999</v>
      </c>
      <c r="FE31" s="45">
        <v>0.52120900000000003</v>
      </c>
      <c r="FF31" s="45">
        <v>0.867483</v>
      </c>
      <c r="FG31" s="45">
        <v>0.24936800000000001</v>
      </c>
      <c r="FH31" s="45">
        <v>0.68129399999999996</v>
      </c>
      <c r="FI31" s="45">
        <v>1.010634</v>
      </c>
      <c r="FJ31" s="45">
        <v>0.47148099999999998</v>
      </c>
      <c r="FK31" s="45">
        <v>0.88634599999999997</v>
      </c>
      <c r="FL31" s="45">
        <v>1.029412</v>
      </c>
      <c r="FM31" s="45">
        <v>0.71720300000000003</v>
      </c>
      <c r="FN31" s="45">
        <v>1.1960789999999999</v>
      </c>
      <c r="FO31" s="45">
        <v>2.1620659999999998</v>
      </c>
      <c r="FP31" s="45">
        <f t="shared" si="21"/>
        <v>9.9207300000000007</v>
      </c>
      <c r="FQ31" s="45">
        <f>9.920731+0.0064</f>
        <v>9.9271309999999993</v>
      </c>
      <c r="FR31" s="45">
        <v>0.64579299999999995</v>
      </c>
      <c r="FS31" s="45">
        <v>1.033366</v>
      </c>
      <c r="FT31" s="45">
        <v>2.1014330000000001</v>
      </c>
      <c r="FU31" s="45">
        <v>1.6419159999999999</v>
      </c>
      <c r="FV31" s="45">
        <v>1.7945720000000001</v>
      </c>
      <c r="FW31" s="45">
        <v>3.2722899999999999</v>
      </c>
      <c r="FX31" s="45">
        <v>1.311903</v>
      </c>
      <c r="FY31" s="45">
        <v>2.4020380000000001</v>
      </c>
      <c r="FZ31" s="45">
        <v>2.9683069999999998</v>
      </c>
      <c r="GA31" s="45">
        <v>0.96247799999999994</v>
      </c>
      <c r="GB31" s="45">
        <v>3.2715649999999998</v>
      </c>
      <c r="GC31" s="45">
        <v>3.0085329999999999</v>
      </c>
      <c r="GD31" s="45">
        <f t="shared" si="11"/>
        <v>24.414193999999998</v>
      </c>
      <c r="GE31" s="45">
        <f>24.414193+0.002</f>
        <v>24.416193</v>
      </c>
      <c r="GF31" s="45">
        <v>0.205373</v>
      </c>
      <c r="GG31" s="45">
        <v>0.270067</v>
      </c>
      <c r="GH31" s="45">
        <v>0.115145</v>
      </c>
      <c r="GI31" s="45">
        <v>0.157139</v>
      </c>
      <c r="GJ31" s="45">
        <v>0.101298</v>
      </c>
      <c r="GK31" s="45">
        <v>0.29414400000000002</v>
      </c>
      <c r="GL31" s="45">
        <v>0.10947800000000001</v>
      </c>
      <c r="GM31" s="45">
        <v>5.5933999999999998E-2</v>
      </c>
      <c r="GN31" s="45">
        <v>0.20782999999999999</v>
      </c>
      <c r="GO31" s="45">
        <v>9.7421999999999995E-2</v>
      </c>
      <c r="GP31" s="45">
        <v>2.5146999999999999E-2</v>
      </c>
      <c r="GQ31" s="45">
        <v>2.2012E-2</v>
      </c>
      <c r="GR31" s="45">
        <f t="shared" si="12"/>
        <v>1.6609889999999996</v>
      </c>
      <c r="GS31" s="45">
        <v>1.66099</v>
      </c>
      <c r="GT31" s="45">
        <v>9.1200000000000005E-4</v>
      </c>
      <c r="GU31" s="45">
        <v>4.5783999999999998E-2</v>
      </c>
      <c r="GV31" s="45">
        <v>3.5996E-2</v>
      </c>
      <c r="GW31" s="45">
        <v>1.7009E-2</v>
      </c>
      <c r="GX31" s="45">
        <v>8.3915000000000003E-2</v>
      </c>
      <c r="GY31" s="45">
        <v>8.5623000000000005E-2</v>
      </c>
      <c r="GZ31" s="45">
        <v>0.118612</v>
      </c>
      <c r="HA31" s="45">
        <v>8.0875000000000002E-2</v>
      </c>
      <c r="HB31" s="45">
        <v>0.31679600000000002</v>
      </c>
      <c r="HC31" s="45">
        <v>0.11601</v>
      </c>
      <c r="HD31" s="45">
        <v>6.2206999999999998E-2</v>
      </c>
      <c r="HE31" s="45">
        <v>6.9745000000000001E-2</v>
      </c>
      <c r="HF31" s="45">
        <f t="shared" si="13"/>
        <v>1.0334840000000001</v>
      </c>
      <c r="HG31" s="45">
        <v>5.7875999999999997E-2</v>
      </c>
      <c r="HH31" s="45">
        <v>8.8938000000000003E-2</v>
      </c>
      <c r="HI31" s="45">
        <v>7.4833999999999998E-2</v>
      </c>
      <c r="HJ31" s="45">
        <v>5.2996000000000001E-2</v>
      </c>
      <c r="HK31" s="45"/>
      <c r="HL31" s="45"/>
      <c r="HM31" s="45"/>
      <c r="HN31" s="45"/>
      <c r="HO31" s="45"/>
      <c r="HP31" s="45"/>
      <c r="HQ31" s="45"/>
      <c r="HR31" s="45"/>
      <c r="HS31" s="283">
        <f t="shared" si="14"/>
        <v>9.9700999999999998E-2</v>
      </c>
      <c r="HT31" s="283">
        <f t="shared" si="15"/>
        <v>0.274644</v>
      </c>
      <c r="HU31" s="277">
        <f t="shared" si="16"/>
        <v>0.17494300000000002</v>
      </c>
      <c r="HV31" s="277">
        <f t="shared" si="17"/>
        <v>175.46764826832231</v>
      </c>
    </row>
    <row r="32" spans="1:230" s="12" customFormat="1" ht="20.25" hidden="1" customHeight="1">
      <c r="A32" s="314" t="s">
        <v>242</v>
      </c>
      <c r="B32" s="13" t="s">
        <v>252</v>
      </c>
      <c r="C32" s="47" t="s">
        <v>215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>
        <v>2.0463742380521378E-2</v>
      </c>
      <c r="R32" s="44">
        <v>0</v>
      </c>
      <c r="S32" s="44"/>
      <c r="T32" s="44">
        <v>0.46610007911167267</v>
      </c>
      <c r="U32" s="44">
        <v>2.4771102611823497</v>
      </c>
      <c r="V32" s="44">
        <v>-0.80273447504567408</v>
      </c>
      <c r="W32" s="44">
        <v>0.46276059897211747</v>
      </c>
      <c r="X32" s="44">
        <v>0.45623530884855523</v>
      </c>
      <c r="Y32" s="44">
        <v>1.5621282747394722</v>
      </c>
      <c r="Z32" s="44">
        <v>0.51738322491050126</v>
      </c>
      <c r="AA32" s="44">
        <v>0.46635050455034405</v>
      </c>
      <c r="AB32" s="44">
        <v>0.62228302627759668</v>
      </c>
      <c r="AC32" s="44">
        <v>1.6560406599848612</v>
      </c>
      <c r="AD32" s="44">
        <v>0.7727076112258896</v>
      </c>
      <c r="AE32" s="44">
        <v>1.647564612608921</v>
      </c>
      <c r="AF32" s="44">
        <v>0</v>
      </c>
      <c r="AG32" s="44">
        <v>3.713318364721887</v>
      </c>
      <c r="AH32" s="44">
        <v>0.70282041650303639</v>
      </c>
      <c r="AI32" s="44">
        <v>0.49129344739073771</v>
      </c>
      <c r="AJ32" s="44">
        <v>0.4669922197369395</v>
      </c>
      <c r="AK32" s="44">
        <v>0.72874656376457736</v>
      </c>
      <c r="AL32" s="44">
        <v>0.66541880808874176</v>
      </c>
      <c r="AM32" s="44">
        <v>0.54954155070261412</v>
      </c>
      <c r="AN32" s="44">
        <v>0.81715528084643807</v>
      </c>
      <c r="AO32" s="44">
        <v>0.53999834946869962</v>
      </c>
      <c r="AP32" s="44">
        <v>0.45637332741418662</v>
      </c>
      <c r="AQ32" s="44">
        <v>0.51796375660923955</v>
      </c>
      <c r="AR32" s="44">
        <v>0.93429320265678628</v>
      </c>
      <c r="AS32" s="44">
        <v>0.87865749198923171</v>
      </c>
      <c r="AT32" s="44">
        <f>SUM(AH32:AS32)</f>
        <v>7.7492544151712295</v>
      </c>
      <c r="AU32" s="44">
        <v>2.4632998673883542</v>
      </c>
      <c r="AV32" s="44">
        <v>0.82308099999999995</v>
      </c>
      <c r="AW32" s="44">
        <v>0.84936400000000001</v>
      </c>
      <c r="AX32" s="44">
        <v>0.55755999999999994</v>
      </c>
      <c r="AY32" s="44">
        <v>0.55035199999999995</v>
      </c>
      <c r="AZ32" s="44">
        <v>0.73457099999999997</v>
      </c>
      <c r="BA32" s="44">
        <v>0.57515099999999997</v>
      </c>
      <c r="BB32" s="44">
        <v>0.889486</v>
      </c>
      <c r="BC32" s="44">
        <v>0.64570300000000003</v>
      </c>
      <c r="BD32" s="44">
        <v>1.0125740000000001</v>
      </c>
      <c r="BE32" s="44">
        <v>0.82141299999999995</v>
      </c>
      <c r="BF32" s="44">
        <v>0.53951000000000005</v>
      </c>
      <c r="BG32" s="44">
        <v>0.95320700000000003</v>
      </c>
      <c r="BH32" s="50">
        <f t="shared" si="6"/>
        <v>8.9519719999999996</v>
      </c>
      <c r="BI32" s="50">
        <v>2.6399330000000001</v>
      </c>
      <c r="BJ32" s="44">
        <v>0.74296499999999999</v>
      </c>
      <c r="BK32" s="42">
        <v>0.94195300000000004</v>
      </c>
      <c r="BL32" s="42">
        <v>0.66760699999999995</v>
      </c>
      <c r="BM32" s="42">
        <v>0.71727200000000002</v>
      </c>
      <c r="BN32" s="42">
        <v>0.84486099999999997</v>
      </c>
      <c r="BO32" s="42">
        <v>1.2676510000000001</v>
      </c>
      <c r="BP32" s="42">
        <v>1.0050889999999999</v>
      </c>
      <c r="BQ32" s="42">
        <v>0.77698400000000001</v>
      </c>
      <c r="BR32" s="42">
        <v>1.1519790000000001</v>
      </c>
      <c r="BS32" s="42">
        <v>0.86414299999999999</v>
      </c>
      <c r="BT32" s="42">
        <v>1.0669390000000001</v>
      </c>
      <c r="BU32" s="42">
        <v>1.8731180000000001</v>
      </c>
      <c r="BV32" s="45">
        <f t="shared" si="7"/>
        <v>11.920560999999999</v>
      </c>
      <c r="BW32" s="45">
        <v>8.5863510000000005</v>
      </c>
      <c r="BX32" s="45">
        <v>0.58117700000000005</v>
      </c>
      <c r="BY32" s="45">
        <v>0.435697</v>
      </c>
      <c r="BZ32" s="45">
        <v>0.498199</v>
      </c>
      <c r="CA32" s="45">
        <v>0.48663699999999999</v>
      </c>
      <c r="CB32" s="45">
        <v>0.90852299999999997</v>
      </c>
      <c r="CC32" s="45">
        <v>0.38963399999999998</v>
      </c>
      <c r="CD32" s="45">
        <v>0.39278800000000003</v>
      </c>
      <c r="CE32" s="45">
        <v>0.30862499999999998</v>
      </c>
      <c r="CF32" s="45">
        <v>0.38852500000000001</v>
      </c>
      <c r="CG32" s="45">
        <v>0.36472900000000003</v>
      </c>
      <c r="CH32" s="45">
        <v>0.32935399999999998</v>
      </c>
      <c r="CI32" s="45">
        <v>0.48561300000000002</v>
      </c>
      <c r="CJ32" s="45">
        <f t="shared" si="8"/>
        <v>5.5695009999999989</v>
      </c>
      <c r="CK32" s="45">
        <v>5.4987700000000004</v>
      </c>
      <c r="CL32" s="45">
        <v>2.1731E-2</v>
      </c>
      <c r="CM32" s="45">
        <v>0.70259499999999997</v>
      </c>
      <c r="CN32" s="45">
        <v>0.403582</v>
      </c>
      <c r="CO32" s="45">
        <v>0.48776999999999998</v>
      </c>
      <c r="CP32" s="45">
        <v>0.41717599999999999</v>
      </c>
      <c r="CQ32" s="45">
        <v>0.43290400000000001</v>
      </c>
      <c r="CR32" s="45">
        <v>0.44311</v>
      </c>
      <c r="CS32" s="45">
        <v>0.43898799999999999</v>
      </c>
      <c r="CT32" s="45">
        <v>0.53341499999999997</v>
      </c>
      <c r="CU32" s="45">
        <v>0.49407800000000002</v>
      </c>
      <c r="CV32" s="45">
        <v>0.53049299999999999</v>
      </c>
      <c r="CW32" s="45">
        <v>0.49581700000000001</v>
      </c>
      <c r="CX32" s="45">
        <f t="shared" si="9"/>
        <v>5.4016590000000004</v>
      </c>
      <c r="CY32" s="45">
        <f>3.973311-0.889473</f>
        <v>3.0838380000000001</v>
      </c>
      <c r="CZ32" s="45">
        <v>0.118259</v>
      </c>
      <c r="DA32" s="45">
        <v>0.95348299999999997</v>
      </c>
      <c r="DB32" s="45">
        <v>0.34186299999999997</v>
      </c>
      <c r="DC32" s="45">
        <v>0.832121</v>
      </c>
      <c r="DD32" s="45">
        <v>0.62242500000000001</v>
      </c>
      <c r="DE32" s="45">
        <v>0.49629099999999998</v>
      </c>
      <c r="DF32" s="45">
        <v>0.82267999999999997</v>
      </c>
      <c r="DG32" s="45">
        <v>0.56292200000000003</v>
      </c>
      <c r="DH32" s="45">
        <v>0.60365800000000003</v>
      </c>
      <c r="DI32" s="45">
        <v>0.76230399999999998</v>
      </c>
      <c r="DJ32" s="45">
        <v>0.54654599999999998</v>
      </c>
      <c r="DK32" s="45">
        <v>0.973441</v>
      </c>
      <c r="DL32" s="45">
        <f t="shared" si="10"/>
        <v>7.6359930000000009</v>
      </c>
      <c r="DM32" s="45">
        <v>1.72489</v>
      </c>
      <c r="DN32" s="45">
        <v>0.25981700000000002</v>
      </c>
      <c r="DO32" s="45">
        <v>0.46815800000000002</v>
      </c>
      <c r="DP32" s="45">
        <v>1.114104</v>
      </c>
      <c r="DQ32" s="45">
        <v>1.6304110000000001</v>
      </c>
      <c r="DR32" s="45">
        <v>0.66994900000000002</v>
      </c>
      <c r="DS32" s="45">
        <v>5.3372000000000003E-2</v>
      </c>
      <c r="DT32" s="45">
        <v>2.2128830000000002</v>
      </c>
      <c r="DU32" s="45">
        <v>0.101301</v>
      </c>
      <c r="DV32" s="45">
        <v>0.17394299999999999</v>
      </c>
      <c r="DW32" s="45">
        <v>2.3906499999999999</v>
      </c>
      <c r="DX32" s="45">
        <v>0.32440200000000002</v>
      </c>
      <c r="DY32" s="45">
        <v>0.43932500000000002</v>
      </c>
      <c r="DZ32" s="45">
        <f t="shared" si="18"/>
        <v>9.8383150000000015</v>
      </c>
      <c r="EA32" s="45">
        <f>0.311704+0.03</f>
        <v>0.34170400000000001</v>
      </c>
      <c r="EB32" s="45">
        <v>1.4212149999999999</v>
      </c>
      <c r="EC32" s="45">
        <v>2.5095360000000002</v>
      </c>
      <c r="ED32" s="45">
        <v>0.24403</v>
      </c>
      <c r="EE32" s="45">
        <v>2.336417</v>
      </c>
      <c r="EF32" s="42">
        <v>0.150112</v>
      </c>
      <c r="EG32" s="45">
        <v>0.123111</v>
      </c>
      <c r="EH32" s="45">
        <v>2.3325770000000001</v>
      </c>
      <c r="EI32" s="42">
        <v>1.210296</v>
      </c>
      <c r="EJ32" s="45">
        <v>2.0815410000000001</v>
      </c>
      <c r="EK32" s="45">
        <v>2.6250719999999998</v>
      </c>
      <c r="EL32" s="45">
        <v>0.82210899999999998</v>
      </c>
      <c r="EM32" s="45">
        <v>0.60090900000000003</v>
      </c>
      <c r="EN32" s="45">
        <f t="shared" si="19"/>
        <v>16.456924999999998</v>
      </c>
      <c r="EO32" s="45">
        <v>0.38125199999999998</v>
      </c>
      <c r="EP32" s="45">
        <v>0.47734900000000002</v>
      </c>
      <c r="EQ32" s="45">
        <v>0.98635300000000004</v>
      </c>
      <c r="ER32" s="45">
        <v>0.12581200000000001</v>
      </c>
      <c r="ES32" s="45">
        <v>0.30240400000000001</v>
      </c>
      <c r="ET32" s="45">
        <v>0.17227700000000001</v>
      </c>
      <c r="EU32" s="45">
        <v>0.206486</v>
      </c>
      <c r="EV32" s="42">
        <v>0.57989500000000005</v>
      </c>
      <c r="EW32" s="42">
        <v>0.172677</v>
      </c>
      <c r="EX32" s="42">
        <v>0.33834599999999998</v>
      </c>
      <c r="EY32" s="45">
        <v>0.53311600000000003</v>
      </c>
      <c r="EZ32" s="45">
        <v>0.19474</v>
      </c>
      <c r="FA32" s="45">
        <v>0.17891599999999999</v>
      </c>
      <c r="FB32" s="45">
        <f t="shared" si="20"/>
        <v>4.2683710000000001</v>
      </c>
      <c r="FC32" s="45">
        <f>0.411</f>
        <v>0.41099999999999998</v>
      </c>
      <c r="FD32" s="45">
        <v>0.43863600000000003</v>
      </c>
      <c r="FE32" s="45">
        <v>0.72294400000000003</v>
      </c>
      <c r="FF32" s="45">
        <v>0.31828899999999999</v>
      </c>
      <c r="FG32" s="45">
        <v>0.573577</v>
      </c>
      <c r="FH32" s="45">
        <v>0.234156</v>
      </c>
      <c r="FI32" s="45">
        <v>0.15113599999999999</v>
      </c>
      <c r="FJ32" s="45">
        <v>0.57020999999999999</v>
      </c>
      <c r="FK32" s="45">
        <v>0.27062700000000001</v>
      </c>
      <c r="FL32" s="45">
        <v>0.25856000000000001</v>
      </c>
      <c r="FM32" s="45">
        <v>1.032456</v>
      </c>
      <c r="FN32" s="45">
        <v>0.342364</v>
      </c>
      <c r="FO32" s="45">
        <v>3.586446</v>
      </c>
      <c r="FP32" s="45">
        <f t="shared" si="21"/>
        <v>8.4994010000000006</v>
      </c>
      <c r="FQ32" s="45">
        <f>0.496242</f>
        <v>0.49624200000000002</v>
      </c>
      <c r="FR32" s="45">
        <v>0.47378599999999998</v>
      </c>
      <c r="FS32" s="45">
        <v>0.47426099999999999</v>
      </c>
      <c r="FT32" s="45">
        <v>0.87806499999999998</v>
      </c>
      <c r="FU32" s="45">
        <v>1.856061</v>
      </c>
      <c r="FV32" s="45">
        <v>0.31384200000000001</v>
      </c>
      <c r="FW32" s="45">
        <v>0.47286</v>
      </c>
      <c r="FX32" s="45">
        <v>1.973722</v>
      </c>
      <c r="FY32" s="45">
        <v>0.67805000000000004</v>
      </c>
      <c r="FZ32" s="45">
        <v>0.42838399999999999</v>
      </c>
      <c r="GA32" s="45">
        <v>1.0499240000000001</v>
      </c>
      <c r="GB32" s="45">
        <v>0.89956700000000001</v>
      </c>
      <c r="GC32" s="45">
        <v>0.30193700000000001</v>
      </c>
      <c r="GD32" s="45">
        <f t="shared" si="11"/>
        <v>9.800459</v>
      </c>
      <c r="GE32" s="45">
        <v>2.6381999999999999E-2</v>
      </c>
      <c r="GF32" s="45">
        <v>0.85645099999999996</v>
      </c>
      <c r="GG32" s="45">
        <v>4.814686</v>
      </c>
      <c r="GH32" s="45">
        <v>0.46911199999999997</v>
      </c>
      <c r="GI32" s="45">
        <v>1.052624</v>
      </c>
      <c r="GJ32" s="45">
        <v>0.721638</v>
      </c>
      <c r="GK32" s="45">
        <v>1.0910150000000001</v>
      </c>
      <c r="GL32" s="45">
        <v>2.568692</v>
      </c>
      <c r="GM32" s="45">
        <v>0.52510699999999999</v>
      </c>
      <c r="GN32" s="45">
        <v>0.73303600000000002</v>
      </c>
      <c r="GO32" s="45">
        <v>0.93007799999999996</v>
      </c>
      <c r="GP32" s="45">
        <v>0.54297300000000004</v>
      </c>
      <c r="GQ32" s="45">
        <v>0.91874999999999996</v>
      </c>
      <c r="GR32" s="45">
        <f t="shared" si="12"/>
        <v>15.224162</v>
      </c>
      <c r="GS32" s="45">
        <v>8.6779999999999999E-3</v>
      </c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>
        <f t="shared" si="13"/>
        <v>0</v>
      </c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283">
        <f t="shared" si="14"/>
        <v>0</v>
      </c>
      <c r="HT32" s="283">
        <f t="shared" si="15"/>
        <v>0</v>
      </c>
      <c r="HU32" s="277">
        <f t="shared" si="16"/>
        <v>0</v>
      </c>
      <c r="HV32" s="277"/>
    </row>
    <row r="33" spans="1:230" s="12" customFormat="1" ht="20.25" customHeight="1">
      <c r="A33" s="314" t="s">
        <v>150</v>
      </c>
      <c r="B33" s="13">
        <v>6000</v>
      </c>
      <c r="C33" s="46" t="s">
        <v>151</v>
      </c>
      <c r="D33" s="42">
        <v>15.773622517800128</v>
      </c>
      <c r="E33" s="42">
        <v>23.52021189407003</v>
      </c>
      <c r="F33" s="42">
        <v>1.9186359212525825</v>
      </c>
      <c r="G33" s="42">
        <v>1.5959556291654573</v>
      </c>
      <c r="H33" s="42">
        <v>2.3766740086852094</v>
      </c>
      <c r="I33" s="42">
        <v>1.9527535415279367</v>
      </c>
      <c r="J33" s="42">
        <v>1.8532649216566781</v>
      </c>
      <c r="K33" s="42">
        <v>1.6265630246839804</v>
      </c>
      <c r="L33" s="42">
        <v>1.5934627577532288</v>
      </c>
      <c r="M33" s="42">
        <v>1.1982345006573667</v>
      </c>
      <c r="N33" s="42">
        <v>1.8370598346053808</v>
      </c>
      <c r="O33" s="42">
        <v>1.7661851668459485</v>
      </c>
      <c r="P33" s="42">
        <v>1.9489473594344939</v>
      </c>
      <c r="Q33" s="42">
        <v>2.2644891036476742</v>
      </c>
      <c r="R33" s="42">
        <v>21.932225769915934</v>
      </c>
      <c r="S33" s="42">
        <v>21.931164307545195</v>
      </c>
      <c r="T33" s="42">
        <v>2.4395948230232043</v>
      </c>
      <c r="U33" s="42">
        <v>1.8131072105451878</v>
      </c>
      <c r="V33" s="42">
        <v>2.1792178189082589</v>
      </c>
      <c r="W33" s="42">
        <v>1.8934311699990325</v>
      </c>
      <c r="X33" s="42">
        <v>2.01178137859204</v>
      </c>
      <c r="Y33" s="42">
        <v>1.7490296014251485</v>
      </c>
      <c r="Z33" s="42">
        <v>1.4642147739625841</v>
      </c>
      <c r="AA33" s="42">
        <v>1.4861369599490042</v>
      </c>
      <c r="AB33" s="42">
        <v>2.0162178928975929</v>
      </c>
      <c r="AC33" s="42">
        <v>1.6073300664196561</v>
      </c>
      <c r="AD33" s="42">
        <v>1.9100631185935197</v>
      </c>
      <c r="AE33" s="42">
        <v>1.9233285524840498</v>
      </c>
      <c r="AF33" s="42">
        <v>22.49345336679928</v>
      </c>
      <c r="AG33" s="42">
        <v>22.490452530150652</v>
      </c>
      <c r="AH33" s="42">
        <v>1.8559356520452361</v>
      </c>
      <c r="AI33" s="42">
        <v>1.7206902635727743</v>
      </c>
      <c r="AJ33" s="42">
        <v>1.7737833023147278</v>
      </c>
      <c r="AK33" s="42">
        <v>1.6503150238188742</v>
      </c>
      <c r="AL33" s="42">
        <v>1.5185940888213501</v>
      </c>
      <c r="AM33" s="42">
        <v>1.4388762727588345</v>
      </c>
      <c r="AN33" s="42">
        <v>1.5553269474846472</v>
      </c>
      <c r="AO33" s="42">
        <v>1.1835661151615529</v>
      </c>
      <c r="AP33" s="42">
        <v>1.5875236908156471</v>
      </c>
      <c r="AQ33" s="42">
        <v>1.3526858128297505</v>
      </c>
      <c r="AR33" s="42">
        <v>1.1202497424602023</v>
      </c>
      <c r="AS33" s="42">
        <v>1.7852274602876477</v>
      </c>
      <c r="AT33" s="42">
        <v>18.542774372371245</v>
      </c>
      <c r="AU33" s="42">
        <v>18.540428056755246</v>
      </c>
      <c r="AV33" s="42">
        <f>AV34</f>
        <v>1.6863939999999999</v>
      </c>
      <c r="AW33" s="42">
        <f>AW34</f>
        <v>1.268583</v>
      </c>
      <c r="AX33" s="42">
        <f t="shared" ref="AX33:BE33" si="30">AX34</f>
        <v>1.172906</v>
      </c>
      <c r="AY33" s="42">
        <f t="shared" si="30"/>
        <v>1.1792260000000001</v>
      </c>
      <c r="AZ33" s="42">
        <f t="shared" si="30"/>
        <v>1.0263720000000001</v>
      </c>
      <c r="BA33" s="42">
        <f t="shared" si="30"/>
        <v>1.108838</v>
      </c>
      <c r="BB33" s="42">
        <f t="shared" si="30"/>
        <v>0.44503700000000002</v>
      </c>
      <c r="BC33" s="42">
        <f t="shared" si="30"/>
        <v>0.44298900000000002</v>
      </c>
      <c r="BD33" s="42">
        <f t="shared" si="30"/>
        <v>1.6200159999999999</v>
      </c>
      <c r="BE33" s="42">
        <f t="shared" si="30"/>
        <v>1.2413920000000001</v>
      </c>
      <c r="BF33" s="42">
        <f>BF34</f>
        <v>0.98436199999999996</v>
      </c>
      <c r="BG33" s="42">
        <f>BG34</f>
        <v>1.502858</v>
      </c>
      <c r="BH33" s="45">
        <f t="shared" si="6"/>
        <v>13.678972999999999</v>
      </c>
      <c r="BI33" s="45">
        <f>BI34</f>
        <v>13.679615</v>
      </c>
      <c r="BJ33" s="42">
        <f>BJ34</f>
        <v>1.5368219999999999</v>
      </c>
      <c r="BK33" s="42">
        <v>1.426709</v>
      </c>
      <c r="BL33" s="42">
        <v>1.2887139999999999</v>
      </c>
      <c r="BM33" s="42">
        <v>1.0581929999999999</v>
      </c>
      <c r="BN33" s="42">
        <v>1.012097</v>
      </c>
      <c r="BO33" s="42">
        <v>1.0490349999999999</v>
      </c>
      <c r="BP33" s="42">
        <v>0.83509100000000003</v>
      </c>
      <c r="BQ33" s="42">
        <v>1.0593239999999999</v>
      </c>
      <c r="BR33" s="42">
        <v>1.2366600000000001</v>
      </c>
      <c r="BS33" s="42">
        <v>1.0375460000000001</v>
      </c>
      <c r="BT33" s="42">
        <v>0.85874899999999998</v>
      </c>
      <c r="BU33" s="42">
        <v>1.3169120000000001</v>
      </c>
      <c r="BV33" s="45">
        <f t="shared" si="7"/>
        <v>13.715852</v>
      </c>
      <c r="BW33" s="45">
        <f>BW34</f>
        <v>13.715983999999999</v>
      </c>
      <c r="BX33" s="45">
        <v>1.2707079999999999</v>
      </c>
      <c r="BY33" s="45">
        <v>0.96897699999999998</v>
      </c>
      <c r="BZ33" s="45">
        <v>1.0893200000000001</v>
      </c>
      <c r="CA33" s="45">
        <v>0.90667900000000001</v>
      </c>
      <c r="CB33" s="45">
        <v>0.88281399999999999</v>
      </c>
      <c r="CC33" s="45">
        <v>0.84645599999999999</v>
      </c>
      <c r="CD33" s="45">
        <v>0.71551200000000004</v>
      </c>
      <c r="CE33" s="45">
        <v>0.95198199999999999</v>
      </c>
      <c r="CF33" s="45">
        <v>1.065183</v>
      </c>
      <c r="CG33" s="45">
        <v>0.93149800000000005</v>
      </c>
      <c r="CH33" s="45">
        <v>0.89853700000000003</v>
      </c>
      <c r="CI33" s="45">
        <v>1.1685319999999999</v>
      </c>
      <c r="CJ33" s="45">
        <f t="shared" si="8"/>
        <v>11.696197999999999</v>
      </c>
      <c r="CK33" s="45">
        <f>CK34</f>
        <v>11.702012</v>
      </c>
      <c r="CL33" s="45">
        <v>1.219895</v>
      </c>
      <c r="CM33" s="45">
        <v>0.88963300000000001</v>
      </c>
      <c r="CN33" s="45">
        <v>1.0778110000000001</v>
      </c>
      <c r="CO33" s="45">
        <v>0.98524199999999995</v>
      </c>
      <c r="CP33" s="45">
        <v>0.82788399999999995</v>
      </c>
      <c r="CQ33" s="45">
        <v>0.82377199999999995</v>
      </c>
      <c r="CR33" s="45">
        <v>0.57237300000000002</v>
      </c>
      <c r="CS33" s="45">
        <v>1.0596080000000001</v>
      </c>
      <c r="CT33" s="45">
        <v>1.1728970000000001</v>
      </c>
      <c r="CU33" s="45">
        <v>0.932925</v>
      </c>
      <c r="CV33" s="45">
        <v>0.85053500000000004</v>
      </c>
      <c r="CW33" s="45">
        <v>1.0703910000000001</v>
      </c>
      <c r="CX33" s="45">
        <f t="shared" si="9"/>
        <v>11.482966000000001</v>
      </c>
      <c r="CY33" s="45">
        <f>CY34</f>
        <v>11.484833</v>
      </c>
      <c r="CZ33" s="45">
        <v>1.2359329999999999</v>
      </c>
      <c r="DA33" s="45">
        <v>1.0756680000000001</v>
      </c>
      <c r="DB33" s="45">
        <v>1.1313519999999999</v>
      </c>
      <c r="DC33" s="45">
        <v>0.94400600000000001</v>
      </c>
      <c r="DD33" s="45">
        <v>0.96772199999999997</v>
      </c>
      <c r="DE33" s="45">
        <v>0.97222299999999995</v>
      </c>
      <c r="DF33" s="45">
        <v>0.55260200000000004</v>
      </c>
      <c r="DG33" s="45">
        <v>1.1336299999999999</v>
      </c>
      <c r="DH33" s="45">
        <v>1.0530029999999999</v>
      </c>
      <c r="DI33" s="45">
        <v>1.0738099999999999</v>
      </c>
      <c r="DJ33" s="45">
        <v>0.92183400000000004</v>
      </c>
      <c r="DK33" s="45">
        <v>1.075798</v>
      </c>
      <c r="DL33" s="45">
        <f t="shared" si="10"/>
        <v>12.137581000000001</v>
      </c>
      <c r="DM33" s="45">
        <f>DM34</f>
        <v>12.133488</v>
      </c>
      <c r="DN33" s="45">
        <v>1.5680339999999999</v>
      </c>
      <c r="DO33" s="45">
        <v>1.080918</v>
      </c>
      <c r="DP33" s="45">
        <v>1.203068</v>
      </c>
      <c r="DQ33" s="45">
        <v>1.126244</v>
      </c>
      <c r="DR33" s="45">
        <v>0.98259799999999997</v>
      </c>
      <c r="DS33" s="45">
        <v>0.98875900000000005</v>
      </c>
      <c r="DT33" s="45">
        <v>0.51302999999999999</v>
      </c>
      <c r="DU33" s="45">
        <v>1.201937</v>
      </c>
      <c r="DV33" s="45">
        <v>1.3554330000000001</v>
      </c>
      <c r="DW33" s="45">
        <v>1.1976560000000001</v>
      </c>
      <c r="DX33" s="45">
        <v>0.88102599999999998</v>
      </c>
      <c r="DY33" s="45">
        <v>1.379928</v>
      </c>
      <c r="DZ33" s="45">
        <f t="shared" si="18"/>
        <v>13.478631</v>
      </c>
      <c r="EA33" s="45">
        <f>EA34</f>
        <v>13.525580000000001</v>
      </c>
      <c r="EB33" s="45">
        <v>1.5517080000000001</v>
      </c>
      <c r="EC33" s="45">
        <v>1.0922940000000001</v>
      </c>
      <c r="ED33" s="45">
        <v>1.1476740000000001</v>
      </c>
      <c r="EE33" s="45">
        <v>0.5980260000000005</v>
      </c>
      <c r="EF33" s="42">
        <v>0.64217299999999999</v>
      </c>
      <c r="EG33" s="45">
        <v>0.73980400000000002</v>
      </c>
      <c r="EH33" s="45">
        <v>0.46227000000000001</v>
      </c>
      <c r="EI33" s="42">
        <v>0.41311900000000001</v>
      </c>
      <c r="EJ33" s="45">
        <v>1.209346</v>
      </c>
      <c r="EK33" s="45">
        <v>1.621891</v>
      </c>
      <c r="EL33" s="45">
        <v>1.2892859999999999</v>
      </c>
      <c r="EM33" s="45">
        <v>1.4818849999999999</v>
      </c>
      <c r="EN33" s="45">
        <f t="shared" si="19"/>
        <v>12.249476000000003</v>
      </c>
      <c r="EO33" s="45">
        <v>12.246668</v>
      </c>
      <c r="EP33" s="45">
        <v>1.3187679999999999</v>
      </c>
      <c r="EQ33" s="45">
        <v>0.90406399999999998</v>
      </c>
      <c r="ER33" s="45">
        <v>1.831996</v>
      </c>
      <c r="ES33" s="45">
        <v>1.26366</v>
      </c>
      <c r="ET33" s="45">
        <v>1.276824</v>
      </c>
      <c r="EU33" s="45">
        <v>1.4180699999999999</v>
      </c>
      <c r="EV33" s="42">
        <v>0.51815800000000001</v>
      </c>
      <c r="EW33" s="42">
        <v>0.78652699999999998</v>
      </c>
      <c r="EX33" s="42">
        <v>1.4807779999999999</v>
      </c>
      <c r="EY33" s="45">
        <v>2.22668</v>
      </c>
      <c r="EZ33" s="45">
        <v>1.8106249999999999</v>
      </c>
      <c r="FA33" s="45">
        <v>1.9897290000000001</v>
      </c>
      <c r="FB33" s="45">
        <f t="shared" si="20"/>
        <v>16.825879</v>
      </c>
      <c r="FC33" s="45">
        <f>FC34</f>
        <v>16.867649999999998</v>
      </c>
      <c r="FD33" s="45">
        <v>1.906992</v>
      </c>
      <c r="FE33" s="45">
        <v>1.2981940000000001</v>
      </c>
      <c r="FF33" s="45">
        <v>2.331747</v>
      </c>
      <c r="FG33" s="45">
        <v>1.62294</v>
      </c>
      <c r="FH33" s="45">
        <v>1.796875</v>
      </c>
      <c r="FI33" s="45">
        <v>1.6053249999999999</v>
      </c>
      <c r="FJ33" s="45">
        <v>0.75637699999999997</v>
      </c>
      <c r="FK33" s="45">
        <v>0.92086900000000005</v>
      </c>
      <c r="FL33" s="45">
        <v>1.7638020000000001</v>
      </c>
      <c r="FM33" s="45">
        <v>2.2428460000000001</v>
      </c>
      <c r="FN33" s="45">
        <v>2.0351659999999998</v>
      </c>
      <c r="FO33" s="45">
        <v>2.2058680000000002</v>
      </c>
      <c r="FP33" s="45">
        <f t="shared" si="21"/>
        <v>20.487000999999999</v>
      </c>
      <c r="FQ33" s="45">
        <f>FQ34</f>
        <v>20.487521000000001</v>
      </c>
      <c r="FR33" s="45">
        <v>1.9325049999999999</v>
      </c>
      <c r="FS33" s="45">
        <v>1.714564</v>
      </c>
      <c r="FT33" s="45">
        <v>2.7800910000000001</v>
      </c>
      <c r="FU33" s="45">
        <v>1.950159</v>
      </c>
      <c r="FV33" s="45">
        <v>1.9565380000000001</v>
      </c>
      <c r="FW33" s="45">
        <v>1.8810009999999999</v>
      </c>
      <c r="FX33" s="45">
        <v>0.75742699999999996</v>
      </c>
      <c r="FY33" s="45">
        <v>1.112563</v>
      </c>
      <c r="FZ33" s="45">
        <v>1.7189730000000001</v>
      </c>
      <c r="GA33" s="45">
        <v>3.1084239999999999</v>
      </c>
      <c r="GB33" s="45">
        <v>2.277072</v>
      </c>
      <c r="GC33" s="45">
        <v>2.3740929999999998</v>
      </c>
      <c r="GD33" s="45">
        <f t="shared" si="11"/>
        <v>23.563409999999998</v>
      </c>
      <c r="GE33" s="45">
        <f>GE34</f>
        <v>23.605113000000003</v>
      </c>
      <c r="GF33" s="45">
        <v>2.4047879999999999</v>
      </c>
      <c r="GG33" s="45">
        <v>1.9054990000000001</v>
      </c>
      <c r="GH33" s="45">
        <v>3.3355860000000002</v>
      </c>
      <c r="GI33" s="45">
        <v>2.5341550000000002</v>
      </c>
      <c r="GJ33" s="45">
        <v>2.2701859999999998</v>
      </c>
      <c r="GK33" s="45">
        <v>2.3199200000000002</v>
      </c>
      <c r="GL33" s="45">
        <v>1.0850820000000001</v>
      </c>
      <c r="GM33" s="45">
        <v>1.4991920000000001</v>
      </c>
      <c r="GN33" s="45">
        <v>1.9088670000000001</v>
      </c>
      <c r="GO33" s="45">
        <v>3.1088809999999998</v>
      </c>
      <c r="GP33" s="45">
        <v>2.7189299999999998</v>
      </c>
      <c r="GQ33" s="45">
        <v>2.8520660000000002</v>
      </c>
      <c r="GR33" s="45">
        <f t="shared" si="12"/>
        <v>27.943152000000001</v>
      </c>
      <c r="GS33" s="45">
        <f>GS34</f>
        <v>27.987407999999999</v>
      </c>
      <c r="GT33" s="45">
        <v>3.2384870000000001</v>
      </c>
      <c r="GU33" s="45">
        <v>2.552705</v>
      </c>
      <c r="GV33" s="45">
        <v>3.757266</v>
      </c>
      <c r="GW33" s="45">
        <v>2.932032</v>
      </c>
      <c r="GX33" s="45">
        <v>2.6693009999999999</v>
      </c>
      <c r="GY33" s="45">
        <v>2.547498</v>
      </c>
      <c r="GZ33" s="45">
        <v>1.362719</v>
      </c>
      <c r="HA33" s="45">
        <v>1.5811139999999999</v>
      </c>
      <c r="HB33" s="45">
        <v>2.3872070000000001</v>
      </c>
      <c r="HC33" s="45">
        <v>4.2922159999999998</v>
      </c>
      <c r="HD33" s="45">
        <v>2.717851</v>
      </c>
      <c r="HE33" s="45">
        <v>2.570255</v>
      </c>
      <c r="HF33" s="45">
        <f t="shared" si="13"/>
        <v>32.608651000000002</v>
      </c>
      <c r="HG33" s="45">
        <v>2.2805779999999998</v>
      </c>
      <c r="HH33" s="45">
        <v>1.834495</v>
      </c>
      <c r="HI33" s="45">
        <v>3.308249</v>
      </c>
      <c r="HJ33" s="45">
        <v>5.9703580000000001</v>
      </c>
      <c r="HK33" s="45"/>
      <c r="HL33" s="45"/>
      <c r="HM33" s="45"/>
      <c r="HN33" s="45"/>
      <c r="HO33" s="45"/>
      <c r="HP33" s="45"/>
      <c r="HQ33" s="45"/>
      <c r="HR33" s="45"/>
      <c r="HS33" s="283">
        <f t="shared" si="14"/>
        <v>12.48049</v>
      </c>
      <c r="HT33" s="283">
        <f t="shared" si="15"/>
        <v>13.39368</v>
      </c>
      <c r="HU33" s="280">
        <f t="shared" si="16"/>
        <v>0.91319000000000017</v>
      </c>
      <c r="HV33" s="280">
        <f t="shared" si="17"/>
        <v>7.3169402803896304</v>
      </c>
    </row>
    <row r="34" spans="1:230" s="12" customFormat="1" ht="20.25" customHeight="1">
      <c r="A34" s="314" t="s">
        <v>154</v>
      </c>
      <c r="B34" s="13"/>
      <c r="C34" s="47" t="s">
        <v>155</v>
      </c>
      <c r="D34" s="42">
        <v>15.773622517800128</v>
      </c>
      <c r="E34" s="42">
        <v>23.52021189407003</v>
      </c>
      <c r="F34" s="42">
        <v>1.9186359212525825</v>
      </c>
      <c r="G34" s="42">
        <v>1.5959556291654573</v>
      </c>
      <c r="H34" s="42">
        <v>2.3766740086852094</v>
      </c>
      <c r="I34" s="42">
        <v>1.9527535415279367</v>
      </c>
      <c r="J34" s="42">
        <v>1.8532649216566781</v>
      </c>
      <c r="K34" s="42">
        <v>1.6265630246839804</v>
      </c>
      <c r="L34" s="42">
        <v>1.5934627577532288</v>
      </c>
      <c r="M34" s="42">
        <v>1.1982345006573667</v>
      </c>
      <c r="N34" s="42">
        <v>1.8370598346053808</v>
      </c>
      <c r="O34" s="42">
        <v>1.7661851668459485</v>
      </c>
      <c r="P34" s="42">
        <v>1.9489473594344939</v>
      </c>
      <c r="Q34" s="42">
        <v>2.2644891036476742</v>
      </c>
      <c r="R34" s="42">
        <v>21.932225769915934</v>
      </c>
      <c r="S34" s="42">
        <v>21.931164307545195</v>
      </c>
      <c r="T34" s="42">
        <v>2.4395948230232043</v>
      </c>
      <c r="U34" s="42">
        <v>1.8131072105451878</v>
      </c>
      <c r="V34" s="42">
        <v>2.1792178189082589</v>
      </c>
      <c r="W34" s="42">
        <v>1.8934311699990325</v>
      </c>
      <c r="X34" s="42">
        <v>2.01178137859204</v>
      </c>
      <c r="Y34" s="42">
        <v>1.7490296014251485</v>
      </c>
      <c r="Z34" s="42">
        <v>1.4642147739625841</v>
      </c>
      <c r="AA34" s="42">
        <v>1.4861369599490042</v>
      </c>
      <c r="AB34" s="42">
        <v>2.0162178928975929</v>
      </c>
      <c r="AC34" s="42">
        <v>1.6073300664196561</v>
      </c>
      <c r="AD34" s="42">
        <v>1.9100631185935197</v>
      </c>
      <c r="AE34" s="42">
        <v>1.9233285524840498</v>
      </c>
      <c r="AF34" s="42">
        <v>22.49345336679928</v>
      </c>
      <c r="AG34" s="42">
        <v>22.490452530150652</v>
      </c>
      <c r="AH34" s="42">
        <v>1.8559356520452361</v>
      </c>
      <c r="AI34" s="42">
        <v>1.7206902635727743</v>
      </c>
      <c r="AJ34" s="42">
        <v>1.7737833023147278</v>
      </c>
      <c r="AK34" s="42">
        <v>1.6503150238188742</v>
      </c>
      <c r="AL34" s="42">
        <v>1.5185940888213501</v>
      </c>
      <c r="AM34" s="42">
        <v>1.4388762727588345</v>
      </c>
      <c r="AN34" s="42">
        <v>1.5553269474846472</v>
      </c>
      <c r="AO34" s="42">
        <v>1.1835661151615529</v>
      </c>
      <c r="AP34" s="42">
        <v>1.5875236908156471</v>
      </c>
      <c r="AQ34" s="42">
        <v>1.3526858128297505</v>
      </c>
      <c r="AR34" s="42">
        <v>1.1202497424602023</v>
      </c>
      <c r="AS34" s="42">
        <v>1.7852274602876477</v>
      </c>
      <c r="AT34" s="42">
        <v>18.542774372371245</v>
      </c>
      <c r="AU34" s="42">
        <v>18.540428056755246</v>
      </c>
      <c r="AV34" s="42">
        <v>1.6863939999999999</v>
      </c>
      <c r="AW34" s="42">
        <v>1.268583</v>
      </c>
      <c r="AX34" s="42">
        <v>1.172906</v>
      </c>
      <c r="AY34" s="42">
        <v>1.1792260000000001</v>
      </c>
      <c r="AZ34" s="42">
        <v>1.0263720000000001</v>
      </c>
      <c r="BA34" s="42">
        <v>1.108838</v>
      </c>
      <c r="BB34" s="42">
        <v>0.44503700000000002</v>
      </c>
      <c r="BC34" s="42">
        <v>0.44298900000000002</v>
      </c>
      <c r="BD34" s="42">
        <v>1.6200159999999999</v>
      </c>
      <c r="BE34" s="42">
        <v>1.2413920000000001</v>
      </c>
      <c r="BF34" s="42">
        <v>0.98436199999999996</v>
      </c>
      <c r="BG34" s="42">
        <v>1.502858</v>
      </c>
      <c r="BH34" s="45">
        <f t="shared" si="6"/>
        <v>13.678972999999999</v>
      </c>
      <c r="BI34" s="45">
        <v>13.679615</v>
      </c>
      <c r="BJ34" s="42">
        <v>1.5368219999999999</v>
      </c>
      <c r="BK34" s="42">
        <v>1.426709</v>
      </c>
      <c r="BL34" s="42">
        <v>1.2887139999999999</v>
      </c>
      <c r="BM34" s="42">
        <v>1.0581929999999999</v>
      </c>
      <c r="BN34" s="42">
        <v>1.012097</v>
      </c>
      <c r="BO34" s="42">
        <v>1.0490349999999999</v>
      </c>
      <c r="BP34" s="42">
        <v>0.83509100000000003</v>
      </c>
      <c r="BQ34" s="42">
        <v>1.0593239999999999</v>
      </c>
      <c r="BR34" s="42">
        <v>1.2366600000000001</v>
      </c>
      <c r="BS34" s="42">
        <v>1.0375460000000001</v>
      </c>
      <c r="BT34" s="42">
        <v>0.85874899999999998</v>
      </c>
      <c r="BU34" s="42">
        <v>1.3169120000000001</v>
      </c>
      <c r="BV34" s="45">
        <f t="shared" si="7"/>
        <v>13.715852</v>
      </c>
      <c r="BW34" s="45">
        <f>13.714141+0.001843</f>
        <v>13.715983999999999</v>
      </c>
      <c r="BX34" s="45">
        <v>1.2707079999999999</v>
      </c>
      <c r="BY34" s="45">
        <v>0.96897699999999998</v>
      </c>
      <c r="BZ34" s="45">
        <v>1.0893200000000001</v>
      </c>
      <c r="CA34" s="45">
        <v>0.90667900000000001</v>
      </c>
      <c r="CB34" s="45">
        <v>0.88281399999999999</v>
      </c>
      <c r="CC34" s="45">
        <v>0.84645599999999999</v>
      </c>
      <c r="CD34" s="45">
        <v>0.71551200000000004</v>
      </c>
      <c r="CE34" s="45">
        <v>0.95198199999999999</v>
      </c>
      <c r="CF34" s="45">
        <v>1.065183</v>
      </c>
      <c r="CG34" s="45">
        <v>0.93149800000000005</v>
      </c>
      <c r="CH34" s="45">
        <v>0.89853700000000003</v>
      </c>
      <c r="CI34" s="45">
        <v>1.1685319999999999</v>
      </c>
      <c r="CJ34" s="45">
        <f t="shared" si="8"/>
        <v>11.696197999999999</v>
      </c>
      <c r="CK34" s="45">
        <v>11.702012</v>
      </c>
      <c r="CL34" s="45">
        <v>1.219895</v>
      </c>
      <c r="CM34" s="45">
        <v>0.88963300000000001</v>
      </c>
      <c r="CN34" s="45">
        <v>1.0778110000000001</v>
      </c>
      <c r="CO34" s="45">
        <v>0.98524199999999995</v>
      </c>
      <c r="CP34" s="45">
        <v>0.82788399999999995</v>
      </c>
      <c r="CQ34" s="45">
        <v>0.82377199999999995</v>
      </c>
      <c r="CR34" s="45">
        <v>0.57237300000000002</v>
      </c>
      <c r="CS34" s="45">
        <v>1.0596080000000001</v>
      </c>
      <c r="CT34" s="45">
        <v>1.1728970000000001</v>
      </c>
      <c r="CU34" s="45">
        <v>0.932925</v>
      </c>
      <c r="CV34" s="45">
        <v>0.85053500000000004</v>
      </c>
      <c r="CW34" s="45">
        <v>1.0703910000000001</v>
      </c>
      <c r="CX34" s="45">
        <f t="shared" si="9"/>
        <v>11.482966000000001</v>
      </c>
      <c r="CY34" s="45">
        <v>11.484833</v>
      </c>
      <c r="CZ34" s="45">
        <v>1.2359329999999999</v>
      </c>
      <c r="DA34" s="45">
        <v>1.0756680000000001</v>
      </c>
      <c r="DB34" s="45">
        <v>1.1313519999999999</v>
      </c>
      <c r="DC34" s="45">
        <v>0.94400600000000001</v>
      </c>
      <c r="DD34" s="45">
        <v>0.96772199999999997</v>
      </c>
      <c r="DE34" s="45">
        <v>0.97222299999999995</v>
      </c>
      <c r="DF34" s="45">
        <v>0.55260200000000004</v>
      </c>
      <c r="DG34" s="45">
        <v>1.1336299999999999</v>
      </c>
      <c r="DH34" s="45">
        <v>1.0530029999999999</v>
      </c>
      <c r="DI34" s="45">
        <v>1.0738099999999999</v>
      </c>
      <c r="DJ34" s="45">
        <v>0.92183400000000004</v>
      </c>
      <c r="DK34" s="45">
        <v>1.075798</v>
      </c>
      <c r="DL34" s="45">
        <f t="shared" si="10"/>
        <v>12.137581000000001</v>
      </c>
      <c r="DM34" s="45">
        <v>12.133488</v>
      </c>
      <c r="DN34" s="45">
        <v>1.5680339999999999</v>
      </c>
      <c r="DO34" s="45">
        <v>1.080918</v>
      </c>
      <c r="DP34" s="45">
        <v>1.203068</v>
      </c>
      <c r="DQ34" s="45">
        <v>1.126244</v>
      </c>
      <c r="DR34" s="45">
        <v>0.98259799999999997</v>
      </c>
      <c r="DS34" s="45">
        <v>0.98875900000000005</v>
      </c>
      <c r="DT34" s="45">
        <v>0.51302999999999999</v>
      </c>
      <c r="DU34" s="45">
        <v>1.201937</v>
      </c>
      <c r="DV34" s="45">
        <v>1.3554330000000001</v>
      </c>
      <c r="DW34" s="45">
        <v>1.1976560000000001</v>
      </c>
      <c r="DX34" s="45">
        <v>0.88102599999999998</v>
      </c>
      <c r="DY34" s="45">
        <v>1.379928</v>
      </c>
      <c r="DZ34" s="45">
        <f t="shared" si="18"/>
        <v>13.478631</v>
      </c>
      <c r="EA34" s="45">
        <f>13.472689+0.052891</f>
        <v>13.525580000000001</v>
      </c>
      <c r="EB34" s="45">
        <v>1.5517080000000001</v>
      </c>
      <c r="EC34" s="45">
        <v>1.0922940000000001</v>
      </c>
      <c r="ED34" s="45">
        <v>1.1476740000000001</v>
      </c>
      <c r="EE34" s="45">
        <v>0.60104100000000005</v>
      </c>
      <c r="EF34" s="45">
        <v>0.64217299999999999</v>
      </c>
      <c r="EG34" s="45">
        <v>0.73980400000000002</v>
      </c>
      <c r="EH34" s="45">
        <v>0.46227000000000001</v>
      </c>
      <c r="EI34" s="42">
        <v>0.41311900000000001</v>
      </c>
      <c r="EJ34" s="45">
        <v>1.209346</v>
      </c>
      <c r="EK34" s="45">
        <v>1.621891</v>
      </c>
      <c r="EL34" s="45">
        <v>1.2892859999999999</v>
      </c>
      <c r="EM34" s="45">
        <v>1.4818849999999999</v>
      </c>
      <c r="EN34" s="45">
        <f t="shared" si="19"/>
        <v>12.252491000000003</v>
      </c>
      <c r="EO34" s="45">
        <v>12.246668</v>
      </c>
      <c r="EP34" s="45">
        <v>1.3187679999999999</v>
      </c>
      <c r="EQ34" s="45">
        <v>0.90406399999999998</v>
      </c>
      <c r="ER34" s="45">
        <v>1.831996</v>
      </c>
      <c r="ES34" s="45">
        <v>1.26366</v>
      </c>
      <c r="ET34" s="45">
        <v>1.276824</v>
      </c>
      <c r="EU34" s="45">
        <v>1.4180699999999999</v>
      </c>
      <c r="EV34" s="42">
        <v>0.51815800000000001</v>
      </c>
      <c r="EW34" s="42">
        <v>0.78652699999999998</v>
      </c>
      <c r="EX34" s="42">
        <v>1.4807779999999999</v>
      </c>
      <c r="EY34" s="45">
        <v>2.22668</v>
      </c>
      <c r="EZ34" s="45">
        <v>1.8106249999999999</v>
      </c>
      <c r="FA34" s="45">
        <v>1.9897290000000001</v>
      </c>
      <c r="FB34" s="45">
        <f t="shared" si="20"/>
        <v>16.825879</v>
      </c>
      <c r="FC34" s="45">
        <f>16.822131+0.045519</f>
        <v>16.867649999999998</v>
      </c>
      <c r="FD34" s="45">
        <v>1.906992</v>
      </c>
      <c r="FE34" s="45">
        <v>1.2981940000000001</v>
      </c>
      <c r="FF34" s="45">
        <v>2.331747</v>
      </c>
      <c r="FG34" s="45">
        <v>1.62294</v>
      </c>
      <c r="FH34" s="45">
        <v>1.796875</v>
      </c>
      <c r="FI34" s="45">
        <v>1.6053249999999999</v>
      </c>
      <c r="FJ34" s="45">
        <v>0.75637699999999997</v>
      </c>
      <c r="FK34" s="45">
        <v>0.92086900000000005</v>
      </c>
      <c r="FL34" s="45">
        <v>1.7638020000000001</v>
      </c>
      <c r="FM34" s="45">
        <v>2.2428460000000001</v>
      </c>
      <c r="FN34" s="45">
        <v>2.0351659999999998</v>
      </c>
      <c r="FO34" s="45">
        <v>2.2058680000000002</v>
      </c>
      <c r="FP34" s="45">
        <f t="shared" si="21"/>
        <v>20.487000999999999</v>
      </c>
      <c r="FQ34" s="45">
        <f>20.473393+0.014128</f>
        <v>20.487521000000001</v>
      </c>
      <c r="FR34" s="45">
        <v>1.9325049999999999</v>
      </c>
      <c r="FS34" s="45">
        <v>1.714564</v>
      </c>
      <c r="FT34" s="45">
        <v>2.7800910000000001</v>
      </c>
      <c r="FU34" s="45">
        <v>1.950159</v>
      </c>
      <c r="FV34" s="45">
        <v>1.9565380000000001</v>
      </c>
      <c r="FW34" s="45">
        <v>1.8810009999999999</v>
      </c>
      <c r="FX34" s="45">
        <v>0.75742699999999996</v>
      </c>
      <c r="FY34" s="45">
        <v>1.112563</v>
      </c>
      <c r="FZ34" s="45">
        <v>1.7189730000000001</v>
      </c>
      <c r="GA34" s="45">
        <v>3.1084239999999999</v>
      </c>
      <c r="GB34" s="45">
        <v>2.277072</v>
      </c>
      <c r="GC34" s="45">
        <v>2.3740929999999998</v>
      </c>
      <c r="GD34" s="45">
        <f t="shared" si="11"/>
        <v>23.563409999999998</v>
      </c>
      <c r="GE34" s="45">
        <f>23.557034+0.048079</f>
        <v>23.605113000000003</v>
      </c>
      <c r="GF34" s="45">
        <v>2.4047879999999999</v>
      </c>
      <c r="GG34" s="45">
        <v>1.9054990000000001</v>
      </c>
      <c r="GH34" s="45">
        <v>3.3355860000000002</v>
      </c>
      <c r="GI34" s="45">
        <v>2.5341550000000002</v>
      </c>
      <c r="GJ34" s="45">
        <v>2.2701859999999998</v>
      </c>
      <c r="GK34" s="45">
        <v>2.3199200000000002</v>
      </c>
      <c r="GL34" s="45">
        <v>1.0850820000000001</v>
      </c>
      <c r="GM34" s="45">
        <v>1.4991920000000001</v>
      </c>
      <c r="GN34" s="45">
        <v>1.9088670000000001</v>
      </c>
      <c r="GO34" s="45">
        <v>3.1088809999999998</v>
      </c>
      <c r="GP34" s="45">
        <v>2.7189299999999998</v>
      </c>
      <c r="GQ34" s="45">
        <v>2.8520660000000002</v>
      </c>
      <c r="GR34" s="45">
        <f t="shared" si="12"/>
        <v>27.943152000000001</v>
      </c>
      <c r="GS34" s="45">
        <f>27.970039+0.017369</f>
        <v>27.987407999999999</v>
      </c>
      <c r="GT34" s="45">
        <v>3.2384870000000001</v>
      </c>
      <c r="GU34" s="45">
        <v>2.552705</v>
      </c>
      <c r="GV34" s="45">
        <v>3.757266</v>
      </c>
      <c r="GW34" s="45">
        <v>2.932032</v>
      </c>
      <c r="GX34" s="45">
        <v>2.6693009999999999</v>
      </c>
      <c r="GY34" s="45">
        <v>2.547498</v>
      </c>
      <c r="GZ34" s="45">
        <v>1.362719</v>
      </c>
      <c r="HA34" s="45">
        <v>1.5811139999999999</v>
      </c>
      <c r="HB34" s="45">
        <v>2.3872070000000001</v>
      </c>
      <c r="HC34" s="45">
        <v>4.2922159999999998</v>
      </c>
      <c r="HD34" s="45">
        <v>2.717851</v>
      </c>
      <c r="HE34" s="45">
        <v>2.570255</v>
      </c>
      <c r="HF34" s="45">
        <f t="shared" si="13"/>
        <v>32.608651000000002</v>
      </c>
      <c r="HG34" s="45">
        <v>2.2805779999999998</v>
      </c>
      <c r="HH34" s="45">
        <v>1.834495</v>
      </c>
      <c r="HI34" s="45">
        <v>3.308249</v>
      </c>
      <c r="HJ34" s="45">
        <v>5.9703580000000001</v>
      </c>
      <c r="HK34" s="45"/>
      <c r="HL34" s="45"/>
      <c r="HM34" s="45"/>
      <c r="HN34" s="45"/>
      <c r="HO34" s="45"/>
      <c r="HP34" s="45"/>
      <c r="HQ34" s="45"/>
      <c r="HR34" s="45"/>
      <c r="HS34" s="283">
        <f t="shared" si="14"/>
        <v>12.48049</v>
      </c>
      <c r="HT34" s="283">
        <f t="shared" si="15"/>
        <v>13.39368</v>
      </c>
      <c r="HU34" s="280">
        <f t="shared" si="16"/>
        <v>0.91319000000000017</v>
      </c>
      <c r="HV34" s="280">
        <f t="shared" si="17"/>
        <v>7.3169402803896304</v>
      </c>
    </row>
    <row r="35" spans="1:230" s="12" customFormat="1" ht="20.25" customHeight="1">
      <c r="A35" s="314" t="s">
        <v>156</v>
      </c>
      <c r="B35" s="13">
        <v>7700</v>
      </c>
      <c r="C35" s="46" t="s">
        <v>157</v>
      </c>
      <c r="D35" s="42">
        <v>5.0938810820655542E-4</v>
      </c>
      <c r="E35" s="42">
        <v>0.78467111740969031</v>
      </c>
      <c r="F35" s="42">
        <v>0</v>
      </c>
      <c r="G35" s="42">
        <v>2.1667491932316835E-2</v>
      </c>
      <c r="H35" s="42">
        <v>4.5778054763490249E-2</v>
      </c>
      <c r="I35" s="42">
        <v>8.1857815265707085E-3</v>
      </c>
      <c r="J35" s="42">
        <v>0.17479837906443332</v>
      </c>
      <c r="K35" s="42">
        <v>0.19683581766751468</v>
      </c>
      <c r="L35" s="42">
        <v>2.899385888526531E-2</v>
      </c>
      <c r="M35" s="42">
        <v>0</v>
      </c>
      <c r="N35" s="42">
        <v>7.873461164136801E-2</v>
      </c>
      <c r="O35" s="42">
        <v>1.5035486422957184E-2</v>
      </c>
      <c r="P35" s="42">
        <v>0.52982054740724305</v>
      </c>
      <c r="Q35" s="42">
        <v>0.11408017028929829</v>
      </c>
      <c r="R35" s="42">
        <v>1.2139301996004574</v>
      </c>
      <c r="S35" s="42">
        <v>1.213762300726803</v>
      </c>
      <c r="T35" s="42">
        <v>0.15595101906079079</v>
      </c>
      <c r="U35" s="42">
        <v>0.14231706137130692</v>
      </c>
      <c r="V35" s="42">
        <v>0.30453440788612474</v>
      </c>
      <c r="W35" s="42">
        <v>0.12279668300123506</v>
      </c>
      <c r="X35" s="42">
        <v>7.2966289321062486E-2</v>
      </c>
      <c r="Y35" s="42">
        <v>0.29970660383264752</v>
      </c>
      <c r="Z35" s="42">
        <v>0.49097899272058781</v>
      </c>
      <c r="AA35" s="42">
        <v>9.6760974610275399E-2</v>
      </c>
      <c r="AB35" s="42">
        <v>0.3545469291580583</v>
      </c>
      <c r="AC35" s="42">
        <v>0.11746945094222573</v>
      </c>
      <c r="AD35" s="42">
        <v>0.27600155946750449</v>
      </c>
      <c r="AE35" s="42">
        <v>4.1764133385695019E-2</v>
      </c>
      <c r="AF35" s="42">
        <v>2.4757941047575143</v>
      </c>
      <c r="AG35" s="42">
        <v>2.471996459894934</v>
      </c>
      <c r="AH35" s="42">
        <v>0.33432365211353382</v>
      </c>
      <c r="AI35" s="42">
        <v>0.2677858976329105</v>
      </c>
      <c r="AJ35" s="42">
        <v>0.2006832630434659</v>
      </c>
      <c r="AK35" s="42">
        <v>0.7796512256617778</v>
      </c>
      <c r="AL35" s="42">
        <v>0.30615505887843553</v>
      </c>
      <c r="AM35" s="42">
        <v>0.48972401978360963</v>
      </c>
      <c r="AN35" s="42">
        <v>0.35411579899943657</v>
      </c>
      <c r="AO35" s="42">
        <v>0.83245115281074089</v>
      </c>
      <c r="AP35" s="42">
        <v>0.33512046032748821</v>
      </c>
      <c r="AQ35" s="42">
        <v>1.1717349360561407E-2</v>
      </c>
      <c r="AR35" s="42">
        <v>0.15160841429473937</v>
      </c>
      <c r="AS35" s="42">
        <v>0.2758962669535176</v>
      </c>
      <c r="AT35" s="42">
        <v>4.3392325598602168</v>
      </c>
      <c r="AU35" s="42">
        <v>4.3391713763723594</v>
      </c>
      <c r="AV35" s="42">
        <v>0.42225000000000001</v>
      </c>
      <c r="AW35" s="42">
        <v>0.25650899999999999</v>
      </c>
      <c r="AX35" s="42">
        <v>0.82024900000000001</v>
      </c>
      <c r="AY35" s="42">
        <v>0.22378999999999999</v>
      </c>
      <c r="AZ35" s="42">
        <v>0.155614</v>
      </c>
      <c r="BA35" s="42">
        <v>0.33636300000000002</v>
      </c>
      <c r="BB35" s="42">
        <v>0.280698</v>
      </c>
      <c r="BC35" s="42">
        <v>0.470383</v>
      </c>
      <c r="BD35" s="42">
        <v>0.19495399999999999</v>
      </c>
      <c r="BE35" s="42">
        <v>0.109281</v>
      </c>
      <c r="BF35" s="42">
        <v>0.31849</v>
      </c>
      <c r="BG35" s="42">
        <v>0.42874800000000002</v>
      </c>
      <c r="BH35" s="45">
        <f t="shared" si="6"/>
        <v>4.0173290000000001</v>
      </c>
      <c r="BI35" s="45">
        <v>4.0142569999999997</v>
      </c>
      <c r="BJ35" s="42">
        <v>0.85252600000000001</v>
      </c>
      <c r="BK35" s="42">
        <v>0.12300700000000001</v>
      </c>
      <c r="BL35" s="42">
        <v>0.78692499999999999</v>
      </c>
      <c r="BM35" s="42">
        <v>7.3137999999999995E-2</v>
      </c>
      <c r="BN35" s="42">
        <v>0.63630299999999995</v>
      </c>
      <c r="BO35" s="42">
        <v>0.236456</v>
      </c>
      <c r="BP35" s="42">
        <v>0.154775</v>
      </c>
      <c r="BQ35" s="42">
        <v>0.11462899999999999</v>
      </c>
      <c r="BR35" s="42">
        <v>0.191722</v>
      </c>
      <c r="BS35" s="42">
        <v>0.598383</v>
      </c>
      <c r="BT35" s="42">
        <v>0.33946199999999999</v>
      </c>
      <c r="BU35" s="42">
        <v>0.53059199999999995</v>
      </c>
      <c r="BV35" s="45">
        <f t="shared" si="7"/>
        <v>4.6379179999999991</v>
      </c>
      <c r="BW35" s="45">
        <v>4.6384350000000003</v>
      </c>
      <c r="BX35" s="45">
        <v>0.51284700000000005</v>
      </c>
      <c r="BY35" s="45">
        <v>0.51752799999999999</v>
      </c>
      <c r="BZ35" s="45">
        <v>0.22625600000000001</v>
      </c>
      <c r="CA35" s="45">
        <v>0.14376700000000001</v>
      </c>
      <c r="CB35" s="45">
        <v>0.13151299999999999</v>
      </c>
      <c r="CC35" s="45">
        <v>8.7609999999999993E-2</v>
      </c>
      <c r="CD35" s="45">
        <v>0.29157300000000003</v>
      </c>
      <c r="CE35" s="45">
        <v>0.13134799999999999</v>
      </c>
      <c r="CF35" s="45">
        <v>6.9836999999999996E-2</v>
      </c>
      <c r="CG35" s="45">
        <v>0.215971</v>
      </c>
      <c r="CH35" s="45">
        <v>2.1839000000000001E-2</v>
      </c>
      <c r="CI35" s="45">
        <v>0.15442500000000001</v>
      </c>
      <c r="CJ35" s="45">
        <f t="shared" si="8"/>
        <v>2.5045139999999999</v>
      </c>
      <c r="CK35" s="45">
        <v>2.5738560000000001</v>
      </c>
      <c r="CL35" s="45">
        <v>0.428809</v>
      </c>
      <c r="CM35" s="45">
        <v>0.13522400000000001</v>
      </c>
      <c r="CN35" s="45">
        <v>0.18831899999999999</v>
      </c>
      <c r="CO35" s="45">
        <v>0.985626</v>
      </c>
      <c r="CP35" s="45">
        <v>0.31628499999999998</v>
      </c>
      <c r="CQ35" s="45">
        <v>5.1566000000000001E-2</v>
      </c>
      <c r="CR35" s="45">
        <v>0.30615799999999999</v>
      </c>
      <c r="CS35" s="45">
        <v>3.9237000000000001E-2</v>
      </c>
      <c r="CT35" s="45">
        <v>0.469439</v>
      </c>
      <c r="CU35" s="45">
        <v>0.215116</v>
      </c>
      <c r="CV35" s="45">
        <v>0.28588200000000002</v>
      </c>
      <c r="CW35" s="45">
        <v>0.26860899999999999</v>
      </c>
      <c r="CX35" s="45">
        <f t="shared" si="9"/>
        <v>3.6902699999999999</v>
      </c>
      <c r="CY35" s="45">
        <v>3.7180240000000002</v>
      </c>
      <c r="CZ35" s="45">
        <v>0.37229299999999999</v>
      </c>
      <c r="DA35" s="45">
        <v>0.302008</v>
      </c>
      <c r="DB35" s="45">
        <v>0.27711400000000003</v>
      </c>
      <c r="DC35" s="45">
        <v>1.435438</v>
      </c>
      <c r="DD35" s="45">
        <v>0.185915</v>
      </c>
      <c r="DE35" s="45">
        <v>0.112304</v>
      </c>
      <c r="DF35" s="45">
        <v>0.83291199999999999</v>
      </c>
      <c r="DG35" s="45">
        <v>0.32986300000000002</v>
      </c>
      <c r="DH35" s="45">
        <v>0.219861</v>
      </c>
      <c r="DI35" s="45">
        <v>0.838781</v>
      </c>
      <c r="DJ35" s="45">
        <v>7.6233999999999996E-2</v>
      </c>
      <c r="DK35" s="45">
        <v>0.38616600000000001</v>
      </c>
      <c r="DL35" s="45">
        <f t="shared" si="10"/>
        <v>5.3688890000000011</v>
      </c>
      <c r="DM35" s="45">
        <v>5.3688890000000002</v>
      </c>
      <c r="DN35" s="45">
        <v>1.212332</v>
      </c>
      <c r="DO35" s="45">
        <v>0.834117</v>
      </c>
      <c r="DP35" s="45">
        <v>0.38905800000000001</v>
      </c>
      <c r="DQ35" s="45">
        <v>0.433249</v>
      </c>
      <c r="DR35" s="45">
        <v>0.710503</v>
      </c>
      <c r="DS35" s="45">
        <v>0.28341899999999998</v>
      </c>
      <c r="DT35" s="45">
        <v>0.59547300000000003</v>
      </c>
      <c r="DU35" s="45">
        <v>0.81969400000000003</v>
      </c>
      <c r="DV35" s="45">
        <v>0.31634299999999999</v>
      </c>
      <c r="DW35" s="45">
        <v>0.54772100000000001</v>
      </c>
      <c r="DX35" s="45">
        <v>0.80328500000000003</v>
      </c>
      <c r="DY35" s="45">
        <v>0.944415</v>
      </c>
      <c r="DZ35" s="45">
        <f t="shared" si="18"/>
        <v>7.8896090000000001</v>
      </c>
      <c r="EA35" s="45">
        <v>7.8896090000000001</v>
      </c>
      <c r="EB35" s="45">
        <v>1.128061</v>
      </c>
      <c r="EC35" s="45">
        <v>0.74168800000000001</v>
      </c>
      <c r="ED35" s="45">
        <v>0.65588299999999999</v>
      </c>
      <c r="EE35" s="45">
        <v>0.43596600000000002</v>
      </c>
      <c r="EF35" s="45">
        <v>0.38108199999999998</v>
      </c>
      <c r="EG35" s="45">
        <v>0.89191699999999996</v>
      </c>
      <c r="EH35" s="45">
        <v>0.397451</v>
      </c>
      <c r="EI35" s="42">
        <v>0.49409799999999998</v>
      </c>
      <c r="EJ35" s="45">
        <v>0.76919300000000002</v>
      </c>
      <c r="EK35" s="45">
        <v>0.83272599999999997</v>
      </c>
      <c r="EL35" s="45">
        <v>0.20930499999999999</v>
      </c>
      <c r="EM35" s="45">
        <v>1.064001</v>
      </c>
      <c r="EN35" s="45">
        <f t="shared" si="19"/>
        <v>8.0013709999999989</v>
      </c>
      <c r="EO35" s="45">
        <v>8.0012799999999995</v>
      </c>
      <c r="EP35" s="45">
        <v>0.73334500000000002</v>
      </c>
      <c r="EQ35" s="45">
        <v>0.253077</v>
      </c>
      <c r="ER35" s="45">
        <v>0.117483</v>
      </c>
      <c r="ES35" s="45">
        <v>0.93507099999999999</v>
      </c>
      <c r="ET35" s="45">
        <v>0.32886100000000001</v>
      </c>
      <c r="EU35" s="45">
        <v>0.82821699999999998</v>
      </c>
      <c r="EV35" s="42">
        <v>0.83955599999999997</v>
      </c>
      <c r="EW35" s="42">
        <v>0.709561</v>
      </c>
      <c r="EX35" s="42">
        <v>1.0503629999999999</v>
      </c>
      <c r="EY35" s="45">
        <v>0.53439300000000001</v>
      </c>
      <c r="EZ35" s="45">
        <v>0.181614</v>
      </c>
      <c r="FA35" s="45">
        <v>0.60053400000000001</v>
      </c>
      <c r="FB35" s="45">
        <f t="shared" si="20"/>
        <v>7.112074999999999</v>
      </c>
      <c r="FC35" s="45">
        <v>7.1120749999999999</v>
      </c>
      <c r="FD35" s="45">
        <v>0.66017199999999998</v>
      </c>
      <c r="FE35" s="45">
        <v>0.39378600000000002</v>
      </c>
      <c r="FF35" s="45">
        <v>0.22831000000000001</v>
      </c>
      <c r="FG35" s="45">
        <v>0.70161700000000005</v>
      </c>
      <c r="FH35" s="45">
        <v>0.50505199999999995</v>
      </c>
      <c r="FI35" s="45">
        <v>0.45809499999999997</v>
      </c>
      <c r="FJ35" s="45">
        <v>0.43833800000000001</v>
      </c>
      <c r="FK35" s="45">
        <v>0.16863300000000001</v>
      </c>
      <c r="FL35" s="45">
        <v>0.36758000000000002</v>
      </c>
      <c r="FM35" s="45">
        <v>1.626152</v>
      </c>
      <c r="FN35" s="45">
        <v>0.20976300000000001</v>
      </c>
      <c r="FO35" s="45">
        <v>0.64387099999999997</v>
      </c>
      <c r="FP35" s="45">
        <f t="shared" si="21"/>
        <v>6.4013689999999999</v>
      </c>
      <c r="FQ35" s="45">
        <v>6.4017179999999998</v>
      </c>
      <c r="FR35" s="45">
        <v>0.830453</v>
      </c>
      <c r="FS35" s="45">
        <v>1.084535</v>
      </c>
      <c r="FT35" s="45">
        <v>1.017069</v>
      </c>
      <c r="FU35" s="45">
        <v>1.1777550000000001</v>
      </c>
      <c r="FV35" s="45">
        <v>1.3163560000000001</v>
      </c>
      <c r="FW35" s="45">
        <v>1.5936900000000001</v>
      </c>
      <c r="FX35" s="45">
        <v>0.89530299999999996</v>
      </c>
      <c r="FY35" s="45">
        <v>0.63716600000000001</v>
      </c>
      <c r="FZ35" s="45">
        <v>0.47412199999999999</v>
      </c>
      <c r="GA35" s="45">
        <v>1.16035</v>
      </c>
      <c r="GB35" s="45">
        <v>1.2562789999999999</v>
      </c>
      <c r="GC35" s="45">
        <v>0.89120999999999995</v>
      </c>
      <c r="GD35" s="45">
        <f t="shared" si="11"/>
        <v>12.334287999999999</v>
      </c>
      <c r="GE35" s="45">
        <v>12.334286000000001</v>
      </c>
      <c r="GF35" s="45">
        <v>5.2325559999999998</v>
      </c>
      <c r="GG35" s="45">
        <v>1.330206</v>
      </c>
      <c r="GH35" s="45">
        <v>2.0802079999999998</v>
      </c>
      <c r="GI35" s="45">
        <v>1.975139</v>
      </c>
      <c r="GJ35" s="45">
        <v>0.53098199999999995</v>
      </c>
      <c r="GK35" s="45">
        <v>1.5831249999999999</v>
      </c>
      <c r="GL35" s="45">
        <v>1.1312169999999999</v>
      </c>
      <c r="GM35" s="45">
        <v>0.249916</v>
      </c>
      <c r="GN35" s="45">
        <v>0.63073000000000001</v>
      </c>
      <c r="GO35" s="45">
        <v>10.261304000000001</v>
      </c>
      <c r="GP35" s="45">
        <v>4.2735630000000002</v>
      </c>
      <c r="GQ35" s="45">
        <v>1.758243</v>
      </c>
      <c r="GR35" s="45">
        <f t="shared" si="12"/>
        <v>31.037188999999998</v>
      </c>
      <c r="GS35" s="45">
        <v>31.032363</v>
      </c>
      <c r="GT35" s="45">
        <v>0.99194300000000002</v>
      </c>
      <c r="GU35" s="45">
        <v>0.93815599999999999</v>
      </c>
      <c r="GV35" s="45">
        <v>1.6305240000000001</v>
      </c>
      <c r="GW35" s="45">
        <v>0.87304599999999999</v>
      </c>
      <c r="GX35" s="45">
        <v>0.92282600000000004</v>
      </c>
      <c r="GY35" s="45">
        <v>0.373421</v>
      </c>
      <c r="GZ35" s="45">
        <v>1.4684740000000001</v>
      </c>
      <c r="HA35" s="45">
        <v>1.963819</v>
      </c>
      <c r="HB35" s="45">
        <v>2.259401</v>
      </c>
      <c r="HC35" s="45">
        <v>0.70908099999999996</v>
      </c>
      <c r="HD35" s="45">
        <v>0.20874599999999999</v>
      </c>
      <c r="HE35" s="45">
        <v>1.645319</v>
      </c>
      <c r="HF35" s="45">
        <f t="shared" si="13"/>
        <v>13.984756000000001</v>
      </c>
      <c r="HG35" s="45">
        <v>1.0146630000000001</v>
      </c>
      <c r="HH35" s="45">
        <v>2.071024</v>
      </c>
      <c r="HI35" s="45">
        <v>2.1113179999999998</v>
      </c>
      <c r="HJ35" s="45">
        <v>-0.25290800000000002</v>
      </c>
      <c r="HK35" s="45"/>
      <c r="HL35" s="45"/>
      <c r="HM35" s="45"/>
      <c r="HN35" s="45"/>
      <c r="HO35" s="45"/>
      <c r="HP35" s="45"/>
      <c r="HQ35" s="45"/>
      <c r="HR35" s="45"/>
      <c r="HS35" s="283">
        <f t="shared" si="14"/>
        <v>4.4336690000000001</v>
      </c>
      <c r="HT35" s="283">
        <f t="shared" si="15"/>
        <v>4.9440970000000002</v>
      </c>
      <c r="HU35" s="280">
        <f t="shared" si="16"/>
        <v>0.5104280000000001</v>
      </c>
      <c r="HV35" s="280">
        <f t="shared" si="17"/>
        <v>11.512541869950141</v>
      </c>
    </row>
    <row r="36" spans="1:230" s="12" customFormat="1" ht="20.25" hidden="1" customHeight="1">
      <c r="A36" s="314" t="s">
        <v>253</v>
      </c>
      <c r="B36" s="13">
        <v>7600</v>
      </c>
      <c r="C36" s="46" t="s">
        <v>253</v>
      </c>
      <c r="D36" s="42">
        <v>0</v>
      </c>
      <c r="E36" s="42">
        <v>0</v>
      </c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42">
        <v>0</v>
      </c>
      <c r="S36" s="42">
        <v>0</v>
      </c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42">
        <v>0</v>
      </c>
      <c r="AG36" s="42">
        <v>0</v>
      </c>
      <c r="AH36" s="42">
        <v>0</v>
      </c>
      <c r="AI36" s="42">
        <v>0</v>
      </c>
      <c r="AJ36" s="42">
        <v>0</v>
      </c>
      <c r="AK36" s="42">
        <v>0</v>
      </c>
      <c r="AL36" s="42">
        <v>0</v>
      </c>
      <c r="AM36" s="42">
        <v>0</v>
      </c>
      <c r="AN36" s="42">
        <v>0</v>
      </c>
      <c r="AO36" s="42">
        <v>0</v>
      </c>
      <c r="AP36" s="42">
        <v>0</v>
      </c>
      <c r="AQ36" s="42">
        <v>0</v>
      </c>
      <c r="AR36" s="42">
        <v>0</v>
      </c>
      <c r="AS36" s="42">
        <v>5.0294249890438875E-2</v>
      </c>
      <c r="AT36" s="42">
        <v>5.0294249890438875E-2</v>
      </c>
      <c r="AU36" s="42">
        <v>5.0294249890438875E-2</v>
      </c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5"/>
      <c r="BI36" s="45"/>
      <c r="BJ36" s="42"/>
      <c r="BK36" s="42">
        <v>0</v>
      </c>
      <c r="BL36" s="42">
        <v>0</v>
      </c>
      <c r="BM36" s="42">
        <v>0</v>
      </c>
      <c r="BN36" s="42">
        <v>0</v>
      </c>
      <c r="BO36" s="42">
        <v>0</v>
      </c>
      <c r="BP36" s="42">
        <v>0</v>
      </c>
      <c r="BQ36" s="42">
        <v>0</v>
      </c>
      <c r="BR36" s="42">
        <v>0</v>
      </c>
      <c r="BS36" s="42">
        <v>0</v>
      </c>
      <c r="BT36" s="42">
        <v>0</v>
      </c>
      <c r="BU36" s="42">
        <v>0</v>
      </c>
      <c r="BV36" s="45">
        <f t="shared" si="7"/>
        <v>0</v>
      </c>
      <c r="BW36" s="45"/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9.8299999999999993E-4</v>
      </c>
      <c r="CH36" s="45">
        <v>5.7470000000000004E-3</v>
      </c>
      <c r="CI36" s="45">
        <v>0</v>
      </c>
      <c r="CJ36" s="45">
        <f t="shared" si="8"/>
        <v>6.7299999999999999E-3</v>
      </c>
      <c r="CK36" s="45">
        <v>6.7299999999999999E-3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1.4635E-2</v>
      </c>
      <c r="CW36" s="45">
        <v>0</v>
      </c>
      <c r="CX36" s="45">
        <f t="shared" si="9"/>
        <v>1.4635E-2</v>
      </c>
      <c r="CY36" s="45">
        <v>1.4635E-2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f t="shared" si="10"/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3.7320000000000001E-3</v>
      </c>
      <c r="DZ36" s="45">
        <f t="shared" si="18"/>
        <v>3.7320000000000001E-3</v>
      </c>
      <c r="EA36" s="45">
        <v>3.7320000000000001E-3</v>
      </c>
      <c r="EB36" s="45">
        <v>0</v>
      </c>
      <c r="EC36" s="45">
        <v>0</v>
      </c>
      <c r="ED36" s="45">
        <v>0</v>
      </c>
      <c r="EE36" s="45">
        <v>3.3180000000000002E-3</v>
      </c>
      <c r="EF36" s="45">
        <v>0</v>
      </c>
      <c r="EG36" s="45">
        <v>0</v>
      </c>
      <c r="EH36" s="45">
        <v>0</v>
      </c>
      <c r="EI36" s="42">
        <v>0</v>
      </c>
      <c r="EJ36" s="45">
        <v>0</v>
      </c>
      <c r="EK36" s="45">
        <v>0</v>
      </c>
      <c r="EL36" s="45">
        <v>0</v>
      </c>
      <c r="EM36" s="45">
        <v>0</v>
      </c>
      <c r="EN36" s="45">
        <f t="shared" si="19"/>
        <v>3.3180000000000002E-3</v>
      </c>
      <c r="EO36" s="45">
        <v>3.3180000000000002E-3</v>
      </c>
      <c r="EP36" s="45">
        <v>0</v>
      </c>
      <c r="EQ36" s="45">
        <v>0</v>
      </c>
      <c r="ER36" s="45">
        <v>0</v>
      </c>
      <c r="ES36" s="45">
        <v>0</v>
      </c>
      <c r="ET36" s="45">
        <v>0</v>
      </c>
      <c r="EU36" s="45">
        <v>0</v>
      </c>
      <c r="EV36" s="42">
        <v>0</v>
      </c>
      <c r="EW36" s="42">
        <v>0</v>
      </c>
      <c r="EX36" s="42">
        <v>0</v>
      </c>
      <c r="EY36" s="45">
        <v>0</v>
      </c>
      <c r="EZ36" s="45"/>
      <c r="FA36" s="45">
        <v>0</v>
      </c>
      <c r="FB36" s="45">
        <f t="shared" si="20"/>
        <v>0</v>
      </c>
      <c r="FC36" s="45"/>
      <c r="FD36" s="45"/>
      <c r="FE36" s="45">
        <v>0</v>
      </c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>
        <f t="shared" si="21"/>
        <v>0</v>
      </c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>
        <f t="shared" si="11"/>
        <v>0</v>
      </c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>
        <f t="shared" si="12"/>
        <v>0</v>
      </c>
      <c r="GS36" s="45"/>
      <c r="GT36" s="45"/>
      <c r="GU36" s="45">
        <v>9.9999999999999995E-7</v>
      </c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>
        <f t="shared" si="13"/>
        <v>9.9999999999999995E-7</v>
      </c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283">
        <f t="shared" si="14"/>
        <v>9.9999999999999995E-7</v>
      </c>
      <c r="HT36" s="283">
        <f t="shared" si="15"/>
        <v>0</v>
      </c>
      <c r="HU36" s="280">
        <f t="shared" si="16"/>
        <v>-9.9999999999999995E-7</v>
      </c>
      <c r="HV36" s="280"/>
    </row>
    <row r="37" spans="1:230" s="12" customFormat="1" ht="20.25" customHeight="1">
      <c r="A37" s="42" t="s">
        <v>160</v>
      </c>
      <c r="B37" s="13" t="s">
        <v>91</v>
      </c>
      <c r="C37" s="42" t="s">
        <v>161</v>
      </c>
      <c r="D37" s="42">
        <v>10.738053568277927</v>
      </c>
      <c r="E37" s="42">
        <v>9.685370373551299</v>
      </c>
      <c r="F37" s="42">
        <v>0.68452370789010875</v>
      </c>
      <c r="G37" s="42">
        <v>1.2603272036015731</v>
      </c>
      <c r="H37" s="42">
        <v>1.0543736233715231</v>
      </c>
      <c r="I37" s="42">
        <v>2.7117731259355384</v>
      </c>
      <c r="J37" s="42">
        <v>2.2295604464402592</v>
      </c>
      <c r="K37" s="42">
        <v>4.8529362382684216</v>
      </c>
      <c r="L37" s="42">
        <v>2.9713575904519618</v>
      </c>
      <c r="M37" s="42">
        <v>4.2813942436298031</v>
      </c>
      <c r="N37" s="42">
        <v>2.9703388142355478</v>
      </c>
      <c r="O37" s="42">
        <v>4.2228131883142384</v>
      </c>
      <c r="P37" s="42">
        <v>3.6922114842829581</v>
      </c>
      <c r="Q37" s="42">
        <v>6.281785533377727</v>
      </c>
      <c r="R37" s="42">
        <v>37.211677793524224</v>
      </c>
      <c r="S37" s="42">
        <v>37.377257670695009</v>
      </c>
      <c r="T37" s="42">
        <v>2.1022404539530228</v>
      </c>
      <c r="U37" s="42">
        <v>1.6851227369223851</v>
      </c>
      <c r="V37" s="42">
        <v>7.6157563132822252</v>
      </c>
      <c r="W37" s="42">
        <v>2.2010887815094966</v>
      </c>
      <c r="X37" s="42">
        <v>3.6004334067535191</v>
      </c>
      <c r="Y37" s="42">
        <v>4.6681051900672168</v>
      </c>
      <c r="Z37" s="42">
        <v>4.47034308285098</v>
      </c>
      <c r="AA37" s="42">
        <v>6.1375106003949895</v>
      </c>
      <c r="AB37" s="42">
        <v>5.4357260345700933</v>
      </c>
      <c r="AC37" s="42">
        <v>9.6336759608653342</v>
      </c>
      <c r="AD37" s="42">
        <v>9.3468136208672679</v>
      </c>
      <c r="AE37" s="42">
        <v>8.3852752687804859</v>
      </c>
      <c r="AF37" s="42">
        <v>65.28209145081702</v>
      </c>
      <c r="AG37" s="42">
        <v>65.294934291779782</v>
      </c>
      <c r="AH37" s="42">
        <v>5.0663072492473011</v>
      </c>
      <c r="AI37" s="42">
        <v>5.5256358814121729</v>
      </c>
      <c r="AJ37" s="42">
        <v>3.8362473748015096</v>
      </c>
      <c r="AK37" s="42">
        <v>3.198396708043779</v>
      </c>
      <c r="AL37" s="42">
        <v>4.8924892288603941</v>
      </c>
      <c r="AM37" s="42">
        <v>4.8081712682341031</v>
      </c>
      <c r="AN37" s="42">
        <v>6.0849041838122719</v>
      </c>
      <c r="AO37" s="42">
        <v>3.8438070927314021</v>
      </c>
      <c r="AP37" s="42">
        <v>6.6147901833228051</v>
      </c>
      <c r="AQ37" s="42">
        <v>6.3925432979891967</v>
      </c>
      <c r="AR37" s="42">
        <v>4.7773646706620907</v>
      </c>
      <c r="AS37" s="42">
        <v>5.0552145406116082</v>
      </c>
      <c r="AT37" s="42">
        <v>60.095871679728631</v>
      </c>
      <c r="AU37" s="42">
        <v>59.63626131894663</v>
      </c>
      <c r="AV37" s="42">
        <f>AV38+AV41+AV45</f>
        <v>2.9319899999999999</v>
      </c>
      <c r="AW37" s="42">
        <f>AW38+AW41+AW45</f>
        <v>3.6413800000000003</v>
      </c>
      <c r="AX37" s="42">
        <f t="shared" ref="AX37:BE37" si="31">AX38+AX41+AX45</f>
        <v>3.8816629999999996</v>
      </c>
      <c r="AY37" s="42">
        <f t="shared" si="31"/>
        <v>5.8318510000000003</v>
      </c>
      <c r="AZ37" s="42">
        <f t="shared" si="31"/>
        <v>3.7367039999999996</v>
      </c>
      <c r="BA37" s="42">
        <f t="shared" si="31"/>
        <v>4.5598539999999996</v>
      </c>
      <c r="BB37" s="42">
        <f t="shared" si="31"/>
        <v>6.6547579999999993</v>
      </c>
      <c r="BC37" s="42">
        <f t="shared" si="31"/>
        <v>5.4929439999999996</v>
      </c>
      <c r="BD37" s="42">
        <f t="shared" si="31"/>
        <v>4.8557329999999999</v>
      </c>
      <c r="BE37" s="42">
        <f t="shared" si="31"/>
        <v>10.558204999999999</v>
      </c>
      <c r="BF37" s="42">
        <f>BF38+BF41+BF45</f>
        <v>6.1713360000000002</v>
      </c>
      <c r="BG37" s="42">
        <f>BG38+BG41+BG45</f>
        <v>9.3415660000000003</v>
      </c>
      <c r="BH37" s="45">
        <f t="shared" si="6"/>
        <v>67.657983999999999</v>
      </c>
      <c r="BI37" s="45">
        <f>BI38+BI41</f>
        <v>67.546252999999993</v>
      </c>
      <c r="BJ37" s="42">
        <f>BJ38+BJ41+BJ45</f>
        <v>4.4992690000000009</v>
      </c>
      <c r="BK37" s="42">
        <v>6.9977359999999997</v>
      </c>
      <c r="BL37" s="42">
        <v>5.0651270000000004</v>
      </c>
      <c r="BM37" s="42">
        <v>4.6213120000000005</v>
      </c>
      <c r="BN37" s="42">
        <v>7.3665019999999997</v>
      </c>
      <c r="BO37" s="42">
        <v>10.063513</v>
      </c>
      <c r="BP37" s="42">
        <v>7.1102230000000004</v>
      </c>
      <c r="BQ37" s="42">
        <v>8.0039490000000004</v>
      </c>
      <c r="BR37" s="42">
        <v>9.1218470000000007</v>
      </c>
      <c r="BS37" s="42">
        <v>7.129232</v>
      </c>
      <c r="BT37" s="42">
        <v>16.88646</v>
      </c>
      <c r="BU37" s="42">
        <v>15.054531000000001</v>
      </c>
      <c r="BV37" s="45">
        <f t="shared" si="7"/>
        <v>101.919701</v>
      </c>
      <c r="BW37" s="45">
        <f>BW38+BW41</f>
        <v>101.431422</v>
      </c>
      <c r="BX37" s="45">
        <v>1.2106269999999999</v>
      </c>
      <c r="BY37" s="45">
        <v>1.9690730000000001</v>
      </c>
      <c r="BZ37" s="45">
        <v>2.6700689999999998</v>
      </c>
      <c r="CA37" s="45">
        <v>2.8610030000000002</v>
      </c>
      <c r="CB37" s="45">
        <v>1.9082919999999999</v>
      </c>
      <c r="CC37" s="45">
        <v>0.84247099999999997</v>
      </c>
      <c r="CD37" s="45">
        <v>0.82222200000000001</v>
      </c>
      <c r="CE37" s="45">
        <v>1.147343</v>
      </c>
      <c r="CF37" s="45">
        <v>1.4303379999999999</v>
      </c>
      <c r="CG37" s="45">
        <v>1.3801129999999999</v>
      </c>
      <c r="CH37" s="45">
        <v>2.2094309999999999</v>
      </c>
      <c r="CI37" s="45">
        <v>3.1186319999999998</v>
      </c>
      <c r="CJ37" s="45">
        <f t="shared" si="8"/>
        <v>21.569614000000001</v>
      </c>
      <c r="CK37" s="45">
        <f>CK38+CK41</f>
        <v>21.700015999999998</v>
      </c>
      <c r="CL37" s="45">
        <v>0.74403799999999998</v>
      </c>
      <c r="CM37" s="45">
        <v>1.1793849999999999</v>
      </c>
      <c r="CN37" s="45">
        <v>1.6297280000000001</v>
      </c>
      <c r="CO37" s="45">
        <v>1.0982370000000001</v>
      </c>
      <c r="CP37" s="45">
        <v>0.97031100000000003</v>
      </c>
      <c r="CQ37" s="45">
        <v>1.2889619999999999</v>
      </c>
      <c r="CR37" s="45">
        <v>1.59154</v>
      </c>
      <c r="CS37" s="45">
        <v>5.1419239999999995</v>
      </c>
      <c r="CT37" s="45">
        <v>4.2986580000000005</v>
      </c>
      <c r="CU37" s="45">
        <v>3.286673</v>
      </c>
      <c r="CV37" s="45">
        <v>4.1575939999999996</v>
      </c>
      <c r="CW37" s="45">
        <v>9.1712719999999983</v>
      </c>
      <c r="CX37" s="45">
        <f t="shared" si="9"/>
        <v>34.558321999999997</v>
      </c>
      <c r="CY37" s="45">
        <f>CY38+CY41</f>
        <v>34.297752000000003</v>
      </c>
      <c r="CZ37" s="45">
        <v>2.7246540000000001</v>
      </c>
      <c r="DA37" s="45">
        <v>4.5691649999999999</v>
      </c>
      <c r="DB37" s="45">
        <v>4.2816419999999997</v>
      </c>
      <c r="DC37" s="45">
        <v>3.7335530000000001</v>
      </c>
      <c r="DD37" s="45">
        <v>4.7120540000000002</v>
      </c>
      <c r="DE37" s="45">
        <v>4.5030080000000003</v>
      </c>
      <c r="DF37" s="45">
        <v>4.3685720000000003</v>
      </c>
      <c r="DG37" s="45">
        <v>6.4525670000000002</v>
      </c>
      <c r="DH37" s="45">
        <v>4.7450999999999999</v>
      </c>
      <c r="DI37" s="45">
        <v>9.982507</v>
      </c>
      <c r="DJ37" s="45">
        <v>5.2536250000000004</v>
      </c>
      <c r="DK37" s="45">
        <v>13.117013999999999</v>
      </c>
      <c r="DL37" s="45">
        <f t="shared" si="10"/>
        <v>68.443460999999999</v>
      </c>
      <c r="DM37" s="45">
        <f>DM38+DM41</f>
        <v>68.490711000000005</v>
      </c>
      <c r="DN37" s="45">
        <v>3.4584380000000001</v>
      </c>
      <c r="DO37" s="45">
        <v>7.9571129999999997</v>
      </c>
      <c r="DP37" s="45">
        <v>4.6907040000000002</v>
      </c>
      <c r="DQ37" s="45">
        <v>9.6217839999999999</v>
      </c>
      <c r="DR37" s="45">
        <v>4.6554380000000002</v>
      </c>
      <c r="DS37" s="45">
        <v>2.820268</v>
      </c>
      <c r="DT37" s="45">
        <v>6.6677499999999998</v>
      </c>
      <c r="DU37" s="45">
        <v>4.3339129999999999</v>
      </c>
      <c r="DV37" s="45">
        <v>7.9900190000000002</v>
      </c>
      <c r="DW37" s="45">
        <v>5.6226089999999997</v>
      </c>
      <c r="DX37" s="45">
        <v>4.5793200000000001</v>
      </c>
      <c r="DY37" s="45">
        <v>8.6965380000000003</v>
      </c>
      <c r="DZ37" s="45">
        <f t="shared" si="18"/>
        <v>71.093894000000006</v>
      </c>
      <c r="EA37" s="45">
        <f>EA38+EA41</f>
        <v>71.224265000000003</v>
      </c>
      <c r="EB37" s="45">
        <v>5.0400090000000004</v>
      </c>
      <c r="EC37" s="45">
        <v>3.312592</v>
      </c>
      <c r="ED37" s="45">
        <v>4.0889369999999996</v>
      </c>
      <c r="EE37" s="45">
        <v>5.2161609999999996</v>
      </c>
      <c r="EF37" s="45">
        <v>4.1609239999999996</v>
      </c>
      <c r="EG37" s="45">
        <v>5.8299139999999996</v>
      </c>
      <c r="EH37" s="45">
        <v>6.098789</v>
      </c>
      <c r="EI37" s="42">
        <v>4.5465809999999998</v>
      </c>
      <c r="EJ37" s="45">
        <v>6.2944839999999997</v>
      </c>
      <c r="EK37" s="45">
        <v>5.9723790000000001</v>
      </c>
      <c r="EL37" s="45">
        <v>3.8689930000000001</v>
      </c>
      <c r="EM37" s="45">
        <v>6.5682539999999996</v>
      </c>
      <c r="EN37" s="45">
        <f t="shared" si="19"/>
        <v>60.998017000000004</v>
      </c>
      <c r="EO37" s="45">
        <f>EO38+EO41</f>
        <v>61.245843000000001</v>
      </c>
      <c r="EP37" s="45">
        <v>2.13944</v>
      </c>
      <c r="EQ37" s="45">
        <v>3.675379</v>
      </c>
      <c r="ER37" s="45">
        <v>3.9832299999999998</v>
      </c>
      <c r="ES37" s="45">
        <v>5.9191529999999997</v>
      </c>
      <c r="ET37" s="45">
        <v>5.0248160000000004</v>
      </c>
      <c r="EU37" s="45">
        <v>4.0423390000000001</v>
      </c>
      <c r="EV37" s="42">
        <v>4.6749890000000001</v>
      </c>
      <c r="EW37" s="42">
        <v>6.3173250000000003</v>
      </c>
      <c r="EX37" s="42">
        <v>4.293247</v>
      </c>
      <c r="EY37" s="45">
        <v>5.5571200000000003</v>
      </c>
      <c r="EZ37" s="45">
        <v>5.2625580000000003</v>
      </c>
      <c r="FA37" s="45">
        <v>7.6185210000000003</v>
      </c>
      <c r="FB37" s="45">
        <f t="shared" si="20"/>
        <v>58.508116999999999</v>
      </c>
      <c r="FC37" s="45">
        <f>FC38+FC41</f>
        <v>58.552130999999996</v>
      </c>
      <c r="FD37" s="45">
        <v>1.816778</v>
      </c>
      <c r="FE37" s="45">
        <v>3.1025640000000001</v>
      </c>
      <c r="FF37" s="45">
        <v>4.8153670000000002</v>
      </c>
      <c r="FG37" s="45">
        <v>3.0640619999999998</v>
      </c>
      <c r="FH37" s="45">
        <v>4.3528979999999997</v>
      </c>
      <c r="FI37" s="45">
        <v>3.567078</v>
      </c>
      <c r="FJ37" s="45">
        <v>3.9257520000000001</v>
      </c>
      <c r="FK37" s="45">
        <v>4.2223699999999997</v>
      </c>
      <c r="FL37" s="45">
        <v>3.8320379999999998</v>
      </c>
      <c r="FM37" s="45">
        <v>4.7120170000000003</v>
      </c>
      <c r="FN37" s="45">
        <v>10.587759999999999</v>
      </c>
      <c r="FO37" s="45">
        <v>10.085008999999999</v>
      </c>
      <c r="FP37" s="45">
        <f t="shared" si="21"/>
        <v>58.083692999999997</v>
      </c>
      <c r="FQ37" s="45">
        <f>FQ38+FQ41</f>
        <v>58.087093000000003</v>
      </c>
      <c r="FR37" s="45">
        <v>3.247792</v>
      </c>
      <c r="FS37" s="45">
        <v>4.2334199999999997</v>
      </c>
      <c r="FT37" s="45">
        <v>4.4254199999999999</v>
      </c>
      <c r="FU37" s="45">
        <v>4.9108479999999997</v>
      </c>
      <c r="FV37" s="45">
        <v>3.4694639999999999</v>
      </c>
      <c r="FW37" s="45">
        <v>4.0140840000000004</v>
      </c>
      <c r="FX37" s="45">
        <v>4.0917589999999997</v>
      </c>
      <c r="FY37" s="45">
        <v>4.2085480000000004</v>
      </c>
      <c r="FZ37" s="45">
        <v>3.8137629999999998</v>
      </c>
      <c r="GA37" s="45">
        <v>5.8419460000000001</v>
      </c>
      <c r="GB37" s="45">
        <v>6.6205189999999998</v>
      </c>
      <c r="GC37" s="45">
        <v>13.352055999999999</v>
      </c>
      <c r="GD37" s="45">
        <f t="shared" si="11"/>
        <v>62.229618999999992</v>
      </c>
      <c r="GE37" s="45">
        <f>GE38+GE41</f>
        <v>62.293469000000002</v>
      </c>
      <c r="GF37" s="45">
        <v>2.3616190000000001</v>
      </c>
      <c r="GG37" s="45">
        <v>2.3896269999999999</v>
      </c>
      <c r="GH37" s="45">
        <v>3.314943</v>
      </c>
      <c r="GI37" s="45">
        <v>3.529709</v>
      </c>
      <c r="GJ37" s="45">
        <v>3.3591280000000001</v>
      </c>
      <c r="GK37" s="45">
        <v>2.7400500000000001</v>
      </c>
      <c r="GL37" s="45">
        <v>3.7937470000000002</v>
      </c>
      <c r="GM37" s="45">
        <v>3.2499229999999999</v>
      </c>
      <c r="GN37" s="45">
        <v>3.6098490000000001</v>
      </c>
      <c r="GO37" s="45">
        <v>4.1935599999999997</v>
      </c>
      <c r="GP37" s="45">
        <v>3.6180979999999998</v>
      </c>
      <c r="GQ37" s="45">
        <v>6.2019909999999996</v>
      </c>
      <c r="GR37" s="45">
        <f t="shared" si="12"/>
        <v>42.362243999999997</v>
      </c>
      <c r="GS37" s="45">
        <f>GS38+GS41</f>
        <v>42.480545999999997</v>
      </c>
      <c r="GT37" s="45">
        <v>2.1050430000000002</v>
      </c>
      <c r="GU37" s="45">
        <v>3.088651</v>
      </c>
      <c r="GV37" s="45">
        <v>2.230934</v>
      </c>
      <c r="GW37" s="45">
        <v>3.7666900000000001</v>
      </c>
      <c r="GX37" s="45">
        <v>4.0946740000000004</v>
      </c>
      <c r="GY37" s="45">
        <v>4.6447060000000002</v>
      </c>
      <c r="GZ37" s="45">
        <v>3.6128149999999999</v>
      </c>
      <c r="HA37" s="45">
        <v>4.8072569999999999</v>
      </c>
      <c r="HB37" s="45">
        <v>7.2420790000000004</v>
      </c>
      <c r="HC37" s="45">
        <v>8.5845950000000002</v>
      </c>
      <c r="HD37" s="45">
        <v>4.1818600000000004</v>
      </c>
      <c r="HE37" s="45">
        <v>12.681953999999999</v>
      </c>
      <c r="HF37" s="45">
        <f t="shared" si="13"/>
        <v>61.041257999999999</v>
      </c>
      <c r="HG37" s="45">
        <v>5.627853</v>
      </c>
      <c r="HH37" s="45">
        <v>6.2593880000000004</v>
      </c>
      <c r="HI37" s="45">
        <v>6.4695270000000002</v>
      </c>
      <c r="HJ37" s="45">
        <v>9.9384879999999995</v>
      </c>
      <c r="HK37" s="45"/>
      <c r="HL37" s="45"/>
      <c r="HM37" s="45"/>
      <c r="HN37" s="45"/>
      <c r="HO37" s="45"/>
      <c r="HP37" s="45"/>
      <c r="HQ37" s="45"/>
      <c r="HR37" s="45"/>
      <c r="HS37" s="283">
        <f t="shared" si="14"/>
        <v>11.191318000000001</v>
      </c>
      <c r="HT37" s="283">
        <f t="shared" si="15"/>
        <v>28.295255999999998</v>
      </c>
      <c r="HU37" s="280">
        <f t="shared" si="16"/>
        <v>17.103937999999999</v>
      </c>
      <c r="HV37" s="280">
        <f t="shared" si="17"/>
        <v>152.83220439272657</v>
      </c>
    </row>
    <row r="38" spans="1:230" s="12" customFormat="1" ht="20.25" customHeight="1">
      <c r="A38" s="314" t="s">
        <v>216</v>
      </c>
      <c r="B38" s="13" t="s">
        <v>163</v>
      </c>
      <c r="C38" s="46" t="s">
        <v>164</v>
      </c>
      <c r="D38" s="42">
        <v>10.738053568277927</v>
      </c>
      <c r="E38" s="42">
        <v>9.685370373551299</v>
      </c>
      <c r="F38" s="42">
        <v>0.68452370789010875</v>
      </c>
      <c r="G38" s="42">
        <v>1.2603272036015731</v>
      </c>
      <c r="H38" s="42">
        <v>1.0543736233715231</v>
      </c>
      <c r="I38" s="42">
        <v>2.7117731259355384</v>
      </c>
      <c r="J38" s="42">
        <v>2.2295604464402592</v>
      </c>
      <c r="K38" s="42">
        <v>4.8529362382684216</v>
      </c>
      <c r="L38" s="42">
        <v>2.9713575904519618</v>
      </c>
      <c r="M38" s="42">
        <v>4.2813942436298031</v>
      </c>
      <c r="N38" s="42">
        <v>2.9703388142355478</v>
      </c>
      <c r="O38" s="42">
        <v>4.2228131883142384</v>
      </c>
      <c r="P38" s="42">
        <v>3.6922114842829581</v>
      </c>
      <c r="Q38" s="42">
        <v>6.2800681271022931</v>
      </c>
      <c r="R38" s="42">
        <v>37.211677793524224</v>
      </c>
      <c r="S38" s="42">
        <v>37.37554026441957</v>
      </c>
      <c r="T38" s="42">
        <v>2.1022404539530228</v>
      </c>
      <c r="U38" s="42">
        <v>1.6851227369223851</v>
      </c>
      <c r="V38" s="42">
        <v>3.0700750138018567</v>
      </c>
      <c r="W38" s="42">
        <v>2.2003531567833994</v>
      </c>
      <c r="X38" s="42">
        <v>3.6004334067535191</v>
      </c>
      <c r="Y38" s="42">
        <v>4.6681051900672168</v>
      </c>
      <c r="Z38" s="42">
        <v>4.47034308285098</v>
      </c>
      <c r="AA38" s="42">
        <v>6.1375106003949895</v>
      </c>
      <c r="AB38" s="42">
        <v>5.4357260345700933</v>
      </c>
      <c r="AC38" s="42">
        <v>8.6113155303612388</v>
      </c>
      <c r="AD38" s="42">
        <v>9.120194250459587</v>
      </c>
      <c r="AE38" s="42">
        <v>8.5123804076243168</v>
      </c>
      <c r="AF38" s="42">
        <v>59.613799864542614</v>
      </c>
      <c r="AG38" s="42">
        <v>59.626642705505397</v>
      </c>
      <c r="AH38" s="42">
        <v>3.7069310931639552</v>
      </c>
      <c r="AI38" s="42">
        <v>4.2720061354232479</v>
      </c>
      <c r="AJ38" s="42">
        <v>3.6421377795231678</v>
      </c>
      <c r="AK38" s="42">
        <v>2.9174620520088101</v>
      </c>
      <c r="AL38" s="42">
        <v>4.4675812886665414</v>
      </c>
      <c r="AM38" s="42">
        <v>4.3313213925930985</v>
      </c>
      <c r="AN38" s="42">
        <v>4.8550378199327264</v>
      </c>
      <c r="AO38" s="42">
        <v>3.2765450964991665</v>
      </c>
      <c r="AP38" s="42">
        <v>5.5225823985065547</v>
      </c>
      <c r="AQ38" s="42">
        <v>5.786675943790871</v>
      </c>
      <c r="AR38" s="42">
        <v>4.6600972675169752</v>
      </c>
      <c r="AS38" s="42">
        <v>5.0220957763473182</v>
      </c>
      <c r="AT38" s="42">
        <v>52.460474043972432</v>
      </c>
      <c r="AU38" s="42">
        <v>52.476149822711427</v>
      </c>
      <c r="AV38" s="42">
        <f>AV39+AV40</f>
        <v>2.2607219999999999</v>
      </c>
      <c r="AW38" s="42">
        <f>AW39+AW40</f>
        <v>3.3595650000000004</v>
      </c>
      <c r="AX38" s="42">
        <f t="shared" ref="AX38:BE38" si="32">AX39+AX40</f>
        <v>3.6619959999999998</v>
      </c>
      <c r="AY38" s="42">
        <f t="shared" si="32"/>
        <v>5.1123050000000001</v>
      </c>
      <c r="AZ38" s="42">
        <f t="shared" si="32"/>
        <v>3.7238749999999996</v>
      </c>
      <c r="BA38" s="42">
        <f t="shared" si="32"/>
        <v>4.5598539999999996</v>
      </c>
      <c r="BB38" s="42">
        <f t="shared" si="32"/>
        <v>5.7286209999999995</v>
      </c>
      <c r="BC38" s="42">
        <f t="shared" si="32"/>
        <v>5.2379899999999999</v>
      </c>
      <c r="BD38" s="42">
        <f t="shared" si="32"/>
        <v>4.6812129999999996</v>
      </c>
      <c r="BE38" s="42">
        <f t="shared" si="32"/>
        <v>10.229033999999999</v>
      </c>
      <c r="BF38" s="42">
        <f>BF39+BF40</f>
        <v>5.8842860000000003</v>
      </c>
      <c r="BG38" s="42">
        <f>BG39+BG40</f>
        <v>7.3907110000000005</v>
      </c>
      <c r="BH38" s="45">
        <f t="shared" si="6"/>
        <v>61.830172000000005</v>
      </c>
      <c r="BI38" s="45">
        <f>BI39+BI40</f>
        <v>61.864865999999999</v>
      </c>
      <c r="BJ38" s="42">
        <f>BJ39+BJ40</f>
        <v>4.3479660000000004</v>
      </c>
      <c r="BK38" s="42">
        <v>6.243163</v>
      </c>
      <c r="BL38" s="42">
        <v>4.468737</v>
      </c>
      <c r="BM38" s="42">
        <v>4.4449300000000003</v>
      </c>
      <c r="BN38" s="42">
        <v>6.788011</v>
      </c>
      <c r="BO38" s="42">
        <v>8.410406</v>
      </c>
      <c r="BP38" s="42">
        <v>6.682188</v>
      </c>
      <c r="BQ38" s="42">
        <v>7.6293249999999997</v>
      </c>
      <c r="BR38" s="42">
        <v>7.3361970000000003</v>
      </c>
      <c r="BS38" s="42">
        <v>6.8452659999999996</v>
      </c>
      <c r="BT38" s="42">
        <v>16.439032999999998</v>
      </c>
      <c r="BU38" s="42">
        <v>14.710441000000001</v>
      </c>
      <c r="BV38" s="45">
        <f t="shared" si="7"/>
        <v>94.345663000000002</v>
      </c>
      <c r="BW38" s="45">
        <f>BW39+BW40</f>
        <v>94.249816999999993</v>
      </c>
      <c r="BX38" s="45">
        <v>1.142231</v>
      </c>
      <c r="BY38" s="45">
        <v>1.9690730000000001</v>
      </c>
      <c r="BZ38" s="45">
        <v>2.1523309999999998</v>
      </c>
      <c r="CA38" s="45">
        <v>1.005838</v>
      </c>
      <c r="CB38" s="45">
        <v>0.93550100000000003</v>
      </c>
      <c r="CC38" s="45">
        <v>0.84247099999999997</v>
      </c>
      <c r="CD38" s="45">
        <v>0.947986</v>
      </c>
      <c r="CE38" s="45">
        <v>1.147343</v>
      </c>
      <c r="CF38" s="45">
        <v>1.4302199999999998</v>
      </c>
      <c r="CG38" s="45">
        <v>1.3801129999999999</v>
      </c>
      <c r="CH38" s="45">
        <v>2.2094309999999999</v>
      </c>
      <c r="CI38" s="45">
        <v>3.1186319999999998</v>
      </c>
      <c r="CJ38" s="45">
        <f t="shared" si="8"/>
        <v>18.281169999999999</v>
      </c>
      <c r="CK38" s="45">
        <f>CK39+CK40</f>
        <v>18.296932999999999</v>
      </c>
      <c r="CL38" s="45">
        <v>0.74403799999999998</v>
      </c>
      <c r="CM38" s="45">
        <v>1.1793849999999999</v>
      </c>
      <c r="CN38" s="45">
        <v>1.6265700000000001</v>
      </c>
      <c r="CO38" s="45">
        <v>1.0848150000000001</v>
      </c>
      <c r="CP38" s="45">
        <v>0.97031100000000003</v>
      </c>
      <c r="CQ38" s="45">
        <v>1.2889619999999999</v>
      </c>
      <c r="CR38" s="45">
        <v>1.59154</v>
      </c>
      <c r="CS38" s="45">
        <v>5.1419239999999995</v>
      </c>
      <c r="CT38" s="45">
        <v>4.2376360000000002</v>
      </c>
      <c r="CU38" s="45">
        <v>3.286673</v>
      </c>
      <c r="CV38" s="45">
        <v>4.1575939999999996</v>
      </c>
      <c r="CW38" s="45">
        <v>9.1712719999999983</v>
      </c>
      <c r="CX38" s="45">
        <f t="shared" si="9"/>
        <v>34.480719999999998</v>
      </c>
      <c r="CY38" s="45">
        <f>CY39+CY40</f>
        <v>34.220150000000004</v>
      </c>
      <c r="CZ38" s="45">
        <v>2.7246540000000001</v>
      </c>
      <c r="DA38" s="45">
        <v>4.5691649999999999</v>
      </c>
      <c r="DB38" s="45">
        <v>4.2816419999999997</v>
      </c>
      <c r="DC38" s="45">
        <v>3.7335530000000001</v>
      </c>
      <c r="DD38" s="45">
        <v>4.7120540000000002</v>
      </c>
      <c r="DE38" s="45">
        <v>4.5030080000000003</v>
      </c>
      <c r="DF38" s="45">
        <v>4.3680209999999997</v>
      </c>
      <c r="DG38" s="45">
        <v>6.4525670000000002</v>
      </c>
      <c r="DH38" s="45">
        <v>4.7449690000000002</v>
      </c>
      <c r="DI38" s="45">
        <v>9.9820390000000003</v>
      </c>
      <c r="DJ38" s="45">
        <v>5.2536250000000004</v>
      </c>
      <c r="DK38" s="45">
        <v>13.117013999999999</v>
      </c>
      <c r="DL38" s="45">
        <f t="shared" si="10"/>
        <v>68.442311000000004</v>
      </c>
      <c r="DM38" s="45">
        <f>DM39+DM40</f>
        <v>68.489561000000009</v>
      </c>
      <c r="DN38" s="45">
        <v>3.4584380000000001</v>
      </c>
      <c r="DO38" s="45">
        <v>7.9571129999999997</v>
      </c>
      <c r="DP38" s="45">
        <v>4.6907040000000002</v>
      </c>
      <c r="DQ38" s="45">
        <v>9.6217839999999999</v>
      </c>
      <c r="DR38" s="45">
        <v>4.6554380000000002</v>
      </c>
      <c r="DS38" s="45">
        <v>2.820268</v>
      </c>
      <c r="DT38" s="45">
        <v>6.6677499999999998</v>
      </c>
      <c r="DU38" s="45">
        <v>4.3339129999999999</v>
      </c>
      <c r="DV38" s="45">
        <v>7.9900190000000002</v>
      </c>
      <c r="DW38" s="45">
        <v>5.6226089999999997</v>
      </c>
      <c r="DX38" s="45">
        <v>4.5793200000000001</v>
      </c>
      <c r="DY38" s="45">
        <v>8.6965380000000003</v>
      </c>
      <c r="DZ38" s="45">
        <f t="shared" si="18"/>
        <v>71.093894000000006</v>
      </c>
      <c r="EA38" s="45">
        <f>71.09383+0.130435</f>
        <v>71.224265000000003</v>
      </c>
      <c r="EB38" s="45">
        <v>5.0267369999999998</v>
      </c>
      <c r="EC38" s="45">
        <v>3.312592</v>
      </c>
      <c r="ED38" s="45">
        <v>4.0790009999999999</v>
      </c>
      <c r="EE38" s="45">
        <v>5.2012349999999996</v>
      </c>
      <c r="EF38" s="45">
        <v>4.1609239999999996</v>
      </c>
      <c r="EG38" s="45">
        <v>5.8299139999999996</v>
      </c>
      <c r="EH38" s="45">
        <v>6.098789</v>
      </c>
      <c r="EI38" s="42">
        <v>4.5465809999999998</v>
      </c>
      <c r="EJ38" s="45">
        <v>6.2944839999999997</v>
      </c>
      <c r="EK38" s="45">
        <v>5.9972399999999997</v>
      </c>
      <c r="EL38" s="45">
        <v>3.8689939999999998</v>
      </c>
      <c r="EM38" s="45">
        <v>6.5682539999999996</v>
      </c>
      <c r="EN38" s="45">
        <f t="shared" si="19"/>
        <v>60.98474499999999</v>
      </c>
      <c r="EO38" s="45">
        <v>61.232571</v>
      </c>
      <c r="EP38" s="45">
        <v>2.13944</v>
      </c>
      <c r="EQ38" s="45">
        <v>3.675379</v>
      </c>
      <c r="ER38" s="45">
        <v>3.9832299999999998</v>
      </c>
      <c r="ES38" s="45">
        <v>5.9191529999999997</v>
      </c>
      <c r="ET38" s="45">
        <v>5.0248160000000004</v>
      </c>
      <c r="EU38" s="45">
        <v>4.0423390000000001</v>
      </c>
      <c r="EV38" s="42">
        <v>4.6749890000000001</v>
      </c>
      <c r="EW38" s="42">
        <v>6.3173250000000003</v>
      </c>
      <c r="EX38" s="42">
        <v>4.293247</v>
      </c>
      <c r="EY38" s="45">
        <v>5.5571200000000003</v>
      </c>
      <c r="EZ38" s="45">
        <v>5.2625580000000003</v>
      </c>
      <c r="FA38" s="45">
        <v>7.6147600000000004</v>
      </c>
      <c r="FB38" s="45">
        <f t="shared" si="20"/>
        <v>58.504356000000001</v>
      </c>
      <c r="FC38" s="45">
        <f>58.480452+0.067918</f>
        <v>58.548369999999998</v>
      </c>
      <c r="FD38" s="45">
        <v>1.816778</v>
      </c>
      <c r="FE38" s="45">
        <v>2.8956900000000001</v>
      </c>
      <c r="FF38" s="45">
        <v>4.8153670000000002</v>
      </c>
      <c r="FG38" s="45">
        <v>3.0477970000000001</v>
      </c>
      <c r="FH38" s="45">
        <v>4.3528979999999997</v>
      </c>
      <c r="FI38" s="45">
        <v>3.567078</v>
      </c>
      <c r="FJ38" s="45">
        <v>3.925751</v>
      </c>
      <c r="FK38" s="45">
        <v>4.2223699999999997</v>
      </c>
      <c r="FL38" s="45">
        <v>3.8320379999999998</v>
      </c>
      <c r="FM38" s="45">
        <v>4.7120170000000003</v>
      </c>
      <c r="FN38" s="45">
        <v>10.587759999999999</v>
      </c>
      <c r="FO38" s="45">
        <v>10.037124</v>
      </c>
      <c r="FP38" s="45">
        <f t="shared" si="21"/>
        <v>57.812667999999995</v>
      </c>
      <c r="FQ38" s="45">
        <f>57.783506+0.032562</f>
        <v>57.816068000000001</v>
      </c>
      <c r="FR38" s="45">
        <v>3.247792</v>
      </c>
      <c r="FS38" s="45">
        <v>4.227627</v>
      </c>
      <c r="FT38" s="45">
        <v>4.4254199999999999</v>
      </c>
      <c r="FU38" s="45">
        <v>4.9108479999999997</v>
      </c>
      <c r="FV38" s="45">
        <v>3.4694639999999999</v>
      </c>
      <c r="FW38" s="45">
        <v>4.0140840000000004</v>
      </c>
      <c r="FX38" s="45">
        <v>4.0917589999999997</v>
      </c>
      <c r="FY38" s="45">
        <v>4.2085480000000004</v>
      </c>
      <c r="FZ38" s="45">
        <v>3.8137629999999998</v>
      </c>
      <c r="GA38" s="45">
        <v>5.8419460000000001</v>
      </c>
      <c r="GB38" s="45">
        <v>6.6205189999999998</v>
      </c>
      <c r="GC38" s="45">
        <v>13.352055999999999</v>
      </c>
      <c r="GD38" s="45">
        <f t="shared" si="11"/>
        <v>62.223825999999995</v>
      </c>
      <c r="GE38" s="45">
        <f>62.241908+0.045768</f>
        <v>62.287676000000005</v>
      </c>
      <c r="GF38" s="45">
        <v>2.3616190000000001</v>
      </c>
      <c r="GG38" s="45">
        <v>2.3896269999999999</v>
      </c>
      <c r="GH38" s="45">
        <v>3.314943</v>
      </c>
      <c r="GI38" s="45">
        <v>3.529709</v>
      </c>
      <c r="GJ38" s="45">
        <v>3.3032789999999999</v>
      </c>
      <c r="GK38" s="45">
        <v>2.7400500000000001</v>
      </c>
      <c r="GL38" s="45">
        <v>3.7937470000000002</v>
      </c>
      <c r="GM38" s="45">
        <v>3.2499229999999999</v>
      </c>
      <c r="GN38" s="45">
        <v>3.5544229999999999</v>
      </c>
      <c r="GO38" s="45">
        <v>4.1929949999999998</v>
      </c>
      <c r="GP38" s="45">
        <v>3.6180979999999998</v>
      </c>
      <c r="GQ38" s="45">
        <v>6.1705629999999996</v>
      </c>
      <c r="GR38" s="45">
        <f t="shared" si="12"/>
        <v>42.218975999999998</v>
      </c>
      <c r="GS38" s="45">
        <f>42.227945+0.109333</f>
        <v>42.337277999999998</v>
      </c>
      <c r="GT38" s="45">
        <v>2.1050430000000002</v>
      </c>
      <c r="GU38" s="45">
        <v>3.088651</v>
      </c>
      <c r="GV38" s="45">
        <v>2.230934</v>
      </c>
      <c r="GW38" s="45">
        <v>3.766267</v>
      </c>
      <c r="GX38" s="45">
        <v>4.0946740000000004</v>
      </c>
      <c r="GY38" s="45">
        <v>4.6447060000000002</v>
      </c>
      <c r="GZ38" s="45">
        <v>3.5700259999999999</v>
      </c>
      <c r="HA38" s="45">
        <v>4.4909629999999998</v>
      </c>
      <c r="HB38" s="45">
        <v>7.2420790000000004</v>
      </c>
      <c r="HC38" s="45">
        <v>8.5345949999999995</v>
      </c>
      <c r="HD38" s="45">
        <v>4.1818600000000004</v>
      </c>
      <c r="HE38" s="45">
        <v>12.620907000000001</v>
      </c>
      <c r="HF38" s="45">
        <f t="shared" si="13"/>
        <v>60.570705000000004</v>
      </c>
      <c r="HG38" s="45">
        <v>5.627853</v>
      </c>
      <c r="HH38" s="45">
        <v>6.2593880000000004</v>
      </c>
      <c r="HI38" s="45">
        <v>6.4695270000000002</v>
      </c>
      <c r="HJ38" s="45">
        <v>9.9053710000000006</v>
      </c>
      <c r="HK38" s="45"/>
      <c r="HL38" s="45"/>
      <c r="HM38" s="45"/>
      <c r="HN38" s="45"/>
      <c r="HO38" s="45"/>
      <c r="HP38" s="45"/>
      <c r="HQ38" s="45"/>
      <c r="HR38" s="45"/>
      <c r="HS38" s="283">
        <f t="shared" si="14"/>
        <v>11.190894999999999</v>
      </c>
      <c r="HT38" s="283">
        <f t="shared" si="15"/>
        <v>28.262139000000001</v>
      </c>
      <c r="HU38" s="280">
        <f t="shared" si="16"/>
        <v>17.071244</v>
      </c>
      <c r="HV38" s="280">
        <f t="shared" si="17"/>
        <v>152.5458330187175</v>
      </c>
    </row>
    <row r="39" spans="1:230" s="12" customFormat="1" ht="21.75" customHeight="1">
      <c r="A39" s="314" t="s">
        <v>165</v>
      </c>
      <c r="B39" s="13">
        <v>5100</v>
      </c>
      <c r="C39" s="47" t="s">
        <v>166</v>
      </c>
      <c r="D39" s="42">
        <v>0.50646268376389436</v>
      </c>
      <c r="E39" s="42">
        <v>0.62485700138303146</v>
      </c>
      <c r="F39" s="42">
        <v>5.7262053147107875E-2</v>
      </c>
      <c r="G39" s="42">
        <v>4.6764104928258804E-2</v>
      </c>
      <c r="H39" s="42">
        <v>0.10555859101541824</v>
      </c>
      <c r="I39" s="42">
        <v>0.15821907672693952</v>
      </c>
      <c r="J39" s="42">
        <v>0.14132105110386398</v>
      </c>
      <c r="K39" s="42">
        <v>0.18618419929311728</v>
      </c>
      <c r="L39" s="42">
        <v>0.10239412410857081</v>
      </c>
      <c r="M39" s="42">
        <v>0.11068235240550708</v>
      </c>
      <c r="N39" s="42">
        <v>8.4194170778766203E-2</v>
      </c>
      <c r="O39" s="42">
        <v>-2.0112293043295145E-2</v>
      </c>
      <c r="P39" s="42">
        <v>9.8175309190044455E-2</v>
      </c>
      <c r="Q39" s="42">
        <v>0.35547037296315898</v>
      </c>
      <c r="R39" s="42">
        <v>1.426113112617458</v>
      </c>
      <c r="S39" s="42">
        <v>1.4202010802442788</v>
      </c>
      <c r="T39" s="42">
        <v>4.8925447208610084E-2</v>
      </c>
      <c r="U39" s="42">
        <v>3.9434892231689063E-2</v>
      </c>
      <c r="V39" s="42">
        <v>0.16552125485910724</v>
      </c>
      <c r="W39" s="42">
        <v>1.5734116481977905E-2</v>
      </c>
      <c r="X39" s="42">
        <v>3.6170824298097336E-2</v>
      </c>
      <c r="Y39" s="42">
        <v>4.1889346105030707E-2</v>
      </c>
      <c r="Z39" s="42">
        <v>2.4235775550509105E-2</v>
      </c>
      <c r="AA39" s="42">
        <v>0.11149054359394653</v>
      </c>
      <c r="AB39" s="42">
        <v>9.374306349992316E-2</v>
      </c>
      <c r="AC39" s="42">
        <v>0.16347374232360659</v>
      </c>
      <c r="AD39" s="42">
        <v>8.7173664350231356E-2</v>
      </c>
      <c r="AE39" s="42">
        <v>8.3010341432319681E-2</v>
      </c>
      <c r="AF39" s="42">
        <v>0.91080301193504865</v>
      </c>
      <c r="AG39" s="42">
        <v>0.9105966955225071</v>
      </c>
      <c r="AH39" s="42">
        <v>1.6898025623075564E-2</v>
      </c>
      <c r="AI39" s="42">
        <v>1.9621402268626815E-2</v>
      </c>
      <c r="AJ39" s="42">
        <v>3.3918418221865559E-2</v>
      </c>
      <c r="AK39" s="42">
        <v>4.0426633883700151E-2</v>
      </c>
      <c r="AL39" s="42">
        <v>4.1463907433651491E-2</v>
      </c>
      <c r="AM39" s="42">
        <v>6.5324044826153518E-2</v>
      </c>
      <c r="AN39" s="42">
        <v>4.3519957200015932E-2</v>
      </c>
      <c r="AO39" s="42">
        <v>0.19233954274591492</v>
      </c>
      <c r="AP39" s="42">
        <v>4.315997063192583E-2</v>
      </c>
      <c r="AQ39" s="42">
        <v>5.7582199304500266E-2</v>
      </c>
      <c r="AR39" s="42">
        <v>4.6916352211996519E-2</v>
      </c>
      <c r="AS39" s="42">
        <v>0.21138895054666737</v>
      </c>
      <c r="AT39" s="42">
        <v>0.81255940489809397</v>
      </c>
      <c r="AU39" s="42">
        <v>0.85668123687409403</v>
      </c>
      <c r="AV39" s="42">
        <v>3.8832999999999999E-2</v>
      </c>
      <c r="AW39" s="42">
        <v>2.2478999999999999E-2</v>
      </c>
      <c r="AX39" s="42">
        <v>7.9167000000000001E-2</v>
      </c>
      <c r="AY39" s="42">
        <v>4.4609000000000003E-2</v>
      </c>
      <c r="AZ39" s="42">
        <v>5.0521000000000003E-2</v>
      </c>
      <c r="BA39" s="42">
        <v>1.4855E-2</v>
      </c>
      <c r="BB39" s="42">
        <v>7.7646000000000007E-2</v>
      </c>
      <c r="BC39" s="42">
        <v>5.0090999999999997E-2</v>
      </c>
      <c r="BD39" s="42">
        <v>2.0306000000000001E-2</v>
      </c>
      <c r="BE39" s="42">
        <v>9.5277000000000001E-2</v>
      </c>
      <c r="BF39" s="42">
        <v>0.118754</v>
      </c>
      <c r="BG39" s="42">
        <v>0.27357500000000001</v>
      </c>
      <c r="BH39" s="45">
        <f t="shared" si="6"/>
        <v>0.88611300000000004</v>
      </c>
      <c r="BI39" s="45">
        <v>0.83347800000000005</v>
      </c>
      <c r="BJ39" s="42">
        <v>6.4419000000000004E-2</v>
      </c>
      <c r="BK39" s="42">
        <v>4.5608999999999997E-2</v>
      </c>
      <c r="BL39" s="42">
        <v>0.10879800000000001</v>
      </c>
      <c r="BM39" s="42">
        <v>0.12653300000000001</v>
      </c>
      <c r="BN39" s="42">
        <v>0.28096199999999999</v>
      </c>
      <c r="BO39" s="42">
        <v>0.25112000000000001</v>
      </c>
      <c r="BP39" s="42">
        <v>0.20954100000000001</v>
      </c>
      <c r="BQ39" s="42">
        <v>0.107194</v>
      </c>
      <c r="BR39" s="42">
        <v>0.32407399999999997</v>
      </c>
      <c r="BS39" s="42">
        <v>8.0347000000000002E-2</v>
      </c>
      <c r="BT39" s="42">
        <v>0.217473</v>
      </c>
      <c r="BU39" s="42">
        <v>0.69399299999999997</v>
      </c>
      <c r="BV39" s="45">
        <f t="shared" si="7"/>
        <v>2.5100630000000002</v>
      </c>
      <c r="BW39" s="45">
        <f>2.503538+0.009</f>
        <v>2.5125379999999997</v>
      </c>
      <c r="BX39" s="45">
        <v>5.5347E-2</v>
      </c>
      <c r="BY39" s="45">
        <v>6.1037000000000001E-2</v>
      </c>
      <c r="BZ39" s="45">
        <v>1.3356E-2</v>
      </c>
      <c r="CA39" s="45">
        <v>0.107755</v>
      </c>
      <c r="CB39" s="45">
        <v>5.5083E-2</v>
      </c>
      <c r="CC39" s="45">
        <v>9.6491999999999994E-2</v>
      </c>
      <c r="CD39" s="45">
        <v>6.1476999999999997E-2</v>
      </c>
      <c r="CE39" s="45">
        <v>5.6508000000000003E-2</v>
      </c>
      <c r="CF39" s="45">
        <v>3.3960999999999998E-2</v>
      </c>
      <c r="CG39" s="45">
        <v>4.4128000000000001E-2</v>
      </c>
      <c r="CH39" s="45">
        <v>9.6893999999999994E-2</v>
      </c>
      <c r="CI39" s="45">
        <v>0.33498299999999998</v>
      </c>
      <c r="CJ39" s="45">
        <f t="shared" si="8"/>
        <v>1.0170210000000002</v>
      </c>
      <c r="CK39" s="45">
        <v>1.054154</v>
      </c>
      <c r="CL39" s="45">
        <v>8.4650000000000003E-3</v>
      </c>
      <c r="CM39" s="45">
        <v>8.8694999999999996E-2</v>
      </c>
      <c r="CN39" s="45">
        <v>0.15453900000000001</v>
      </c>
      <c r="CO39" s="45">
        <v>0.14385899999999999</v>
      </c>
      <c r="CP39" s="45">
        <v>4.2234000000000001E-2</v>
      </c>
      <c r="CQ39" s="45">
        <v>6.1067000000000003E-2</v>
      </c>
      <c r="CR39" s="45">
        <v>2.0475E-2</v>
      </c>
      <c r="CS39" s="45">
        <v>5.9226000000000001E-2</v>
      </c>
      <c r="CT39" s="45">
        <v>6.0704000000000001E-2</v>
      </c>
      <c r="CU39" s="45">
        <v>8.6715E-2</v>
      </c>
      <c r="CV39" s="45">
        <v>0.12910199999999999</v>
      </c>
      <c r="CW39" s="45">
        <v>0.49769400000000003</v>
      </c>
      <c r="CX39" s="45">
        <f t="shared" si="9"/>
        <v>1.3527750000000001</v>
      </c>
      <c r="CY39" s="45">
        <v>1.359056</v>
      </c>
      <c r="CZ39" s="45">
        <v>9.4089000000000006E-2</v>
      </c>
      <c r="DA39" s="45">
        <v>9.9772E-2</v>
      </c>
      <c r="DB39" s="45">
        <v>8.2073999999999994E-2</v>
      </c>
      <c r="DC39" s="45">
        <v>4.9526000000000001E-2</v>
      </c>
      <c r="DD39" s="45">
        <v>0.167544</v>
      </c>
      <c r="DE39" s="45">
        <v>0.117549</v>
      </c>
      <c r="DF39" s="45">
        <v>0.158827</v>
      </c>
      <c r="DG39" s="45">
        <v>0.16182099999999999</v>
      </c>
      <c r="DH39" s="45">
        <v>2.4912E-2</v>
      </c>
      <c r="DI39" s="45">
        <v>0.181229</v>
      </c>
      <c r="DJ39" s="45">
        <v>4.6133E-2</v>
      </c>
      <c r="DK39" s="45">
        <v>0.237375</v>
      </c>
      <c r="DL39" s="45">
        <f t="shared" si="10"/>
        <v>1.4208510000000003</v>
      </c>
      <c r="DM39" s="45">
        <v>1.4348069999999999</v>
      </c>
      <c r="DN39" s="45">
        <v>0.117853</v>
      </c>
      <c r="DO39" s="45">
        <v>0.16550400000000001</v>
      </c>
      <c r="DP39" s="45">
        <v>0.164162</v>
      </c>
      <c r="DQ39" s="45">
        <v>0.11341</v>
      </c>
      <c r="DR39" s="45">
        <v>0.17971899999999999</v>
      </c>
      <c r="DS39" s="45">
        <v>0.123961</v>
      </c>
      <c r="DT39" s="45">
        <v>0.19660900000000001</v>
      </c>
      <c r="DU39" s="45">
        <v>0.23846899999999999</v>
      </c>
      <c r="DV39" s="45">
        <v>6.9499000000000005E-2</v>
      </c>
      <c r="DW39" s="45">
        <v>0.199797</v>
      </c>
      <c r="DX39" s="45">
        <v>0.167238</v>
      </c>
      <c r="DY39" s="45">
        <v>0.47526600000000002</v>
      </c>
      <c r="DZ39" s="45">
        <f t="shared" si="18"/>
        <v>2.211487</v>
      </c>
      <c r="EA39" s="45">
        <f>2.221562+0.085524</f>
        <v>2.307086</v>
      </c>
      <c r="EB39" s="45">
        <v>6.5747E-2</v>
      </c>
      <c r="EC39" s="45">
        <v>2.8718E-2</v>
      </c>
      <c r="ED39" s="45">
        <v>1.5081000000000001E-2</v>
      </c>
      <c r="EE39" s="45">
        <v>0.12239899999999999</v>
      </c>
      <c r="EF39" s="45">
        <v>0.112251</v>
      </c>
      <c r="EG39" s="45">
        <v>0.22441700000000001</v>
      </c>
      <c r="EH39" s="45">
        <v>0.191555</v>
      </c>
      <c r="EI39" s="42">
        <v>7.2581999999999994E-2</v>
      </c>
      <c r="EJ39" s="45">
        <v>5.2672999999999998E-2</v>
      </c>
      <c r="EK39" s="45">
        <v>0.17060600000000001</v>
      </c>
      <c r="EL39" s="45">
        <v>9.4624E-2</v>
      </c>
      <c r="EM39" s="45">
        <v>0.30908099999999999</v>
      </c>
      <c r="EN39" s="45">
        <f t="shared" si="19"/>
        <v>1.4597340000000001</v>
      </c>
      <c r="EO39" s="45">
        <v>1.4396949999999999</v>
      </c>
      <c r="EP39" s="45">
        <v>5.9553000000000002E-2</v>
      </c>
      <c r="EQ39" s="45">
        <v>4.4394000000000003E-2</v>
      </c>
      <c r="ER39" s="45">
        <v>0.165493</v>
      </c>
      <c r="ES39" s="45">
        <v>0.15599399999999999</v>
      </c>
      <c r="ET39" s="45">
        <v>0.10703500000000001</v>
      </c>
      <c r="EU39" s="45">
        <v>0.111486</v>
      </c>
      <c r="EV39" s="42">
        <v>0.24086299999999999</v>
      </c>
      <c r="EW39" s="42">
        <v>2.3709999999999998E-2</v>
      </c>
      <c r="EX39" s="42">
        <v>9.4186000000000006E-2</v>
      </c>
      <c r="EY39" s="45">
        <v>0.33031199999999999</v>
      </c>
      <c r="EZ39" s="45">
        <v>0.15154999999999999</v>
      </c>
      <c r="FA39" s="45">
        <v>0.61534100000000003</v>
      </c>
      <c r="FB39" s="45">
        <f t="shared" si="20"/>
        <v>2.099917</v>
      </c>
      <c r="FC39" s="45">
        <v>2.0999180000000002</v>
      </c>
      <c r="FD39" s="45">
        <v>0.20810400000000001</v>
      </c>
      <c r="FE39" s="45">
        <v>0.122069</v>
      </c>
      <c r="FF39" s="45">
        <v>0.107486</v>
      </c>
      <c r="FG39" s="45">
        <v>8.2994999999999999E-2</v>
      </c>
      <c r="FH39" s="45">
        <v>0.44448799999999999</v>
      </c>
      <c r="FI39" s="45">
        <v>3.8531000000000003E-2</v>
      </c>
      <c r="FJ39" s="45">
        <v>0.13825699999999999</v>
      </c>
      <c r="FK39" s="45">
        <v>9.3687999999999994E-2</v>
      </c>
      <c r="FL39" s="45">
        <v>0.153084</v>
      </c>
      <c r="FM39" s="45">
        <v>0.167573</v>
      </c>
      <c r="FN39" s="45">
        <v>0.17338899999999999</v>
      </c>
      <c r="FO39" s="45">
        <v>0.25193199999999999</v>
      </c>
      <c r="FP39" s="45">
        <f>SUM(FD39:FO39)</f>
        <v>1.9815960000000001</v>
      </c>
      <c r="FQ39" s="45">
        <v>1.981595</v>
      </c>
      <c r="FR39" s="45">
        <v>1.2128E-2</v>
      </c>
      <c r="FS39" s="45">
        <v>0.135356</v>
      </c>
      <c r="FT39" s="45">
        <v>0.17412900000000001</v>
      </c>
      <c r="FU39" s="45">
        <v>0.11659</v>
      </c>
      <c r="FV39" s="45">
        <v>4.1645000000000001E-2</v>
      </c>
      <c r="FW39" s="45">
        <v>3.9874E-2</v>
      </c>
      <c r="FX39" s="45">
        <v>1.4808E-2</v>
      </c>
      <c r="FY39" s="45">
        <v>9.6269999999999994E-2</v>
      </c>
      <c r="FZ39" s="45">
        <v>8.7197999999999998E-2</v>
      </c>
      <c r="GA39" s="45">
        <v>0.38256600000000002</v>
      </c>
      <c r="GB39" s="45">
        <v>0.12989000000000001</v>
      </c>
      <c r="GC39" s="45">
        <v>1.401095</v>
      </c>
      <c r="GD39" s="45">
        <f t="shared" si="11"/>
        <v>2.6315490000000001</v>
      </c>
      <c r="GE39" s="45">
        <v>2.6316950000000001</v>
      </c>
      <c r="GF39" s="45">
        <v>7.4719999999999995E-2</v>
      </c>
      <c r="GG39" s="45">
        <v>7.2091000000000002E-2</v>
      </c>
      <c r="GH39" s="45">
        <v>5.6996999999999999E-2</v>
      </c>
      <c r="GI39" s="45">
        <v>8.3507999999999999E-2</v>
      </c>
      <c r="GJ39" s="45">
        <v>1.3299999999999999E-2</v>
      </c>
      <c r="GK39" s="45">
        <v>0.104654</v>
      </c>
      <c r="GL39" s="45">
        <v>1.1443E-2</v>
      </c>
      <c r="GM39" s="45">
        <v>1.8325999999999999E-2</v>
      </c>
      <c r="GN39" s="45">
        <v>6.8089999999999998E-2</v>
      </c>
      <c r="GO39" s="45">
        <v>0.15990399999999999</v>
      </c>
      <c r="GP39" s="45">
        <v>0.12969900000000001</v>
      </c>
      <c r="GQ39" s="45">
        <v>0.218337</v>
      </c>
      <c r="GR39" s="45">
        <f t="shared" si="12"/>
        <v>1.011069</v>
      </c>
      <c r="GS39" s="45">
        <v>1.020265</v>
      </c>
      <c r="GT39" s="45">
        <v>0.25021399999999999</v>
      </c>
      <c r="GU39" s="45">
        <v>0.22545699999999999</v>
      </c>
      <c r="GV39" s="45">
        <v>5.595E-2</v>
      </c>
      <c r="GW39" s="45">
        <v>0.55386899999999994</v>
      </c>
      <c r="GX39" s="45">
        <v>0.122645</v>
      </c>
      <c r="GY39" s="45">
        <v>0.201208</v>
      </c>
      <c r="GZ39" s="45">
        <v>0.12839100000000001</v>
      </c>
      <c r="HA39" s="45">
        <v>0.53541000000000005</v>
      </c>
      <c r="HB39" s="45">
        <v>4.0647000000000003E-2</v>
      </c>
      <c r="HC39" s="45">
        <v>0.22981499999999999</v>
      </c>
      <c r="HD39" s="45">
        <v>0.109483</v>
      </c>
      <c r="HE39" s="45">
        <v>0.71909699999999999</v>
      </c>
      <c r="HF39" s="45">
        <f t="shared" si="13"/>
        <v>3.172186</v>
      </c>
      <c r="HG39" s="45">
        <v>1.4074E-2</v>
      </c>
      <c r="HH39" s="45">
        <v>0.222663</v>
      </c>
      <c r="HI39" s="45">
        <v>0.12114900000000001</v>
      </c>
      <c r="HJ39" s="45">
        <v>1.164499</v>
      </c>
      <c r="HK39" s="45"/>
      <c r="HL39" s="45"/>
      <c r="HM39" s="45"/>
      <c r="HN39" s="45"/>
      <c r="HO39" s="45"/>
      <c r="HP39" s="45"/>
      <c r="HQ39" s="45"/>
      <c r="HR39" s="45"/>
      <c r="HS39" s="283">
        <f t="shared" si="14"/>
        <v>1.0854900000000001</v>
      </c>
      <c r="HT39" s="283">
        <f t="shared" si="15"/>
        <v>1.5223850000000001</v>
      </c>
      <c r="HU39" s="280">
        <f t="shared" si="16"/>
        <v>0.43689500000000003</v>
      </c>
      <c r="HV39" s="280">
        <f t="shared" si="17"/>
        <v>40.248643469769405</v>
      </c>
    </row>
    <row r="40" spans="1:230" s="12" customFormat="1" ht="20.25" customHeight="1">
      <c r="A40" s="314" t="s">
        <v>167</v>
      </c>
      <c r="B40" s="13">
        <v>5200</v>
      </c>
      <c r="C40" s="47" t="s">
        <v>168</v>
      </c>
      <c r="D40" s="42">
        <v>10.231590884514032</v>
      </c>
      <c r="E40" s="42">
        <v>9.060513372168268</v>
      </c>
      <c r="F40" s="42">
        <v>0.62726165474300088</v>
      </c>
      <c r="G40" s="42">
        <v>1.2135630986733144</v>
      </c>
      <c r="H40" s="42">
        <v>0.94881503235610498</v>
      </c>
      <c r="I40" s="42">
        <v>2.5535540492085986</v>
      </c>
      <c r="J40" s="42">
        <v>2.0882393953363954</v>
      </c>
      <c r="K40" s="42">
        <v>4.6667520389753046</v>
      </c>
      <c r="L40" s="42">
        <v>2.8689634663433905</v>
      </c>
      <c r="M40" s="42">
        <v>4.170711891224296</v>
      </c>
      <c r="N40" s="42">
        <v>2.8861446434567819</v>
      </c>
      <c r="O40" s="42">
        <v>4.2429254813575339</v>
      </c>
      <c r="P40" s="42">
        <v>3.5940361750929135</v>
      </c>
      <c r="Q40" s="42">
        <v>5.9245977541391346</v>
      </c>
      <c r="R40" s="42">
        <v>35.785564680906766</v>
      </c>
      <c r="S40" s="42">
        <v>35.955339184175287</v>
      </c>
      <c r="T40" s="42">
        <v>2.0533150067444126</v>
      </c>
      <c r="U40" s="42">
        <v>1.6456878446906962</v>
      </c>
      <c r="V40" s="42">
        <v>2.9045537589427495</v>
      </c>
      <c r="W40" s="42">
        <v>2.1846190403014214</v>
      </c>
      <c r="X40" s="42">
        <v>3.5642625824554215</v>
      </c>
      <c r="Y40" s="42">
        <v>4.6262158439621857</v>
      </c>
      <c r="Z40" s="42">
        <v>4.4461073073004709</v>
      </c>
      <c r="AA40" s="42">
        <v>6.0260200568010429</v>
      </c>
      <c r="AB40" s="42">
        <v>5.3419829710701698</v>
      </c>
      <c r="AC40" s="42">
        <v>8.447841788037632</v>
      </c>
      <c r="AD40" s="42">
        <v>9.0330205861093553</v>
      </c>
      <c r="AE40" s="42">
        <v>8.4293700661919964</v>
      </c>
      <c r="AF40" s="42">
        <v>58.702996852607555</v>
      </c>
      <c r="AG40" s="42">
        <v>58.716046009982861</v>
      </c>
      <c r="AH40" s="42">
        <v>3.6900330675408792</v>
      </c>
      <c r="AI40" s="42">
        <v>4.2523847331546207</v>
      </c>
      <c r="AJ40" s="42">
        <v>3.6082193613013018</v>
      </c>
      <c r="AK40" s="42">
        <v>2.8770354181251103</v>
      </c>
      <c r="AL40" s="42">
        <v>4.4261173812328902</v>
      </c>
      <c r="AM40" s="42">
        <v>4.2659973477669446</v>
      </c>
      <c r="AN40" s="42">
        <v>4.8115178627327104</v>
      </c>
      <c r="AO40" s="42">
        <v>3.0842055537532511</v>
      </c>
      <c r="AP40" s="42">
        <v>5.4794224278746286</v>
      </c>
      <c r="AQ40" s="42">
        <v>5.729093744486371</v>
      </c>
      <c r="AR40" s="42">
        <v>4.6131809153049783</v>
      </c>
      <c r="AS40" s="42">
        <v>4.8107068258006507</v>
      </c>
      <c r="AT40" s="42">
        <v>51.647914639074337</v>
      </c>
      <c r="AU40" s="42">
        <v>51.619468585837332</v>
      </c>
      <c r="AV40" s="42">
        <v>2.221889</v>
      </c>
      <c r="AW40" s="42">
        <v>3.3370860000000002</v>
      </c>
      <c r="AX40" s="42">
        <v>3.5828289999999998</v>
      </c>
      <c r="AY40" s="42">
        <v>5.0676959999999998</v>
      </c>
      <c r="AZ40" s="42">
        <v>3.6733539999999998</v>
      </c>
      <c r="BA40" s="42">
        <v>4.5449989999999998</v>
      </c>
      <c r="BB40" s="42">
        <v>5.6509749999999999</v>
      </c>
      <c r="BC40" s="42">
        <v>5.1878989999999998</v>
      </c>
      <c r="BD40" s="42">
        <v>4.6609069999999999</v>
      </c>
      <c r="BE40" s="42">
        <v>10.133756999999999</v>
      </c>
      <c r="BF40" s="42">
        <v>5.7655320000000003</v>
      </c>
      <c r="BG40" s="42">
        <v>7.1171360000000004</v>
      </c>
      <c r="BH40" s="45">
        <f t="shared" si="6"/>
        <v>60.944059000000003</v>
      </c>
      <c r="BI40" s="45">
        <v>61.031388</v>
      </c>
      <c r="BJ40" s="42">
        <v>4.2835470000000004</v>
      </c>
      <c r="BK40" s="42">
        <v>6.1975540000000002</v>
      </c>
      <c r="BL40" s="42">
        <v>4.3599389999999998</v>
      </c>
      <c r="BM40" s="42">
        <v>4.318397</v>
      </c>
      <c r="BN40" s="42">
        <v>6.5070490000000003</v>
      </c>
      <c r="BO40" s="42">
        <v>8.1592859999999998</v>
      </c>
      <c r="BP40" s="42">
        <v>6.4726470000000003</v>
      </c>
      <c r="BQ40" s="42">
        <v>7.5221309999999999</v>
      </c>
      <c r="BR40" s="42">
        <v>7.0121229999999999</v>
      </c>
      <c r="BS40" s="42">
        <v>6.7649189999999999</v>
      </c>
      <c r="BT40" s="42">
        <v>16.22156</v>
      </c>
      <c r="BU40" s="42">
        <v>14.016448</v>
      </c>
      <c r="BV40" s="45">
        <f t="shared" si="7"/>
        <v>91.835599999999999</v>
      </c>
      <c r="BW40" s="45">
        <f>91.712775+0.024504</f>
        <v>91.737278999999987</v>
      </c>
      <c r="BX40" s="45">
        <v>1.086884</v>
      </c>
      <c r="BY40" s="45">
        <v>1.9080360000000001</v>
      </c>
      <c r="BZ40" s="45">
        <v>2.1389749999999998</v>
      </c>
      <c r="CA40" s="45">
        <v>0.89808299999999996</v>
      </c>
      <c r="CB40" s="45">
        <v>0.88041800000000003</v>
      </c>
      <c r="CC40" s="45">
        <v>0.74597899999999995</v>
      </c>
      <c r="CD40" s="45">
        <v>0.88650899999999999</v>
      </c>
      <c r="CE40" s="45">
        <v>1.090835</v>
      </c>
      <c r="CF40" s="45">
        <v>1.3962589999999999</v>
      </c>
      <c r="CG40" s="45">
        <v>1.335985</v>
      </c>
      <c r="CH40" s="45">
        <v>2.1125370000000001</v>
      </c>
      <c r="CI40" s="45">
        <v>2.783649</v>
      </c>
      <c r="CJ40" s="45">
        <f t="shared" si="8"/>
        <v>17.264149</v>
      </c>
      <c r="CK40" s="45">
        <v>17.242778999999999</v>
      </c>
      <c r="CL40" s="45">
        <v>0.73557300000000003</v>
      </c>
      <c r="CM40" s="45">
        <v>1.0906899999999999</v>
      </c>
      <c r="CN40" s="45">
        <v>1.4720310000000001</v>
      </c>
      <c r="CO40" s="45">
        <v>0.94095600000000001</v>
      </c>
      <c r="CP40" s="45">
        <v>0.92807700000000004</v>
      </c>
      <c r="CQ40" s="45">
        <v>1.227895</v>
      </c>
      <c r="CR40" s="45">
        <v>1.5710649999999999</v>
      </c>
      <c r="CS40" s="45">
        <v>5.0826979999999997</v>
      </c>
      <c r="CT40" s="45">
        <v>4.1769319999999999</v>
      </c>
      <c r="CU40" s="45">
        <v>3.1999580000000001</v>
      </c>
      <c r="CV40" s="45">
        <v>4.028492</v>
      </c>
      <c r="CW40" s="45">
        <v>8.6735779999999991</v>
      </c>
      <c r="CX40" s="45">
        <f t="shared" si="9"/>
        <v>33.127944999999997</v>
      </c>
      <c r="CY40" s="45">
        <v>32.861094000000001</v>
      </c>
      <c r="CZ40" s="45">
        <v>2.6305649999999998</v>
      </c>
      <c r="DA40" s="45">
        <v>4.4693930000000002</v>
      </c>
      <c r="DB40" s="45">
        <v>4.1995680000000002</v>
      </c>
      <c r="DC40" s="45">
        <v>3.6840269999999999</v>
      </c>
      <c r="DD40" s="45">
        <v>4.5445099999999998</v>
      </c>
      <c r="DE40" s="45">
        <v>4.385459</v>
      </c>
      <c r="DF40" s="45">
        <v>4.2091940000000001</v>
      </c>
      <c r="DG40" s="45">
        <v>6.2907460000000004</v>
      </c>
      <c r="DH40" s="45">
        <v>4.7200569999999997</v>
      </c>
      <c r="DI40" s="45">
        <v>9.8008100000000002</v>
      </c>
      <c r="DJ40" s="45">
        <v>5.2074920000000002</v>
      </c>
      <c r="DK40" s="45">
        <v>12.879638999999999</v>
      </c>
      <c r="DL40" s="45">
        <f t="shared" si="10"/>
        <v>67.021460000000005</v>
      </c>
      <c r="DM40" s="45">
        <v>67.054754000000003</v>
      </c>
      <c r="DN40" s="45">
        <v>3.3405849999999999</v>
      </c>
      <c r="DO40" s="45">
        <v>7.7916090000000002</v>
      </c>
      <c r="DP40" s="45">
        <v>4.5265420000000001</v>
      </c>
      <c r="DQ40" s="45">
        <v>9.5083739999999999</v>
      </c>
      <c r="DR40" s="45">
        <v>4.4757189999999998</v>
      </c>
      <c r="DS40" s="45">
        <v>2.696307</v>
      </c>
      <c r="DT40" s="45">
        <v>6.4711410000000003</v>
      </c>
      <c r="DU40" s="45">
        <v>4.0954439999999996</v>
      </c>
      <c r="DV40" s="45">
        <v>7.9205199999999998</v>
      </c>
      <c r="DW40" s="45">
        <v>5.4228120000000004</v>
      </c>
      <c r="DX40" s="45">
        <v>4.4120819999999998</v>
      </c>
      <c r="DY40" s="45">
        <v>8.2212720000000008</v>
      </c>
      <c r="DZ40" s="45">
        <f t="shared" si="18"/>
        <v>68.882407000000001</v>
      </c>
      <c r="EA40" s="45">
        <f>68.872268+0.044911</f>
        <v>68.917179000000004</v>
      </c>
      <c r="EB40" s="45">
        <v>4.9609899999999998</v>
      </c>
      <c r="EC40" s="45">
        <v>3.283874</v>
      </c>
      <c r="ED40" s="45">
        <v>4.0639200000000004</v>
      </c>
      <c r="EE40" s="45">
        <v>5.0788359999999999</v>
      </c>
      <c r="EF40" s="45">
        <v>4.048673</v>
      </c>
      <c r="EG40" s="45">
        <v>5.6054969999999997</v>
      </c>
      <c r="EH40" s="45">
        <v>5.9072339999999999</v>
      </c>
      <c r="EI40" s="42">
        <v>4.4739990000000001</v>
      </c>
      <c r="EJ40" s="45">
        <v>6.2418110000000002</v>
      </c>
      <c r="EK40" s="45">
        <v>5.8266340000000003</v>
      </c>
      <c r="EL40" s="45">
        <v>3.7743699999999998</v>
      </c>
      <c r="EM40" s="45">
        <v>6.2591729999999997</v>
      </c>
      <c r="EN40" s="45">
        <f t="shared" si="19"/>
        <v>59.525010999999992</v>
      </c>
      <c r="EO40" s="45">
        <v>59.779604000000006</v>
      </c>
      <c r="EP40" s="45">
        <v>2.0798869999999998</v>
      </c>
      <c r="EQ40" s="45">
        <v>3.6309849999999999</v>
      </c>
      <c r="ER40" s="45">
        <v>3.8177370000000002</v>
      </c>
      <c r="ES40" s="45">
        <v>5.7631589999999999</v>
      </c>
      <c r="ET40" s="45">
        <v>4.9177809999999997</v>
      </c>
      <c r="EU40" s="45">
        <v>3.9308529999999999</v>
      </c>
      <c r="EV40" s="42">
        <v>4.434126</v>
      </c>
      <c r="EW40" s="42">
        <v>6.293615</v>
      </c>
      <c r="EX40" s="42">
        <v>4.1990610000000004</v>
      </c>
      <c r="EY40" s="45">
        <v>5.2268080000000001</v>
      </c>
      <c r="EZ40" s="45">
        <v>5.111008</v>
      </c>
      <c r="FA40" s="45">
        <v>6.9994189999999996</v>
      </c>
      <c r="FB40" s="45">
        <f t="shared" si="20"/>
        <v>56.404438999999996</v>
      </c>
      <c r="FC40" s="45">
        <v>56.448452000000003</v>
      </c>
      <c r="FD40" s="45">
        <v>1.6086739999999999</v>
      </c>
      <c r="FE40" s="45">
        <v>2.7736209999999999</v>
      </c>
      <c r="FF40" s="45">
        <v>4.7078810000000004</v>
      </c>
      <c r="FG40" s="45">
        <v>2.9648020000000002</v>
      </c>
      <c r="FH40" s="45">
        <v>3.9084099999999999</v>
      </c>
      <c r="FI40" s="45">
        <v>3.5285470000000001</v>
      </c>
      <c r="FJ40" s="45">
        <v>3.7874940000000001</v>
      </c>
      <c r="FK40" s="45">
        <v>4.1286820000000004</v>
      </c>
      <c r="FL40" s="45">
        <v>3.6789540000000001</v>
      </c>
      <c r="FM40" s="45">
        <v>4.5444440000000004</v>
      </c>
      <c r="FN40" s="45">
        <v>10.414370999999999</v>
      </c>
      <c r="FO40" s="45">
        <v>9.7851920000000003</v>
      </c>
      <c r="FP40" s="45">
        <f t="shared" si="21"/>
        <v>55.831071999999999</v>
      </c>
      <c r="FQ40" s="45">
        <v>55.834472999999996</v>
      </c>
      <c r="FR40" s="45">
        <v>3.2356639999999999</v>
      </c>
      <c r="FS40" s="45">
        <v>4.0922710000000002</v>
      </c>
      <c r="FT40" s="45">
        <v>4.2512910000000002</v>
      </c>
      <c r="FU40" s="45">
        <v>4.7942580000000001</v>
      </c>
      <c r="FV40" s="45">
        <v>3.4278189999999999</v>
      </c>
      <c r="FW40" s="45">
        <v>3.9742099999999998</v>
      </c>
      <c r="FX40" s="45">
        <v>4.0769510000000002</v>
      </c>
      <c r="FY40" s="45">
        <v>4.1122779999999999</v>
      </c>
      <c r="FZ40" s="45">
        <v>3.7265649999999999</v>
      </c>
      <c r="GA40" s="45">
        <v>5.4593800000000003</v>
      </c>
      <c r="GB40" s="45">
        <v>6.4906290000000002</v>
      </c>
      <c r="GC40" s="45">
        <v>11.950961</v>
      </c>
      <c r="GD40" s="45">
        <f t="shared" si="11"/>
        <v>59.592277000000003</v>
      </c>
      <c r="GE40" s="45">
        <v>59.610213000000002</v>
      </c>
      <c r="GF40" s="45">
        <v>2.286899</v>
      </c>
      <c r="GG40" s="45">
        <v>2.317536</v>
      </c>
      <c r="GH40" s="45">
        <v>3.257946</v>
      </c>
      <c r="GI40" s="45">
        <v>3.4462009999999998</v>
      </c>
      <c r="GJ40" s="45">
        <v>3.2899790000000002</v>
      </c>
      <c r="GK40" s="45">
        <v>2.6353960000000001</v>
      </c>
      <c r="GL40" s="45">
        <v>3.7823039999999999</v>
      </c>
      <c r="GM40" s="45">
        <v>3.2315969999999998</v>
      </c>
      <c r="GN40" s="45">
        <v>3.4863330000000001</v>
      </c>
      <c r="GO40" s="45">
        <v>4.0330909999999998</v>
      </c>
      <c r="GP40" s="45">
        <v>3.4883989999999998</v>
      </c>
      <c r="GQ40" s="45">
        <v>5.9522259999999996</v>
      </c>
      <c r="GR40" s="45">
        <f t="shared" si="12"/>
        <v>41.207907000000006</v>
      </c>
      <c r="GS40" s="45">
        <f>41.20768+0.109333</f>
        <v>41.317013000000003</v>
      </c>
      <c r="GT40" s="45">
        <v>1.8548290000000001</v>
      </c>
      <c r="GU40" s="45">
        <v>2.863194</v>
      </c>
      <c r="GV40" s="45">
        <v>2.1749839999999998</v>
      </c>
      <c r="GW40" s="45">
        <v>3.2123979999999999</v>
      </c>
      <c r="GX40" s="45">
        <v>3.972029</v>
      </c>
      <c r="GY40" s="45">
        <v>4.4434979999999999</v>
      </c>
      <c r="GZ40" s="45">
        <v>3.4416350000000002</v>
      </c>
      <c r="HA40" s="45">
        <v>3.9555530000000001</v>
      </c>
      <c r="HB40" s="45">
        <v>7.2014319999999996</v>
      </c>
      <c r="HC40" s="45">
        <v>8.3047799999999992</v>
      </c>
      <c r="HD40" s="45">
        <v>4.0723770000000004</v>
      </c>
      <c r="HE40" s="45">
        <v>11.901809999999999</v>
      </c>
      <c r="HF40" s="45">
        <f t="shared" si="13"/>
        <v>57.398519</v>
      </c>
      <c r="HG40" s="45">
        <v>5.6137789999999992</v>
      </c>
      <c r="HH40" s="45">
        <v>6.0367249999999997</v>
      </c>
      <c r="HI40" s="45">
        <v>6.3483780000000003</v>
      </c>
      <c r="HJ40" s="45">
        <v>8.7408719999999995</v>
      </c>
      <c r="HK40" s="45"/>
      <c r="HL40" s="45"/>
      <c r="HM40" s="45"/>
      <c r="HN40" s="45"/>
      <c r="HO40" s="45"/>
      <c r="HP40" s="45"/>
      <c r="HQ40" s="45"/>
      <c r="HR40" s="45"/>
      <c r="HS40" s="283">
        <f t="shared" si="14"/>
        <v>10.105404999999999</v>
      </c>
      <c r="HT40" s="283">
        <f t="shared" si="15"/>
        <v>26.739754000000001</v>
      </c>
      <c r="HU40" s="280">
        <f t="shared" si="16"/>
        <v>16.634349</v>
      </c>
      <c r="HV40" s="280">
        <f t="shared" si="17"/>
        <v>164.60843479306374</v>
      </c>
    </row>
    <row r="41" spans="1:230" s="12" customFormat="1" ht="20.25" customHeight="1">
      <c r="A41" s="314" t="s">
        <v>171</v>
      </c>
      <c r="B41" s="13" t="s">
        <v>172</v>
      </c>
      <c r="C41" s="46" t="s">
        <v>173</v>
      </c>
      <c r="D41" s="42">
        <v>0</v>
      </c>
      <c r="E41" s="42">
        <v>0</v>
      </c>
      <c r="F41" s="42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42">
        <v>1.7174062754338336E-3</v>
      </c>
      <c r="R41" s="42">
        <v>0</v>
      </c>
      <c r="S41" s="42">
        <v>1.7174062754338336E-3</v>
      </c>
      <c r="T41" s="42"/>
      <c r="U41" s="42"/>
      <c r="V41" s="42">
        <v>4.5456812994803677</v>
      </c>
      <c r="W41" s="42">
        <v>7.3562472609717646E-4</v>
      </c>
      <c r="X41" s="42"/>
      <c r="Y41" s="42"/>
      <c r="Z41" s="42"/>
      <c r="AA41" s="42"/>
      <c r="AB41" s="42"/>
      <c r="AC41" s="42">
        <v>1.022360430504095</v>
      </c>
      <c r="AD41" s="42">
        <v>0.22661937040768124</v>
      </c>
      <c r="AE41" s="42">
        <v>-0.12710513884383129</v>
      </c>
      <c r="AF41" s="42">
        <v>5.6682915862744103</v>
      </c>
      <c r="AG41" s="42">
        <v>5.6682915862744094</v>
      </c>
      <c r="AH41" s="42">
        <v>1.3593761560833462</v>
      </c>
      <c r="AI41" s="42">
        <v>1.2536297459889243</v>
      </c>
      <c r="AJ41" s="42">
        <v>0.19410959527834218</v>
      </c>
      <c r="AK41" s="42">
        <v>0.28093465603496853</v>
      </c>
      <c r="AL41" s="42">
        <v>0.42490794019385203</v>
      </c>
      <c r="AM41" s="42">
        <v>0.47684987564100373</v>
      </c>
      <c r="AN41" s="42">
        <v>1.2298663638795453</v>
      </c>
      <c r="AO41" s="42">
        <v>0.56726199623223539</v>
      </c>
      <c r="AP41" s="42">
        <v>1.0922077848162504</v>
      </c>
      <c r="AQ41" s="42">
        <v>0.6058673541983256</v>
      </c>
      <c r="AR41" s="42">
        <v>0.11726740314511586</v>
      </c>
      <c r="AS41" s="42">
        <v>3.3118764264289904E-2</v>
      </c>
      <c r="AT41" s="42">
        <v>7.6353976357561999</v>
      </c>
      <c r="AU41" s="42">
        <v>7.160111496235082</v>
      </c>
      <c r="AV41" s="42">
        <f>AV42+AV43+AV44</f>
        <v>0.67126799999999998</v>
      </c>
      <c r="AW41" s="42">
        <f>AW42+AW43+AW44</f>
        <v>0.28181499999999998</v>
      </c>
      <c r="AX41" s="42">
        <f t="shared" ref="AX41:BE41" si="33">AX42+AX43+AX44</f>
        <v>0.219667</v>
      </c>
      <c r="AY41" s="42">
        <f t="shared" si="33"/>
        <v>0.71954600000000002</v>
      </c>
      <c r="AZ41" s="42">
        <f t="shared" si="33"/>
        <v>1.2829E-2</v>
      </c>
      <c r="BA41" s="42">
        <f t="shared" si="33"/>
        <v>0</v>
      </c>
      <c r="BB41" s="42">
        <f t="shared" si="33"/>
        <v>0.92613699999999999</v>
      </c>
      <c r="BC41" s="42">
        <f t="shared" si="33"/>
        <v>0.25495400000000001</v>
      </c>
      <c r="BD41" s="42">
        <f t="shared" si="33"/>
        <v>0.17452000000000001</v>
      </c>
      <c r="BE41" s="42">
        <f t="shared" si="33"/>
        <v>0.32917099999999999</v>
      </c>
      <c r="BF41" s="42">
        <f>BF42+BF43+BF44</f>
        <v>0.28704999999999997</v>
      </c>
      <c r="BG41" s="42">
        <f>BG42+BG43+BG44</f>
        <v>1.950855</v>
      </c>
      <c r="BH41" s="45">
        <f t="shared" si="6"/>
        <v>5.8278119999999998</v>
      </c>
      <c r="BI41" s="45">
        <f>BI42+BI43+BI44</f>
        <v>5.681387</v>
      </c>
      <c r="BJ41" s="42">
        <f>BJ42+BJ43+BJ44</f>
        <v>0.15130300000000002</v>
      </c>
      <c r="BK41" s="42">
        <v>0.75457300000000005</v>
      </c>
      <c r="BL41" s="42">
        <v>0.59638999999999998</v>
      </c>
      <c r="BM41" s="42">
        <v>0.17638200000000001</v>
      </c>
      <c r="BN41" s="42">
        <v>0.57849099999999998</v>
      </c>
      <c r="BO41" s="42">
        <v>1.6531070000000001</v>
      </c>
      <c r="BP41" s="42">
        <v>0.428035</v>
      </c>
      <c r="BQ41" s="42">
        <v>0.37462400000000001</v>
      </c>
      <c r="BR41" s="42">
        <v>1.78565</v>
      </c>
      <c r="BS41" s="42">
        <v>0.283966</v>
      </c>
      <c r="BT41" s="42">
        <v>0.44742700000000002</v>
      </c>
      <c r="BU41" s="42">
        <v>0.34409000000000001</v>
      </c>
      <c r="BV41" s="45">
        <f t="shared" si="7"/>
        <v>7.5740379999999998</v>
      </c>
      <c r="BW41" s="45">
        <f>BW42+BW43+BW44</f>
        <v>7.1816050000000002</v>
      </c>
      <c r="BX41" s="45">
        <v>6.8395999999999998E-2</v>
      </c>
      <c r="BY41" s="45">
        <v>0</v>
      </c>
      <c r="BZ41" s="45">
        <v>0.51773800000000003</v>
      </c>
      <c r="CA41" s="45">
        <v>1.855165</v>
      </c>
      <c r="CB41" s="45">
        <v>0.97279099999999996</v>
      </c>
      <c r="CC41" s="45">
        <v>0</v>
      </c>
      <c r="CD41" s="45">
        <v>-0.12576400000000001</v>
      </c>
      <c r="CE41" s="45">
        <v>0</v>
      </c>
      <c r="CF41" s="45">
        <v>1.18E-4</v>
      </c>
      <c r="CG41" s="45">
        <v>0</v>
      </c>
      <c r="CH41" s="45">
        <v>0</v>
      </c>
      <c r="CI41" s="45">
        <v>0</v>
      </c>
      <c r="CJ41" s="45">
        <f t="shared" si="8"/>
        <v>3.2884439999999997</v>
      </c>
      <c r="CK41" s="45">
        <f>CK42+CK43+CK44</f>
        <v>3.4030830000000001</v>
      </c>
      <c r="CL41" s="45">
        <v>0</v>
      </c>
      <c r="CM41" s="45">
        <v>0</v>
      </c>
      <c r="CN41" s="45">
        <v>3.1580000000000002E-3</v>
      </c>
      <c r="CO41" s="45">
        <v>1.3422E-2</v>
      </c>
      <c r="CP41" s="45">
        <v>0</v>
      </c>
      <c r="CQ41" s="45">
        <v>0</v>
      </c>
      <c r="CR41" s="45">
        <v>0</v>
      </c>
      <c r="CS41" s="45">
        <v>0</v>
      </c>
      <c r="CT41" s="45">
        <v>6.1022E-2</v>
      </c>
      <c r="CU41" s="45">
        <v>0</v>
      </c>
      <c r="CV41" s="45">
        <v>0</v>
      </c>
      <c r="CW41" s="45">
        <v>0</v>
      </c>
      <c r="CX41" s="45">
        <f t="shared" si="9"/>
        <v>7.7602000000000004E-2</v>
      </c>
      <c r="CY41" s="45">
        <f>CY42+CY43+CY44</f>
        <v>7.760199999999999E-2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5.5099999999999995E-4</v>
      </c>
      <c r="DG41" s="45">
        <v>0</v>
      </c>
      <c r="DH41" s="45">
        <v>1.3100000000000001E-4</v>
      </c>
      <c r="DI41" s="45">
        <v>4.6799999999999999E-4</v>
      </c>
      <c r="DJ41" s="45">
        <v>0</v>
      </c>
      <c r="DK41" s="45">
        <v>0</v>
      </c>
      <c r="DL41" s="45">
        <f t="shared" si="10"/>
        <v>1.15E-3</v>
      </c>
      <c r="DM41" s="45">
        <f>DM42+DM43+DM44</f>
        <v>1.15E-3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f t="shared" si="18"/>
        <v>0</v>
      </c>
      <c r="EA41" s="45">
        <f>EA42+EA43+EA44</f>
        <v>0</v>
      </c>
      <c r="EB41" s="45">
        <v>1.3272000000000001E-2</v>
      </c>
      <c r="EC41" s="45">
        <v>0</v>
      </c>
      <c r="ED41" s="45">
        <v>9.9360000000000004E-3</v>
      </c>
      <c r="EE41" s="45">
        <v>1.4926E-2</v>
      </c>
      <c r="EF41" s="45">
        <v>0</v>
      </c>
      <c r="EG41" s="45">
        <v>0</v>
      </c>
      <c r="EH41" s="45">
        <v>0</v>
      </c>
      <c r="EI41" s="42">
        <v>0</v>
      </c>
      <c r="EJ41" s="45">
        <v>0</v>
      </c>
      <c r="EK41" s="45">
        <v>-2.4861000000000001E-2</v>
      </c>
      <c r="EL41" s="45">
        <v>-9.9999999999999995E-7</v>
      </c>
      <c r="EM41" s="45">
        <v>0</v>
      </c>
      <c r="EN41" s="45">
        <f t="shared" si="19"/>
        <v>1.3272000000000001E-2</v>
      </c>
      <c r="EO41" s="45">
        <v>1.3272000000000001E-2</v>
      </c>
      <c r="EP41" s="45">
        <v>0</v>
      </c>
      <c r="EQ41" s="45">
        <v>0</v>
      </c>
      <c r="ER41" s="45">
        <v>0</v>
      </c>
      <c r="ES41" s="45">
        <v>0</v>
      </c>
      <c r="ET41" s="42">
        <v>0</v>
      </c>
      <c r="EU41" s="42">
        <v>0</v>
      </c>
      <c r="EV41" s="42">
        <v>0</v>
      </c>
      <c r="EW41" s="42">
        <v>0</v>
      </c>
      <c r="EX41" s="42">
        <v>0</v>
      </c>
      <c r="EY41" s="45">
        <v>0</v>
      </c>
      <c r="EZ41" s="42">
        <v>0</v>
      </c>
      <c r="FA41" s="42">
        <v>3.761E-3</v>
      </c>
      <c r="FB41" s="45">
        <f t="shared" si="20"/>
        <v>3.761E-3</v>
      </c>
      <c r="FC41" s="45">
        <v>3.761E-3</v>
      </c>
      <c r="FD41" s="45">
        <v>0</v>
      </c>
      <c r="FE41" s="45">
        <v>0.206874</v>
      </c>
      <c r="FF41" s="45"/>
      <c r="FG41" s="45">
        <v>1.6265000000000002E-2</v>
      </c>
      <c r="FH41" s="45"/>
      <c r="FI41" s="45"/>
      <c r="FJ41" s="45">
        <v>9.9999999999999995E-7</v>
      </c>
      <c r="FK41" s="45"/>
      <c r="FL41" s="45"/>
      <c r="FM41" s="45"/>
      <c r="FN41" s="45"/>
      <c r="FO41" s="45">
        <v>4.7884999999999997E-2</v>
      </c>
      <c r="FP41" s="45">
        <f t="shared" si="21"/>
        <v>0.27102500000000002</v>
      </c>
      <c r="FQ41" s="45">
        <v>0.27102500000000002</v>
      </c>
      <c r="FR41" s="45">
        <v>0</v>
      </c>
      <c r="FS41" s="45">
        <v>5.7930000000000004E-3</v>
      </c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>
        <f t="shared" si="11"/>
        <v>5.7930000000000004E-3</v>
      </c>
      <c r="GE41" s="45">
        <v>5.7930000000000004E-3</v>
      </c>
      <c r="GF41" s="45"/>
      <c r="GG41" s="45"/>
      <c r="GH41" s="45"/>
      <c r="GI41" s="45"/>
      <c r="GJ41" s="45">
        <v>5.5849000000000003E-2</v>
      </c>
      <c r="GK41" s="45"/>
      <c r="GL41" s="45"/>
      <c r="GM41" s="45"/>
      <c r="GN41" s="45">
        <v>5.5426000000000003E-2</v>
      </c>
      <c r="GO41" s="45">
        <v>5.6499999999999996E-4</v>
      </c>
      <c r="GP41" s="45"/>
      <c r="GQ41" s="45">
        <v>3.1427999999999998E-2</v>
      </c>
      <c r="GR41" s="45">
        <f t="shared" si="12"/>
        <v>0.14326800000000001</v>
      </c>
      <c r="GS41" s="45">
        <v>0.14326800000000001</v>
      </c>
      <c r="GT41" s="45"/>
      <c r="GU41" s="45"/>
      <c r="GV41" s="45"/>
      <c r="GW41" s="45">
        <v>4.2299999999999998E-4</v>
      </c>
      <c r="GX41" s="45"/>
      <c r="GY41" s="45"/>
      <c r="GZ41" s="45">
        <v>4.2789000000000001E-2</v>
      </c>
      <c r="HA41" s="45">
        <v>0.31629400000000002</v>
      </c>
      <c r="HB41" s="45"/>
      <c r="HC41" s="45">
        <v>0.05</v>
      </c>
      <c r="HD41" s="45"/>
      <c r="HE41" s="45">
        <v>6.1046999999999997E-2</v>
      </c>
      <c r="HF41" s="45">
        <f t="shared" si="13"/>
        <v>0.470553</v>
      </c>
      <c r="HG41" s="45"/>
      <c r="HH41" s="45"/>
      <c r="HI41" s="45"/>
      <c r="HJ41" s="45">
        <v>3.3117000000000001E-2</v>
      </c>
      <c r="HK41" s="45"/>
      <c r="HL41" s="45"/>
      <c r="HM41" s="45"/>
      <c r="HN41" s="45"/>
      <c r="HO41" s="45"/>
      <c r="HP41" s="45"/>
      <c r="HQ41" s="45"/>
      <c r="HR41" s="45"/>
      <c r="HS41" s="283">
        <f t="shared" si="14"/>
        <v>4.2299999999999998E-4</v>
      </c>
      <c r="HT41" s="283">
        <f t="shared" si="15"/>
        <v>3.3117000000000001E-2</v>
      </c>
      <c r="HU41" s="280">
        <f t="shared" si="16"/>
        <v>3.2694000000000001E-2</v>
      </c>
      <c r="HV41" s="280"/>
    </row>
    <row r="42" spans="1:230" s="12" customFormat="1" ht="20.25" hidden="1" customHeight="1">
      <c r="A42" s="314" t="s">
        <v>239</v>
      </c>
      <c r="B42" s="13" t="s">
        <v>254</v>
      </c>
      <c r="C42" s="47" t="s">
        <v>240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>
        <v>0</v>
      </c>
      <c r="S42" s="44">
        <v>1.7174062754338336E-3</v>
      </c>
      <c r="T42" s="44"/>
      <c r="U42" s="44"/>
      <c r="V42" s="44"/>
      <c r="W42" s="42">
        <v>7.3562472609717646E-4</v>
      </c>
      <c r="X42" s="44"/>
      <c r="Y42" s="44"/>
      <c r="Z42" s="44"/>
      <c r="AA42" s="44"/>
      <c r="AB42" s="44"/>
      <c r="AC42" s="44"/>
      <c r="AD42" s="44"/>
      <c r="AE42" s="42">
        <v>1.644839813091559E-2</v>
      </c>
      <c r="AF42" s="44">
        <v>0</v>
      </c>
      <c r="AG42" s="44">
        <v>1.7184022857012766E-2</v>
      </c>
      <c r="AH42" s="44"/>
      <c r="AI42" s="44"/>
      <c r="AJ42" s="44"/>
      <c r="AK42" s="44"/>
      <c r="AL42" s="44">
        <v>6.3443008292496883E-2</v>
      </c>
      <c r="AM42" s="44">
        <v>1.3719329998121699E-2</v>
      </c>
      <c r="AN42" s="44"/>
      <c r="AO42" s="44"/>
      <c r="AP42" s="44"/>
      <c r="AQ42" s="44"/>
      <c r="AR42" s="44">
        <v>-5.3894115571339968E-2</v>
      </c>
      <c r="AS42" s="44">
        <v>8.2355820399428598E-3</v>
      </c>
      <c r="AT42" s="44">
        <f>SUM(AH42:AS42)</f>
        <v>3.1503804759221474E-2</v>
      </c>
      <c r="AU42" s="44">
        <v>5.6386986983221629E-2</v>
      </c>
      <c r="AV42" s="44"/>
      <c r="AW42" s="44"/>
      <c r="AX42" s="44">
        <v>4.6169999999999996E-3</v>
      </c>
      <c r="AY42" s="44">
        <v>8.8269999999999998E-3</v>
      </c>
      <c r="AZ42" s="44"/>
      <c r="BA42" s="44"/>
      <c r="BB42" s="44"/>
      <c r="BC42" s="44"/>
      <c r="BD42" s="44"/>
      <c r="BE42" s="44"/>
      <c r="BF42" s="44">
        <v>1.7753999999999999E-2</v>
      </c>
      <c r="BG42" s="44"/>
      <c r="BH42" s="50">
        <f t="shared" si="6"/>
        <v>3.1197999999999997E-2</v>
      </c>
      <c r="BI42" s="50">
        <v>3.1198E-2</v>
      </c>
      <c r="BJ42" s="44">
        <v>2.2296E-2</v>
      </c>
      <c r="BK42" s="42">
        <v>0</v>
      </c>
      <c r="BL42" s="42">
        <v>0</v>
      </c>
      <c r="BM42" s="42">
        <v>0</v>
      </c>
      <c r="BN42" s="42">
        <v>1.7496999999999999E-2</v>
      </c>
      <c r="BO42" s="42">
        <v>0</v>
      </c>
      <c r="BP42" s="42">
        <v>0</v>
      </c>
      <c r="BQ42" s="42">
        <v>0</v>
      </c>
      <c r="BR42" s="42">
        <v>0</v>
      </c>
      <c r="BS42" s="42">
        <v>0</v>
      </c>
      <c r="BT42" s="42">
        <v>0</v>
      </c>
      <c r="BU42" s="42">
        <v>0</v>
      </c>
      <c r="BV42" s="45">
        <f t="shared" si="7"/>
        <v>3.9792999999999995E-2</v>
      </c>
      <c r="BW42" s="45"/>
      <c r="BX42" s="45">
        <v>0</v>
      </c>
      <c r="BY42" s="45">
        <v>0</v>
      </c>
      <c r="BZ42" s="45">
        <v>9.6450000000000008E-3</v>
      </c>
      <c r="CA42" s="45">
        <v>0</v>
      </c>
      <c r="CB42" s="45">
        <v>0</v>
      </c>
      <c r="CC42" s="45">
        <v>0</v>
      </c>
      <c r="CD42" s="45">
        <v>4.6299999999999998E-4</v>
      </c>
      <c r="CE42" s="45">
        <v>0</v>
      </c>
      <c r="CF42" s="45">
        <v>1.18E-4</v>
      </c>
      <c r="CG42" s="45">
        <v>0</v>
      </c>
      <c r="CH42" s="45">
        <v>0</v>
      </c>
      <c r="CI42" s="45">
        <v>0</v>
      </c>
      <c r="CJ42" s="45">
        <f t="shared" si="8"/>
        <v>1.0226000000000001E-2</v>
      </c>
      <c r="CK42" s="45"/>
      <c r="CL42" s="45">
        <v>0</v>
      </c>
      <c r="CM42" s="45">
        <v>0</v>
      </c>
      <c r="CN42" s="45">
        <v>0</v>
      </c>
      <c r="CO42" s="45">
        <v>1.3422E-2</v>
      </c>
      <c r="CP42" s="45">
        <v>0</v>
      </c>
      <c r="CQ42" s="45">
        <v>0</v>
      </c>
      <c r="CR42" s="45">
        <v>0</v>
      </c>
      <c r="CS42" s="45">
        <v>0</v>
      </c>
      <c r="CT42" s="45">
        <v>6.1022E-2</v>
      </c>
      <c r="CU42" s="45">
        <v>0</v>
      </c>
      <c r="CV42" s="45">
        <v>0</v>
      </c>
      <c r="CW42" s="45">
        <v>0</v>
      </c>
      <c r="CX42" s="45">
        <f t="shared" si="9"/>
        <v>7.4443999999999996E-2</v>
      </c>
      <c r="CY42" s="45">
        <v>7.4443999999999996E-2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4.6799999999999999E-4</v>
      </c>
      <c r="DJ42" s="45">
        <v>0</v>
      </c>
      <c r="DK42" s="45">
        <v>0</v>
      </c>
      <c r="DL42" s="45">
        <f t="shared" si="10"/>
        <v>4.6799999999999999E-4</v>
      </c>
      <c r="DM42" s="45">
        <v>4.6799999999999999E-4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f t="shared" si="18"/>
        <v>0</v>
      </c>
      <c r="EA42" s="45"/>
      <c r="EB42" s="45">
        <v>1.3272000000000001E-2</v>
      </c>
      <c r="EC42" s="45">
        <v>0</v>
      </c>
      <c r="ED42" s="45">
        <v>9.9360000000000004E-3</v>
      </c>
      <c r="EE42" s="45">
        <v>1.4926E-2</v>
      </c>
      <c r="EF42" s="45">
        <v>0</v>
      </c>
      <c r="EG42" s="45">
        <v>0</v>
      </c>
      <c r="EH42" s="45">
        <v>0</v>
      </c>
      <c r="EI42" s="42">
        <v>0</v>
      </c>
      <c r="EJ42" s="45">
        <v>0</v>
      </c>
      <c r="EK42" s="45">
        <v>-2.4861000000000001E-2</v>
      </c>
      <c r="EL42" s="45">
        <v>-9.9999999999999995E-7</v>
      </c>
      <c r="EM42" s="45">
        <v>0</v>
      </c>
      <c r="EN42" s="45">
        <f t="shared" si="19"/>
        <v>1.3272000000000001E-2</v>
      </c>
      <c r="EO42" s="45">
        <v>1.3272000000000001E-2</v>
      </c>
      <c r="EP42" s="45">
        <v>0</v>
      </c>
      <c r="EQ42" s="45">
        <v>0</v>
      </c>
      <c r="ER42" s="45">
        <v>0</v>
      </c>
      <c r="ES42" s="45">
        <v>0</v>
      </c>
      <c r="ET42" s="42">
        <v>0</v>
      </c>
      <c r="EU42" s="42">
        <v>0</v>
      </c>
      <c r="EV42" s="42">
        <v>0</v>
      </c>
      <c r="EW42" s="42">
        <v>0</v>
      </c>
      <c r="EX42" s="42">
        <v>0</v>
      </c>
      <c r="EY42" s="42">
        <v>0</v>
      </c>
      <c r="EZ42" s="42">
        <v>0</v>
      </c>
      <c r="FA42" s="42">
        <v>3.761E-3</v>
      </c>
      <c r="FB42" s="45">
        <f t="shared" si="20"/>
        <v>3.761E-3</v>
      </c>
      <c r="FC42" s="45">
        <v>3.761E-3</v>
      </c>
      <c r="FD42" s="45">
        <v>0</v>
      </c>
      <c r="FE42" s="45">
        <v>0.206874</v>
      </c>
      <c r="FF42" s="45"/>
      <c r="FG42" s="45">
        <v>1.6265000000000002E-2</v>
      </c>
      <c r="FH42" s="45"/>
      <c r="FI42" s="45"/>
      <c r="FJ42" s="45">
        <v>9.9999999999999995E-7</v>
      </c>
      <c r="FK42" s="45"/>
      <c r="FL42" s="45"/>
      <c r="FM42" s="45"/>
      <c r="FN42" s="45"/>
      <c r="FO42" s="45">
        <v>4.7884999999999997E-2</v>
      </c>
      <c r="FP42" s="45">
        <f t="shared" si="21"/>
        <v>0.27102500000000002</v>
      </c>
      <c r="FQ42" s="45">
        <v>0.27102500000000002</v>
      </c>
      <c r="FR42" s="45">
        <v>0</v>
      </c>
      <c r="FS42" s="45">
        <v>5.7930000000000004E-3</v>
      </c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>
        <f t="shared" si="11"/>
        <v>5.7930000000000004E-3</v>
      </c>
      <c r="GE42" s="45">
        <v>5.7930000000000004E-3</v>
      </c>
      <c r="GF42" s="45"/>
      <c r="GG42" s="45"/>
      <c r="GH42" s="45"/>
      <c r="GI42" s="45"/>
      <c r="GJ42" s="45">
        <v>5.5849000000000003E-2</v>
      </c>
      <c r="GK42" s="45"/>
      <c r="GL42" s="45"/>
      <c r="GM42" s="45"/>
      <c r="GN42" s="45">
        <v>5.5426000000000003E-2</v>
      </c>
      <c r="GO42" s="45">
        <v>5.6499999999999996E-4</v>
      </c>
      <c r="GP42" s="45"/>
      <c r="GQ42" s="45">
        <v>3.1427999999999998E-2</v>
      </c>
      <c r="GR42" s="45">
        <f t="shared" si="12"/>
        <v>0.14326800000000001</v>
      </c>
      <c r="GS42" s="45">
        <v>0.14326800000000001</v>
      </c>
      <c r="GT42" s="45"/>
      <c r="GU42" s="45"/>
      <c r="GV42" s="45"/>
      <c r="GW42" s="45">
        <v>4.2299999999999998E-4</v>
      </c>
      <c r="GX42" s="45"/>
      <c r="GY42" s="45"/>
      <c r="GZ42" s="45"/>
      <c r="HA42" s="45"/>
      <c r="HB42" s="45"/>
      <c r="HC42" s="45"/>
      <c r="HD42" s="45"/>
      <c r="HE42" s="45">
        <v>6.1046999999999997E-2</v>
      </c>
      <c r="HF42" s="45">
        <f t="shared" si="13"/>
        <v>6.1469999999999997E-2</v>
      </c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283">
        <f t="shared" si="14"/>
        <v>4.2299999999999998E-4</v>
      </c>
      <c r="HT42" s="283">
        <f t="shared" si="15"/>
        <v>0</v>
      </c>
      <c r="HU42" s="277">
        <f t="shared" si="16"/>
        <v>-4.2299999999999998E-4</v>
      </c>
      <c r="HV42" s="280">
        <f t="shared" si="17"/>
        <v>-100</v>
      </c>
    </row>
    <row r="43" spans="1:230" s="12" customFormat="1" ht="20.25" hidden="1" customHeight="1">
      <c r="A43" s="314" t="s">
        <v>241</v>
      </c>
      <c r="B43" s="13"/>
      <c r="C43" s="47" t="s">
        <v>212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2">
        <v>1.7174062754338336E-3</v>
      </c>
      <c r="R43" s="44">
        <v>0</v>
      </c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>
        <f>SUM(AH43:AS43)</f>
        <v>0</v>
      </c>
      <c r="AU43" s="44">
        <v>0</v>
      </c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50"/>
      <c r="BI43" s="50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50">
        <f t="shared" si="7"/>
        <v>0</v>
      </c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>
        <f t="shared" si="8"/>
        <v>0</v>
      </c>
      <c r="CK43" s="50"/>
      <c r="CL43" s="50"/>
      <c r="CM43" s="50">
        <v>0</v>
      </c>
      <c r="CN43" s="50">
        <v>0</v>
      </c>
      <c r="CO43" s="50">
        <v>0</v>
      </c>
      <c r="CP43" s="50">
        <v>0</v>
      </c>
      <c r="CQ43" s="50">
        <v>0</v>
      </c>
      <c r="CR43" s="50">
        <v>0</v>
      </c>
      <c r="CS43" s="50">
        <v>0</v>
      </c>
      <c r="CT43" s="50">
        <v>0</v>
      </c>
      <c r="CU43" s="50">
        <v>0</v>
      </c>
      <c r="CV43" s="50">
        <v>0</v>
      </c>
      <c r="CW43" s="50"/>
      <c r="CX43" s="50">
        <f t="shared" si="9"/>
        <v>0</v>
      </c>
      <c r="CY43" s="50"/>
      <c r="CZ43" s="50">
        <v>0</v>
      </c>
      <c r="DA43" s="50">
        <v>0</v>
      </c>
      <c r="DB43" s="50">
        <v>0</v>
      </c>
      <c r="DC43" s="50">
        <v>0</v>
      </c>
      <c r="DD43" s="50">
        <v>0</v>
      </c>
      <c r="DE43" s="50">
        <v>0</v>
      </c>
      <c r="DF43" s="50">
        <v>5.5099999999999995E-4</v>
      </c>
      <c r="DG43" s="50">
        <v>0</v>
      </c>
      <c r="DH43" s="50">
        <v>1.3100000000000001E-4</v>
      </c>
      <c r="DI43" s="50">
        <v>0</v>
      </c>
      <c r="DJ43" s="50">
        <v>0</v>
      </c>
      <c r="DK43" s="50">
        <v>0</v>
      </c>
      <c r="DL43" s="45">
        <f t="shared" si="10"/>
        <v>6.8199999999999999E-4</v>
      </c>
      <c r="DM43" s="50"/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f t="shared" si="18"/>
        <v>0</v>
      </c>
      <c r="EA43" s="50"/>
      <c r="EB43" s="45">
        <v>0</v>
      </c>
      <c r="EC43" s="45">
        <v>0</v>
      </c>
      <c r="ED43" s="45">
        <v>0</v>
      </c>
      <c r="EE43" s="45"/>
      <c r="EF43" s="45">
        <v>0</v>
      </c>
      <c r="EG43" s="45">
        <v>0</v>
      </c>
      <c r="EH43" s="45">
        <v>0</v>
      </c>
      <c r="EI43" s="42">
        <v>0</v>
      </c>
      <c r="EJ43" s="45">
        <v>0</v>
      </c>
      <c r="EK43" s="45">
        <v>0</v>
      </c>
      <c r="EL43" s="45">
        <v>0</v>
      </c>
      <c r="EM43" s="45">
        <v>0</v>
      </c>
      <c r="EN43" s="45"/>
      <c r="EO43" s="45"/>
      <c r="EP43" s="45">
        <v>0</v>
      </c>
      <c r="EQ43" s="45">
        <v>0</v>
      </c>
      <c r="ER43" s="45">
        <v>0</v>
      </c>
      <c r="ES43" s="45">
        <v>0</v>
      </c>
      <c r="ET43" s="42">
        <v>0</v>
      </c>
      <c r="EU43" s="42">
        <v>0</v>
      </c>
      <c r="EV43" s="183"/>
      <c r="EW43" s="183"/>
      <c r="EX43" s="183"/>
      <c r="EY43" s="183"/>
      <c r="EZ43" s="42"/>
      <c r="FA43" s="42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>
        <f t="shared" si="11"/>
        <v>0</v>
      </c>
      <c r="GE43" s="45"/>
      <c r="GF43" s="45"/>
      <c r="GG43" s="45"/>
      <c r="GH43" s="45"/>
      <c r="GI43" s="45"/>
      <c r="GJ43" s="45"/>
      <c r="GK43" s="45"/>
      <c r="GL43" s="45"/>
      <c r="GM43" s="45"/>
      <c r="GN43" s="45"/>
      <c r="GO43" s="45"/>
      <c r="GP43" s="45"/>
      <c r="GQ43" s="45"/>
      <c r="GR43" s="45">
        <f t="shared" si="12"/>
        <v>0</v>
      </c>
      <c r="GS43" s="45"/>
      <c r="GT43" s="45"/>
      <c r="GU43" s="45"/>
      <c r="GV43" s="45"/>
      <c r="GW43" s="45"/>
      <c r="GX43" s="45"/>
      <c r="GY43" s="45"/>
      <c r="GZ43" s="45">
        <v>4.2789000000000001E-2</v>
      </c>
      <c r="HA43" s="45">
        <v>0.31629400000000002</v>
      </c>
      <c r="HB43" s="45"/>
      <c r="HC43" s="45">
        <v>0.05</v>
      </c>
      <c r="HD43" s="45"/>
      <c r="HE43" s="45"/>
      <c r="HF43" s="45">
        <f t="shared" si="13"/>
        <v>0.40908300000000003</v>
      </c>
      <c r="HG43" s="45"/>
      <c r="HH43" s="45"/>
      <c r="HI43" s="45"/>
      <c r="HJ43" s="45">
        <v>3.3117000000000001E-2</v>
      </c>
      <c r="HK43" s="45"/>
      <c r="HL43" s="45"/>
      <c r="HM43" s="45"/>
      <c r="HN43" s="45"/>
      <c r="HO43" s="45"/>
      <c r="HP43" s="45"/>
      <c r="HQ43" s="45"/>
      <c r="HR43" s="45"/>
      <c r="HS43" s="283">
        <f t="shared" si="14"/>
        <v>0</v>
      </c>
      <c r="HT43" s="283">
        <f t="shared" si="15"/>
        <v>3.3117000000000001E-2</v>
      </c>
      <c r="HU43" s="277">
        <f t="shared" si="16"/>
        <v>3.3117000000000001E-2</v>
      </c>
      <c r="HV43" s="280" t="e">
        <f t="shared" si="17"/>
        <v>#DIV/0!</v>
      </c>
    </row>
    <row r="44" spans="1:230" s="12" customFormat="1" ht="20.25" hidden="1" customHeight="1">
      <c r="A44" s="314" t="s">
        <v>242</v>
      </c>
      <c r="B44" s="13">
        <v>9800</v>
      </c>
      <c r="C44" s="47" t="s">
        <v>215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>
        <v>0</v>
      </c>
      <c r="S44" s="44"/>
      <c r="T44" s="44"/>
      <c r="U44" s="44"/>
      <c r="V44" s="42">
        <v>4.5456812994803677</v>
      </c>
      <c r="W44" s="44"/>
      <c r="X44" s="44"/>
      <c r="Y44" s="44"/>
      <c r="Z44" s="44"/>
      <c r="AA44" s="44"/>
      <c r="AB44" s="44"/>
      <c r="AC44" s="42">
        <v>1.022360430504095</v>
      </c>
      <c r="AD44" s="42">
        <v>0.22661937040768124</v>
      </c>
      <c r="AE44" s="44">
        <v>-0.14355353697474688</v>
      </c>
      <c r="AF44" s="44">
        <v>0</v>
      </c>
      <c r="AG44" s="44">
        <v>5.6511075634173968</v>
      </c>
      <c r="AH44" s="44">
        <v>1.3593761560833462</v>
      </c>
      <c r="AI44" s="44">
        <v>1.2536297459889245</v>
      </c>
      <c r="AJ44" s="44">
        <v>0.19410959527834221</v>
      </c>
      <c r="AK44" s="44">
        <v>0.28093465603496848</v>
      </c>
      <c r="AL44" s="44">
        <v>0.36146493190135515</v>
      </c>
      <c r="AM44" s="44">
        <v>0.46313054564288203</v>
      </c>
      <c r="AN44" s="44">
        <v>1.2298663638795453</v>
      </c>
      <c r="AO44" s="44">
        <v>0.5672619962322355</v>
      </c>
      <c r="AP44" s="44">
        <v>1.0922077848162504</v>
      </c>
      <c r="AQ44" s="44">
        <v>0.6058673541983256</v>
      </c>
      <c r="AR44" s="44">
        <v>0.17116151871645582</v>
      </c>
      <c r="AS44" s="44">
        <v>2.4883182224347045E-2</v>
      </c>
      <c r="AT44" s="44">
        <f>SUM(AH44:AS44)</f>
        <v>7.6038938309969781</v>
      </c>
      <c r="AU44" s="44">
        <v>7.1037245092519781</v>
      </c>
      <c r="AV44" s="44">
        <v>0.67126799999999998</v>
      </c>
      <c r="AW44" s="44">
        <v>0.28181499999999998</v>
      </c>
      <c r="AX44" s="44">
        <v>0.21504999999999999</v>
      </c>
      <c r="AY44" s="44">
        <v>0.71071899999999999</v>
      </c>
      <c r="AZ44" s="44">
        <v>1.2829E-2</v>
      </c>
      <c r="BA44" s="44"/>
      <c r="BB44" s="44">
        <v>0.92613699999999999</v>
      </c>
      <c r="BC44" s="44">
        <v>0.25495400000000001</v>
      </c>
      <c r="BD44" s="44">
        <v>0.17452000000000001</v>
      </c>
      <c r="BE44" s="44">
        <v>0.32917099999999999</v>
      </c>
      <c r="BF44" s="44">
        <v>0.26929599999999998</v>
      </c>
      <c r="BG44" s="44">
        <v>1.950855</v>
      </c>
      <c r="BH44" s="50">
        <f t="shared" si="6"/>
        <v>5.7966139999999999</v>
      </c>
      <c r="BI44" s="50">
        <v>5.6501890000000001</v>
      </c>
      <c r="BJ44" s="44">
        <v>0.12900700000000001</v>
      </c>
      <c r="BK44" s="44">
        <v>0.75457300000000005</v>
      </c>
      <c r="BL44" s="44">
        <v>0.59638999999999998</v>
      </c>
      <c r="BM44" s="44">
        <v>0.17638200000000001</v>
      </c>
      <c r="BN44" s="44">
        <v>0.56099399999999999</v>
      </c>
      <c r="BO44" s="44">
        <v>1.6531070000000001</v>
      </c>
      <c r="BP44" s="44">
        <v>0.428035</v>
      </c>
      <c r="BQ44" s="44">
        <v>0.37462400000000001</v>
      </c>
      <c r="BR44" s="44">
        <v>1.78565</v>
      </c>
      <c r="BS44" s="44">
        <v>0.283966</v>
      </c>
      <c r="BT44" s="44">
        <v>0.44742700000000002</v>
      </c>
      <c r="BU44" s="44">
        <v>0.34409000000000001</v>
      </c>
      <c r="BV44" s="50">
        <f t="shared" si="7"/>
        <v>7.5342450000000003</v>
      </c>
      <c r="BW44" s="50">
        <v>7.1816050000000002</v>
      </c>
      <c r="BX44" s="50">
        <v>6.8395999999999998E-2</v>
      </c>
      <c r="BY44" s="50">
        <v>0</v>
      </c>
      <c r="BZ44" s="50">
        <v>0.50809300000000002</v>
      </c>
      <c r="CA44" s="50">
        <v>1.855165</v>
      </c>
      <c r="CB44" s="50">
        <v>0.97279099999999996</v>
      </c>
      <c r="CC44" s="50">
        <v>0</v>
      </c>
      <c r="CD44" s="50">
        <v>-0.12622700000000001</v>
      </c>
      <c r="CE44" s="50">
        <v>0</v>
      </c>
      <c r="CF44" s="50">
        <v>0</v>
      </c>
      <c r="CG44" s="50">
        <v>0</v>
      </c>
      <c r="CH44" s="50">
        <v>0</v>
      </c>
      <c r="CI44" s="50">
        <v>0</v>
      </c>
      <c r="CJ44" s="50">
        <f t="shared" si="8"/>
        <v>3.2782179999999999</v>
      </c>
      <c r="CK44" s="50">
        <v>3.4030830000000001</v>
      </c>
      <c r="CL44" s="50">
        <v>0</v>
      </c>
      <c r="CM44" s="50">
        <v>0</v>
      </c>
      <c r="CN44" s="50">
        <v>3.1580000000000002E-3</v>
      </c>
      <c r="CO44" s="50">
        <v>0</v>
      </c>
      <c r="CP44" s="50">
        <v>0</v>
      </c>
      <c r="CQ44" s="50">
        <v>0</v>
      </c>
      <c r="CR44" s="50">
        <v>0</v>
      </c>
      <c r="CS44" s="50">
        <v>0</v>
      </c>
      <c r="CT44" s="50">
        <v>0</v>
      </c>
      <c r="CU44" s="50">
        <v>0</v>
      </c>
      <c r="CV44" s="50">
        <v>0</v>
      </c>
      <c r="CW44" s="50">
        <v>0</v>
      </c>
      <c r="CX44" s="50">
        <f t="shared" si="9"/>
        <v>3.1580000000000002E-3</v>
      </c>
      <c r="CY44" s="50">
        <v>3.1580000000000002E-3</v>
      </c>
      <c r="CZ44" s="50">
        <v>0</v>
      </c>
      <c r="DA44" s="50">
        <v>0</v>
      </c>
      <c r="DB44" s="50">
        <v>0</v>
      </c>
      <c r="DC44" s="50">
        <v>0</v>
      </c>
      <c r="DD44" s="50">
        <v>0</v>
      </c>
      <c r="DE44" s="50">
        <v>0</v>
      </c>
      <c r="DF44" s="50">
        <v>0</v>
      </c>
      <c r="DG44" s="50">
        <v>0</v>
      </c>
      <c r="DH44" s="50">
        <v>0</v>
      </c>
      <c r="DI44" s="50">
        <v>0</v>
      </c>
      <c r="DJ44" s="50">
        <v>0</v>
      </c>
      <c r="DK44" s="50">
        <v>0</v>
      </c>
      <c r="DL44" s="45">
        <f t="shared" si="10"/>
        <v>0</v>
      </c>
      <c r="DM44" s="50">
        <f>0.000551+0.000131</f>
        <v>6.8199999999999999E-4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f t="shared" si="18"/>
        <v>0</v>
      </c>
      <c r="EA44" s="50"/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2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f t="shared" si="19"/>
        <v>0</v>
      </c>
      <c r="EO44" s="45"/>
      <c r="EP44" s="45">
        <v>0</v>
      </c>
      <c r="EQ44" s="45">
        <v>0</v>
      </c>
      <c r="ER44" s="45"/>
      <c r="ES44" s="45"/>
      <c r="ET44" s="42"/>
      <c r="EU44" s="42"/>
      <c r="EV44" s="42"/>
      <c r="EW44" s="42"/>
      <c r="EX44" s="42"/>
      <c r="EY44" s="45"/>
      <c r="EZ44" s="42"/>
      <c r="FA44" s="42"/>
      <c r="FB44" s="45">
        <f t="shared" si="20"/>
        <v>0</v>
      </c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>
        <f t="shared" si="21"/>
        <v>0</v>
      </c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>
        <f t="shared" si="11"/>
        <v>0</v>
      </c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>
        <f t="shared" si="12"/>
        <v>0</v>
      </c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>
        <f t="shared" si="13"/>
        <v>0</v>
      </c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  <c r="HS44" s="283">
        <f t="shared" si="14"/>
        <v>0</v>
      </c>
      <c r="HT44" s="283">
        <f t="shared" si="15"/>
        <v>0</v>
      </c>
      <c r="HU44" s="277">
        <f t="shared" si="16"/>
        <v>0</v>
      </c>
      <c r="HV44" s="280" t="e">
        <f t="shared" si="17"/>
        <v>#DIV/0!</v>
      </c>
    </row>
    <row r="45" spans="1:230" s="12" customFormat="1" ht="20.25" hidden="1" customHeight="1">
      <c r="A45" s="42" t="s">
        <v>178</v>
      </c>
      <c r="B45" s="13" t="s">
        <v>94</v>
      </c>
      <c r="C45" s="42" t="s">
        <v>179</v>
      </c>
      <c r="D45" s="42">
        <v>7.5954320123391456E-2</v>
      </c>
      <c r="E45" s="42">
        <v>7.2851036704401229E-4</v>
      </c>
      <c r="F45" s="42">
        <v>0</v>
      </c>
      <c r="G45" s="42">
        <v>0</v>
      </c>
      <c r="H45" s="42">
        <v>0</v>
      </c>
      <c r="I45" s="42">
        <v>0</v>
      </c>
      <c r="J45" s="42">
        <v>4.2748760678652943E-2</v>
      </c>
      <c r="K45" s="42">
        <v>-4.2570901702323839E-2</v>
      </c>
      <c r="L45" s="42">
        <v>1.0671538579746273E-4</v>
      </c>
      <c r="M45" s="42">
        <v>0</v>
      </c>
      <c r="N45" s="42">
        <v>-2.8457436212656729E-4</v>
      </c>
      <c r="O45" s="42">
        <v>0</v>
      </c>
      <c r="P45" s="42">
        <v>0</v>
      </c>
      <c r="Q45" s="42">
        <v>1.9941391910120034</v>
      </c>
      <c r="R45" s="42">
        <v>1.9941391910120034</v>
      </c>
      <c r="S45" s="42">
        <v>3.0352971810063689</v>
      </c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42">
        <v>0</v>
      </c>
      <c r="AG45" s="42">
        <v>0</v>
      </c>
      <c r="AH45" s="100"/>
      <c r="AI45" s="100"/>
      <c r="AJ45" s="100"/>
      <c r="AK45" s="100"/>
      <c r="AL45" s="100"/>
      <c r="AM45" s="100"/>
      <c r="AN45" s="100"/>
      <c r="AO45" s="100"/>
      <c r="AP45" s="42"/>
      <c r="AQ45" s="42"/>
      <c r="AR45" s="42"/>
      <c r="AS45" s="42"/>
      <c r="AT45" s="42">
        <v>0</v>
      </c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5"/>
      <c r="BI45" s="45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5">
        <f t="shared" si="7"/>
        <v>0</v>
      </c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>
        <f t="shared" si="8"/>
        <v>0</v>
      </c>
      <c r="CK45" s="45"/>
      <c r="CL45" s="45"/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f t="shared" si="9"/>
        <v>0</v>
      </c>
      <c r="CY45" s="45"/>
      <c r="CZ45" s="50">
        <v>0</v>
      </c>
      <c r="DA45" s="50">
        <v>0</v>
      </c>
      <c r="DB45" s="50">
        <v>0</v>
      </c>
      <c r="DC45" s="50">
        <v>0</v>
      </c>
      <c r="DD45" s="50">
        <v>0</v>
      </c>
      <c r="DE45" s="50">
        <v>0</v>
      </c>
      <c r="DF45" s="50">
        <v>0</v>
      </c>
      <c r="DG45" s="50">
        <v>0</v>
      </c>
      <c r="DH45" s="50">
        <v>0</v>
      </c>
      <c r="DI45" s="50">
        <v>0</v>
      </c>
      <c r="DJ45" s="50">
        <v>0</v>
      </c>
      <c r="DK45" s="50">
        <v>0</v>
      </c>
      <c r="DL45" s="45">
        <f t="shared" si="10"/>
        <v>0</v>
      </c>
      <c r="DM45" s="45"/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f t="shared" si="18"/>
        <v>0</v>
      </c>
      <c r="EA45" s="45"/>
      <c r="EB45" s="45">
        <v>0</v>
      </c>
      <c r="EC45" s="45"/>
      <c r="ED45" s="45">
        <v>0</v>
      </c>
      <c r="EE45" s="45"/>
      <c r="EF45" s="45"/>
      <c r="EG45" s="45"/>
      <c r="EH45" s="45"/>
      <c r="EI45" s="42"/>
      <c r="EJ45" s="45">
        <v>0</v>
      </c>
      <c r="EK45" s="45">
        <v>0</v>
      </c>
      <c r="EL45" s="45">
        <v>0</v>
      </c>
      <c r="EM45" s="45">
        <v>0</v>
      </c>
      <c r="EN45" s="45">
        <f t="shared" si="19"/>
        <v>0</v>
      </c>
      <c r="EO45" s="45"/>
      <c r="EP45" s="45">
        <f t="shared" ref="EP45:EV45" si="34">FD33-EP33</f>
        <v>0.58822400000000008</v>
      </c>
      <c r="EQ45" s="45">
        <f t="shared" si="34"/>
        <v>0.39413000000000009</v>
      </c>
      <c r="ER45" s="45">
        <f t="shared" si="34"/>
        <v>0.49975100000000006</v>
      </c>
      <c r="ES45" s="45">
        <f t="shared" si="34"/>
        <v>0.35928000000000004</v>
      </c>
      <c r="ET45" s="45">
        <f t="shared" si="34"/>
        <v>0.52005100000000004</v>
      </c>
      <c r="EU45" s="45">
        <f t="shared" si="34"/>
        <v>0.18725499999999995</v>
      </c>
      <c r="EV45" s="45">
        <f t="shared" si="34"/>
        <v>0.23821899999999996</v>
      </c>
      <c r="EW45" s="45"/>
      <c r="EX45" s="45"/>
      <c r="EY45" s="45"/>
      <c r="EZ45" s="45"/>
      <c r="FA45" s="183"/>
      <c r="FB45" s="323"/>
      <c r="FC45" s="217"/>
      <c r="FD45" s="196"/>
      <c r="FE45" s="45">
        <v>0</v>
      </c>
      <c r="FF45" s="196"/>
      <c r="FG45" s="196"/>
      <c r="FH45" s="196"/>
      <c r="FI45" s="196"/>
      <c r="FJ45" s="196"/>
      <c r="FK45" s="196"/>
      <c r="FL45" s="196"/>
      <c r="FM45" s="196"/>
      <c r="FN45" s="196"/>
      <c r="FO45" s="196"/>
      <c r="FP45" s="323"/>
      <c r="FQ45" s="324"/>
      <c r="FR45" s="196"/>
      <c r="FS45" s="196"/>
      <c r="FT45" s="196"/>
      <c r="FU45" s="196"/>
      <c r="FV45" s="196"/>
      <c r="FW45" s="196"/>
      <c r="FX45" s="196"/>
      <c r="FY45" s="196"/>
      <c r="FZ45" s="196"/>
      <c r="GA45" s="196"/>
      <c r="GB45" s="196"/>
      <c r="GC45" s="196"/>
      <c r="GD45" s="45">
        <f t="shared" si="11"/>
        <v>0</v>
      </c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  <c r="GQ45" s="45"/>
      <c r="GR45" s="45">
        <f t="shared" si="12"/>
        <v>0</v>
      </c>
      <c r="GS45" s="45">
        <v>6.7000000000000002E-5</v>
      </c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  <c r="HE45" s="45"/>
      <c r="HF45" s="45">
        <f t="shared" si="13"/>
        <v>0</v>
      </c>
      <c r="HG45" s="45"/>
      <c r="HH45" s="45"/>
      <c r="HI45" s="45"/>
      <c r="HJ45" s="45"/>
      <c r="HK45" s="45"/>
      <c r="HL45" s="45"/>
      <c r="HM45" s="45"/>
      <c r="HN45" s="45"/>
      <c r="HO45" s="45"/>
      <c r="HP45" s="45"/>
      <c r="HQ45" s="45"/>
      <c r="HR45" s="45"/>
      <c r="HS45" s="283">
        <f t="shared" si="14"/>
        <v>0</v>
      </c>
      <c r="HT45" s="283">
        <f t="shared" si="15"/>
        <v>0</v>
      </c>
      <c r="HU45" s="280">
        <f t="shared" si="16"/>
        <v>0</v>
      </c>
      <c r="HV45" s="280" t="e">
        <f t="shared" si="17"/>
        <v>#DIV/0!</v>
      </c>
    </row>
    <row r="46" spans="1:230" s="12" customFormat="1" ht="20.25" customHeight="1">
      <c r="A46" s="46"/>
      <c r="B46" s="13"/>
      <c r="C46" s="46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5"/>
      <c r="BI46" s="45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5">
        <f t="shared" si="7"/>
        <v>0</v>
      </c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>
        <f t="shared" si="8"/>
        <v>0</v>
      </c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>
        <f t="shared" si="9"/>
        <v>0</v>
      </c>
      <c r="CY46" s="45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45">
        <f t="shared" si="10"/>
        <v>0</v>
      </c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>
        <f t="shared" si="18"/>
        <v>0</v>
      </c>
      <c r="EA46" s="45"/>
      <c r="EB46" s="45"/>
      <c r="EC46" s="45"/>
      <c r="ED46" s="45"/>
      <c r="EE46" s="45"/>
      <c r="EF46" s="45"/>
      <c r="EG46" s="45"/>
      <c r="EH46" s="45"/>
      <c r="EI46" s="42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2"/>
      <c r="EU46" s="42"/>
      <c r="EV46" s="42"/>
      <c r="EW46" s="42"/>
      <c r="EX46" s="42"/>
      <c r="EY46" s="45"/>
      <c r="EZ46" s="42"/>
      <c r="FA46" s="42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  <c r="HS46" s="283"/>
      <c r="HT46" s="283"/>
      <c r="HU46" s="280"/>
      <c r="HV46" s="280"/>
    </row>
    <row r="47" spans="1:230" s="12" customFormat="1" ht="20">
      <c r="A47" s="58" t="s">
        <v>180</v>
      </c>
      <c r="B47" s="13"/>
      <c r="C47" s="58" t="s">
        <v>181</v>
      </c>
      <c r="D47" s="58">
        <v>24.157305593024454</v>
      </c>
      <c r="E47" s="58">
        <v>58.996773937019817</v>
      </c>
      <c r="F47" s="58">
        <v>2.7602304483184539</v>
      </c>
      <c r="G47" s="58">
        <v>4.6401414903728471</v>
      </c>
      <c r="H47" s="58">
        <v>4.4496488352371335</v>
      </c>
      <c r="I47" s="58">
        <v>-3.1435421540002668</v>
      </c>
      <c r="J47" s="58">
        <v>-2.8436221193960147</v>
      </c>
      <c r="K47" s="58">
        <v>-2.6581906192907252</v>
      </c>
      <c r="L47" s="58">
        <v>-3.3477897109293688</v>
      </c>
      <c r="M47" s="58">
        <v>3.6581863506752974</v>
      </c>
      <c r="N47" s="58">
        <v>-1.0391745066903399</v>
      </c>
      <c r="O47" s="58">
        <v>2.7968523229805173</v>
      </c>
      <c r="P47" s="58">
        <v>-1.4632116493360889</v>
      </c>
      <c r="Q47" s="58">
        <v>13.082357243271241</v>
      </c>
      <c r="R47" s="58">
        <v>16.89360333748812</v>
      </c>
      <c r="S47" s="58">
        <v>18.131680022714832</v>
      </c>
      <c r="T47" s="58">
        <v>10.152093613582164</v>
      </c>
      <c r="U47" s="58">
        <v>-0.78408347135190426</v>
      </c>
      <c r="V47" s="58">
        <v>-4.5117927615665279</v>
      </c>
      <c r="W47" s="58">
        <v>5.0935851247289401</v>
      </c>
      <c r="X47" s="58">
        <v>-3.1042509718214468</v>
      </c>
      <c r="Y47" s="58">
        <v>-2.6807402917456371</v>
      </c>
      <c r="Z47" s="58">
        <v>-4.1078109970916463</v>
      </c>
      <c r="AA47" s="58">
        <v>0.15291461061689782</v>
      </c>
      <c r="AB47" s="58">
        <v>-1.3054649660502688</v>
      </c>
      <c r="AC47" s="58">
        <v>-4.8854246703205986</v>
      </c>
      <c r="AD47" s="58">
        <v>-10.960210812687464</v>
      </c>
      <c r="AE47" s="58">
        <v>-0.13162133397077222</v>
      </c>
      <c r="AF47" s="58">
        <v>-17.072906528705008</v>
      </c>
      <c r="AG47" s="58">
        <v>-17.767831244542094</v>
      </c>
      <c r="AH47" s="58">
        <v>-1.2206361944439699</v>
      </c>
      <c r="AI47" s="58">
        <v>-0.10851674150972446</v>
      </c>
      <c r="AJ47" s="58">
        <v>1.0235912146202897</v>
      </c>
      <c r="AK47" s="58">
        <v>-3.7751805624327694</v>
      </c>
      <c r="AL47" s="58">
        <v>-3.0324742033340737</v>
      </c>
      <c r="AM47" s="58">
        <v>-1.7809588448557481</v>
      </c>
      <c r="AN47" s="58">
        <v>0.59679512353372832</v>
      </c>
      <c r="AO47" s="58">
        <v>5.7685186766153844</v>
      </c>
      <c r="AP47" s="58">
        <v>-0.61714361329759315</v>
      </c>
      <c r="AQ47" s="58">
        <v>-2.608404334636687</v>
      </c>
      <c r="AR47" s="58">
        <v>-9.0879135576917598</v>
      </c>
      <c r="AS47" s="58">
        <v>-7.0335954263208551</v>
      </c>
      <c r="AT47" s="58">
        <v>-21.875918463753777</v>
      </c>
      <c r="AU47" s="58">
        <v>-21.772723409418393</v>
      </c>
      <c r="AV47" s="58">
        <f t="shared" ref="AV47:BE47" si="35">AV7-AV17</f>
        <v>2.6154640000000029</v>
      </c>
      <c r="AW47" s="58">
        <f t="shared" si="35"/>
        <v>-0.21644500000000377</v>
      </c>
      <c r="AX47" s="58">
        <f t="shared" si="35"/>
        <v>2.4804990000000018</v>
      </c>
      <c r="AY47" s="58">
        <f t="shared" si="35"/>
        <v>-4.5132440000000003</v>
      </c>
      <c r="AZ47" s="58">
        <f t="shared" si="35"/>
        <v>-4.8994119999999981</v>
      </c>
      <c r="BA47" s="58">
        <f t="shared" si="35"/>
        <v>-4.3270399999999967</v>
      </c>
      <c r="BB47" s="58">
        <f t="shared" si="35"/>
        <v>-4.7369370000000082</v>
      </c>
      <c r="BC47" s="58">
        <f t="shared" si="35"/>
        <v>5.6431419999999974</v>
      </c>
      <c r="BD47" s="58">
        <f t="shared" si="35"/>
        <v>3.4335000000002225E-2</v>
      </c>
      <c r="BE47" s="58">
        <f t="shared" si="35"/>
        <v>-3.7452670000000019</v>
      </c>
      <c r="BF47" s="58">
        <f>BF7-BF17</f>
        <v>-2.6605240000000023</v>
      </c>
      <c r="BG47" s="58">
        <f>BG7-BG17</f>
        <v>6.1032699999999949</v>
      </c>
      <c r="BH47" s="59">
        <f t="shared" si="6"/>
        <v>-8.222159000000012</v>
      </c>
      <c r="BI47" s="58">
        <f>BI7-BI17</f>
        <v>-8.426257000000021</v>
      </c>
      <c r="BJ47" s="58">
        <f>BJ7-BJ17</f>
        <v>-1.2983070000000048</v>
      </c>
      <c r="BK47" s="58">
        <v>-1.7830820000000003</v>
      </c>
      <c r="BL47" s="58">
        <v>-2.8810889999999993</v>
      </c>
      <c r="BM47" s="58">
        <v>-1.0974199999999996</v>
      </c>
      <c r="BN47" s="58">
        <v>-4.4833460000000116</v>
      </c>
      <c r="BO47" s="58">
        <v>1.7427570000000046</v>
      </c>
      <c r="BP47" s="58">
        <v>-2.3246799999999972</v>
      </c>
      <c r="BQ47" s="58">
        <v>-0.51532000000000266</v>
      </c>
      <c r="BR47" s="58">
        <v>-1.5916930000000029</v>
      </c>
      <c r="BS47" s="58">
        <v>-5.6205409999999993</v>
      </c>
      <c r="BT47" s="58">
        <v>-10.089034999999999</v>
      </c>
      <c r="BU47" s="58">
        <v>-21.855247999999996</v>
      </c>
      <c r="BV47" s="59">
        <f t="shared" si="7"/>
        <v>-51.797004000000008</v>
      </c>
      <c r="BW47" s="59">
        <f>BW7-BW17</f>
        <v>-51.837687000000074</v>
      </c>
      <c r="BX47" s="59">
        <v>6.091885999999997</v>
      </c>
      <c r="BY47" s="59">
        <v>3.9751039999999982</v>
      </c>
      <c r="BZ47" s="59">
        <v>6.2117630000000013</v>
      </c>
      <c r="CA47" s="59">
        <v>16.692025999999998</v>
      </c>
      <c r="CB47" s="59">
        <v>-9.0702999999997758E-2</v>
      </c>
      <c r="CC47" s="59">
        <v>-0.76803599999999861</v>
      </c>
      <c r="CD47" s="59">
        <v>2.1493999999997015E-2</v>
      </c>
      <c r="CE47" s="59">
        <v>7.4547909999999966</v>
      </c>
      <c r="CF47" s="59">
        <v>4.6249699999999976</v>
      </c>
      <c r="CG47" s="59">
        <v>3.1799029999999959</v>
      </c>
      <c r="CH47" s="59">
        <v>-2.1066170000000035</v>
      </c>
      <c r="CI47" s="59">
        <v>-11.591858999999999</v>
      </c>
      <c r="CJ47" s="59">
        <f t="shared" si="8"/>
        <v>33.69472199999997</v>
      </c>
      <c r="CK47" s="59">
        <f>CK7-CK17</f>
        <v>33.687365000000057</v>
      </c>
      <c r="CL47" s="59">
        <v>4.8598200000000009</v>
      </c>
      <c r="CM47" s="59">
        <v>14.099268000000002</v>
      </c>
      <c r="CN47" s="59">
        <v>3.9690970000000014</v>
      </c>
      <c r="CO47" s="59">
        <v>0.58574399999999827</v>
      </c>
      <c r="CP47" s="59">
        <v>-1.0904089999999975</v>
      </c>
      <c r="CQ47" s="59">
        <v>0.82162200000000141</v>
      </c>
      <c r="CR47" s="59">
        <v>3.0284219999999991</v>
      </c>
      <c r="CS47" s="59">
        <v>8.1137909999999991</v>
      </c>
      <c r="CT47" s="59">
        <v>-1.4035920000000033</v>
      </c>
      <c r="CU47" s="59">
        <v>4.373623000000002</v>
      </c>
      <c r="CV47" s="59">
        <v>3.05347900000001</v>
      </c>
      <c r="CW47" s="59">
        <v>-4.7530690000000035</v>
      </c>
      <c r="CX47" s="59">
        <f>CL47+CM47+CN47+CM47+CP47+CQ47+CR47+CS47+CT47+CU47+CV47+CW47</f>
        <v>49.171320000000023</v>
      </c>
      <c r="CY47" s="59">
        <f>CY7-CY17</f>
        <v>35.641848999999979</v>
      </c>
      <c r="CZ47" s="91">
        <v>11.773732000000001</v>
      </c>
      <c r="DA47" s="91">
        <v>4.2936050000000003</v>
      </c>
      <c r="DB47" s="91">
        <v>1.3197490000000001</v>
      </c>
      <c r="DC47" s="91">
        <v>7.0914669999999997</v>
      </c>
      <c r="DD47" s="91">
        <v>-1.2803659999999999</v>
      </c>
      <c r="DE47" s="91">
        <v>2.7691129999999999</v>
      </c>
      <c r="DF47" s="91">
        <v>5.7040749999999996</v>
      </c>
      <c r="DG47" s="91">
        <v>11.285913000000001</v>
      </c>
      <c r="DH47" s="91">
        <v>5.8392340000000003</v>
      </c>
      <c r="DI47" s="91">
        <v>1.4753890000000001</v>
      </c>
      <c r="DJ47" s="91">
        <v>-0.62356500000000004</v>
      </c>
      <c r="DK47" s="91">
        <v>-14.448797000000001</v>
      </c>
      <c r="DL47" s="59">
        <f>SUM(CZ47:DK47)</f>
        <v>35.199549000000005</v>
      </c>
      <c r="DM47" s="59">
        <f>DM7-DM17</f>
        <v>35.323986999999875</v>
      </c>
      <c r="DN47" s="59">
        <v>20.165927</v>
      </c>
      <c r="DO47" s="59">
        <v>6.6033419999999996</v>
      </c>
      <c r="DP47" s="59">
        <v>-8.6221800000000002</v>
      </c>
      <c r="DQ47" s="59">
        <v>18.947323999999998</v>
      </c>
      <c r="DR47" s="59">
        <v>-11.207773</v>
      </c>
      <c r="DS47" s="59">
        <v>-11.674901999999999</v>
      </c>
      <c r="DT47" s="59">
        <v>15.302215</v>
      </c>
      <c r="DU47" s="59">
        <v>7.3280310000000002</v>
      </c>
      <c r="DV47" s="59">
        <v>-3.3989880000000001</v>
      </c>
      <c r="DW47" s="59">
        <v>22.039141000000001</v>
      </c>
      <c r="DX47" s="59">
        <v>-17.408241</v>
      </c>
      <c r="DY47" s="59">
        <v>-20.168448000000001</v>
      </c>
      <c r="DZ47" s="59">
        <f>SUM(DN47:DY47)</f>
        <v>17.905448000000003</v>
      </c>
      <c r="EA47" s="59">
        <f>EA7-EA17</f>
        <v>17.749178999999913</v>
      </c>
      <c r="EB47" s="59">
        <v>7.546462</v>
      </c>
      <c r="EC47" s="59">
        <v>23.458611000000001</v>
      </c>
      <c r="ED47" s="59">
        <v>-7.6103480000000001</v>
      </c>
      <c r="EE47" s="59">
        <v>21.887177999999999</v>
      </c>
      <c r="EF47" s="59">
        <v>-12.741752999999999</v>
      </c>
      <c r="EG47" s="59">
        <v>-11.599067</v>
      </c>
      <c r="EH47" s="59">
        <v>6.0167260000000002</v>
      </c>
      <c r="EI47" s="58">
        <v>12.143959000000001</v>
      </c>
      <c r="EJ47" s="59">
        <v>-1.9634659999999999</v>
      </c>
      <c r="EK47" s="59">
        <v>20.269908000000001</v>
      </c>
      <c r="EL47" s="59">
        <v>-14.511442000000001</v>
      </c>
      <c r="EM47" s="59">
        <v>-25.596420999999999</v>
      </c>
      <c r="EN47" s="58">
        <f t="shared" si="19"/>
        <v>17.300347000000002</v>
      </c>
      <c r="EO47" s="59">
        <f>EO7-EO17</f>
        <v>17.471193999999855</v>
      </c>
      <c r="EP47" s="59">
        <v>35.758363000000003</v>
      </c>
      <c r="EQ47" s="59">
        <v>0.61494300000000002</v>
      </c>
      <c r="ER47" s="59">
        <v>8.6984410000000008</v>
      </c>
      <c r="ES47" s="59">
        <v>15.576955999999999</v>
      </c>
      <c r="ET47" s="58">
        <v>-15.138273999999999</v>
      </c>
      <c r="EU47" s="58">
        <v>-17.244091999999998</v>
      </c>
      <c r="EV47" s="58">
        <v>14.974361999999999</v>
      </c>
      <c r="EW47" s="58">
        <v>3.9354209999999998</v>
      </c>
      <c r="EX47" s="58">
        <v>-8.1071279999999994</v>
      </c>
      <c r="EY47" s="59">
        <v>18.388451</v>
      </c>
      <c r="EZ47" s="58">
        <v>-14.559456000000001</v>
      </c>
      <c r="FA47" s="58">
        <v>-16.956945999999999</v>
      </c>
      <c r="FB47" s="58">
        <f t="shared" si="20"/>
        <v>25.941041000000016</v>
      </c>
      <c r="FC47" s="59">
        <f>FC7-FC17</f>
        <v>26.097177000000045</v>
      </c>
      <c r="FD47" s="59">
        <v>26.013054</v>
      </c>
      <c r="FE47" s="59">
        <v>25.462906</v>
      </c>
      <c r="FF47" s="59">
        <v>-8.9558309999999999</v>
      </c>
      <c r="FG47" s="59">
        <v>29.791135000000001</v>
      </c>
      <c r="FH47" s="59">
        <v>-15.943913999999999</v>
      </c>
      <c r="FI47" s="59">
        <v>-20.290410000000001</v>
      </c>
      <c r="FJ47" s="59">
        <v>12.763798</v>
      </c>
      <c r="FK47" s="59">
        <v>4.0331700000000001</v>
      </c>
      <c r="FL47" s="59">
        <v>-3.8819439999999998</v>
      </c>
      <c r="FM47" s="59">
        <v>26.740901000000001</v>
      </c>
      <c r="FN47" s="59">
        <v>-18.801535999999999</v>
      </c>
      <c r="FO47" s="59">
        <v>-23.096288000000001</v>
      </c>
      <c r="FP47" s="58">
        <f t="shared" si="21"/>
        <v>33.835041000000004</v>
      </c>
      <c r="FQ47" s="59">
        <f>FQ7-FQ17</f>
        <v>32.176369000000022</v>
      </c>
      <c r="FR47" s="59">
        <v>11.329876000000001</v>
      </c>
      <c r="FS47" s="59">
        <v>13.892150000000001</v>
      </c>
      <c r="FT47" s="59">
        <v>-10.185449</v>
      </c>
      <c r="FU47" s="59">
        <v>22.756447000000001</v>
      </c>
      <c r="FV47" s="59">
        <v>-13.658242</v>
      </c>
      <c r="FW47" s="59">
        <v>-15.599093999999999</v>
      </c>
      <c r="FX47" s="59">
        <v>29.700113000000002</v>
      </c>
      <c r="FY47" s="59">
        <v>10.417548999999999</v>
      </c>
      <c r="FZ47" s="59">
        <v>-7.9841069999999998</v>
      </c>
      <c r="GA47" s="59">
        <v>25.544708</v>
      </c>
      <c r="GB47" s="59">
        <v>-17.373221000000001</v>
      </c>
      <c r="GC47" s="59">
        <v>-35.843580000000003</v>
      </c>
      <c r="GD47" s="58">
        <f t="shared" si="11"/>
        <v>12.997150000000005</v>
      </c>
      <c r="GE47" s="59">
        <f>GE7-GE17</f>
        <v>12.645396000000005</v>
      </c>
      <c r="GF47" s="59">
        <v>19.947064000000001</v>
      </c>
      <c r="GG47" s="59">
        <v>-0.477497</v>
      </c>
      <c r="GH47" s="59">
        <v>-3.0548899999999999</v>
      </c>
      <c r="GI47" s="59">
        <v>42.386133999999998</v>
      </c>
      <c r="GJ47" s="59">
        <v>-9.2835900000000002</v>
      </c>
      <c r="GK47" s="59">
        <v>-5.6656259999999996</v>
      </c>
      <c r="GL47" s="59">
        <v>24.929570999999999</v>
      </c>
      <c r="GM47" s="59">
        <v>-1.4661580000000001</v>
      </c>
      <c r="GN47" s="59">
        <v>-5.3934449999999998</v>
      </c>
      <c r="GO47" s="59">
        <v>-0.85213099999999997</v>
      </c>
      <c r="GP47" s="59">
        <v>4.2328929999999998</v>
      </c>
      <c r="GQ47" s="59">
        <v>-4.6629820000000004</v>
      </c>
      <c r="GR47" s="58">
        <f t="shared" si="12"/>
        <v>60.639342999999982</v>
      </c>
      <c r="GS47" s="59">
        <f>GS7-GS17</f>
        <v>60.391165999999998</v>
      </c>
      <c r="GT47" s="59">
        <v>11.432634</v>
      </c>
      <c r="GU47" s="59">
        <v>7.9746680000000003</v>
      </c>
      <c r="GV47" s="59">
        <v>-5.9338899999999999</v>
      </c>
      <c r="GW47" s="59">
        <v>10.655127</v>
      </c>
      <c r="GX47" s="59">
        <v>22.145316999999999</v>
      </c>
      <c r="GY47" s="59">
        <v>38.703577000000003</v>
      </c>
      <c r="GZ47" s="59">
        <v>20.086873000000001</v>
      </c>
      <c r="HA47" s="59">
        <v>3.842317</v>
      </c>
      <c r="HB47" s="59">
        <v>1.1810780000000001</v>
      </c>
      <c r="HC47" s="59">
        <v>13.323333999999999</v>
      </c>
      <c r="HD47" s="59">
        <v>-25.163231</v>
      </c>
      <c r="HE47" s="59">
        <v>-44.451529000000001</v>
      </c>
      <c r="HF47" s="58">
        <f t="shared" si="13"/>
        <v>53.796275000000001</v>
      </c>
      <c r="HG47" s="59">
        <v>31.555734000000001</v>
      </c>
      <c r="HH47" s="59">
        <v>-8.4650780000000001</v>
      </c>
      <c r="HI47" s="59">
        <v>-4.4871869999999996</v>
      </c>
      <c r="HJ47" s="59">
        <v>16.524256999999999</v>
      </c>
      <c r="HK47" s="59"/>
      <c r="HL47" s="59"/>
      <c r="HM47" s="59"/>
      <c r="HN47" s="59"/>
      <c r="HO47" s="59"/>
      <c r="HP47" s="59"/>
      <c r="HQ47" s="59"/>
      <c r="HR47" s="59"/>
      <c r="HS47" s="302">
        <f t="shared" si="14"/>
        <v>24.128539</v>
      </c>
      <c r="HT47" s="302">
        <f t="shared" si="15"/>
        <v>35.127726000000003</v>
      </c>
      <c r="HU47" s="282">
        <f t="shared" si="16"/>
        <v>10.999187000000003</v>
      </c>
      <c r="HV47" s="282"/>
    </row>
    <row r="48" spans="1:230" ht="20.5">
      <c r="A48" s="245" t="s">
        <v>182</v>
      </c>
      <c r="C48" s="244" t="s">
        <v>183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149"/>
      <c r="HF48" s="23"/>
      <c r="HG48" s="23"/>
      <c r="HH48" s="149"/>
      <c r="HI48" s="149"/>
      <c r="HJ48" s="149"/>
      <c r="HK48" s="149"/>
      <c r="HL48" s="149"/>
      <c r="HM48" s="149"/>
      <c r="HN48" s="149"/>
      <c r="HO48" s="149"/>
      <c r="HP48" s="149"/>
      <c r="HQ48" s="149"/>
      <c r="HR48" s="149"/>
      <c r="HS48" s="104"/>
      <c r="HT48" s="23"/>
      <c r="HU48" s="104"/>
      <c r="HV48" s="104"/>
    </row>
    <row r="49" spans="173:230">
      <c r="FQ49" s="239"/>
    </row>
    <row r="50" spans="173:230">
      <c r="HS50" s="147"/>
      <c r="HT50" s="147"/>
      <c r="HU50" s="147"/>
      <c r="HV50" s="147"/>
    </row>
    <row r="52" spans="173:230">
      <c r="HS52" s="146"/>
      <c r="HT52" s="146"/>
      <c r="HU52" s="146"/>
      <c r="HV52" s="146"/>
    </row>
  </sheetData>
  <mergeCells count="18">
    <mergeCell ref="GT5:HE5"/>
    <mergeCell ref="HG5:HR5"/>
    <mergeCell ref="DN5:DY5"/>
    <mergeCell ref="EP5:FA5"/>
    <mergeCell ref="EB5:EM5"/>
    <mergeCell ref="FD5:FO5"/>
    <mergeCell ref="GF5:GQ5"/>
    <mergeCell ref="AV5:BG5"/>
    <mergeCell ref="BJ5:BU5"/>
    <mergeCell ref="BX5:CI5"/>
    <mergeCell ref="CL5:CW5"/>
    <mergeCell ref="CZ5:DK5"/>
    <mergeCell ref="A5:A6"/>
    <mergeCell ref="B5:B6"/>
    <mergeCell ref="F5:Q5"/>
    <mergeCell ref="T5:AE5"/>
    <mergeCell ref="AH5:AS5"/>
    <mergeCell ref="C5:C6"/>
  </mergeCells>
  <conditionalFormatting sqref="BJ7:ED47">
    <cfRule type="cellIs" dxfId="54" priority="95" operator="between">
      <formula>-0.00000045</formula>
      <formula>0.00000045</formula>
    </cfRule>
  </conditionalFormatting>
  <conditionalFormatting sqref="EE7:EE43">
    <cfRule type="cellIs" dxfId="53" priority="142" operator="between">
      <formula>-0.00000045</formula>
      <formula>0.00000045</formula>
    </cfRule>
  </conditionalFormatting>
  <conditionalFormatting sqref="EE45:EE47">
    <cfRule type="cellIs" dxfId="52" priority="165" operator="between">
      <formula>-0.00000045</formula>
      <formula>0.00000045</formula>
    </cfRule>
  </conditionalFormatting>
  <conditionalFormatting sqref="EF9:EF15 EV29:EY42 EE44:EF44 EV44:EY44 EP45:EZ45 EV47:EY47">
    <cfRule type="cellIs" dxfId="51" priority="171" operator="between">
      <formula>-0.00000045</formula>
      <formula>0.00000045</formula>
    </cfRule>
  </conditionalFormatting>
  <conditionalFormatting sqref="EF17:EF43">
    <cfRule type="cellIs" dxfId="50" priority="141" operator="between">
      <formula>-0.00000045</formula>
      <formula>0.00000045</formula>
    </cfRule>
  </conditionalFormatting>
  <conditionalFormatting sqref="EF45">
    <cfRule type="cellIs" dxfId="49" priority="135" operator="between">
      <formula>-0.00000045</formula>
      <formula>0.00000045</formula>
    </cfRule>
  </conditionalFormatting>
  <conditionalFormatting sqref="EF46:EG47">
    <cfRule type="cellIs" dxfId="48" priority="134" operator="between">
      <formula>-0.00000045</formula>
      <formula>0.00000045</formula>
    </cfRule>
  </conditionalFormatting>
  <conditionalFormatting sqref="EF7:EI7">
    <cfRule type="cellIs" dxfId="47" priority="125" operator="between">
      <formula>-0.00000045</formula>
      <formula>0.00000045</formula>
    </cfRule>
  </conditionalFormatting>
  <conditionalFormatting sqref="EG9:EG45">
    <cfRule type="cellIs" dxfId="46" priority="136" operator="between">
      <formula>-0.00000045</formula>
      <formula>0.00000045</formula>
    </cfRule>
  </conditionalFormatting>
  <conditionalFormatting sqref="EH9:EI47">
    <cfRule type="cellIs" dxfId="45" priority="122" operator="between">
      <formula>-0.00000045</formula>
      <formula>0.00000045</formula>
    </cfRule>
  </conditionalFormatting>
  <conditionalFormatting sqref="EJ7:EO47">
    <cfRule type="cellIs" dxfId="44" priority="56" operator="between">
      <formula>-0.00000045</formula>
      <formula>0.00000045</formula>
    </cfRule>
  </conditionalFormatting>
  <conditionalFormatting sqref="EP7:EU44 EP46:EU47">
    <cfRule type="cellIs" dxfId="43" priority="85" operator="between">
      <formula>-0.00000045</formula>
      <formula>0.00000045</formula>
    </cfRule>
  </conditionalFormatting>
  <conditionalFormatting sqref="EV46:EW46">
    <cfRule type="cellIs" dxfId="42" priority="83" operator="between">
      <formula>-0.00000045</formula>
      <formula>0.00000045</formula>
    </cfRule>
  </conditionalFormatting>
  <conditionalFormatting sqref="EV7:EY27">
    <cfRule type="cellIs" dxfId="41" priority="65" operator="between">
      <formula>-0.00000045</formula>
      <formula>0.00000045</formula>
    </cfRule>
  </conditionalFormatting>
  <conditionalFormatting sqref="EZ7:FA44 FD7:FO44 FR7:GC44 EX46:FA47 FD46:FO47 FR46:GC47">
    <cfRule type="cellIs" dxfId="40" priority="55" operator="between">
      <formula>-0.00000045</formula>
      <formula>0.00000045</formula>
    </cfRule>
  </conditionalFormatting>
  <conditionalFormatting sqref="FB7:FC47">
    <cfRule type="cellIs" dxfId="39" priority="42" operator="between">
      <formula>-0.00000045</formula>
      <formula>0.00000045</formula>
    </cfRule>
  </conditionalFormatting>
  <conditionalFormatting sqref="FE45">
    <cfRule type="cellIs" dxfId="38" priority="52" operator="between">
      <formula>-0.00000045</formula>
      <formula>0.00000045</formula>
    </cfRule>
  </conditionalFormatting>
  <conditionalFormatting sqref="FP7:FQ47">
    <cfRule type="cellIs" dxfId="37" priority="29" operator="between">
      <formula>-0.00000045</formula>
      <formula>0.00000045</formula>
    </cfRule>
  </conditionalFormatting>
  <conditionalFormatting sqref="GD7:HT47">
    <cfRule type="cellIs" dxfId="36" priority="1" operator="between">
      <formula>-0.00000045</formula>
      <formula>0.00000045</formula>
    </cfRule>
  </conditionalFormatting>
  <conditionalFormatting sqref="HU7:HV8">
    <cfRule type="containsErrors" dxfId="35" priority="174">
      <formula>ISERROR(HU7)</formula>
    </cfRule>
  </conditionalFormatting>
  <conditionalFormatting sqref="HU7:HV47">
    <cfRule type="cellIs" dxfId="34" priority="8" operator="equal">
      <formula>0</formula>
    </cfRule>
    <cfRule type="containsErrors" dxfId="33" priority="9">
      <formula>ISERROR(HU7)</formula>
    </cfRule>
  </conditionalFormatting>
  <pageMargins left="0.23622047244094491" right="0.23622047244094491" top="0.74803149606299213" bottom="0.74803149606299213" header="0.31496062992125984" footer="0.31496062992125984"/>
  <pageSetup paperSize="8" scale="10" orientation="landscape" r:id="rId1"/>
  <ignoredErrors>
    <ignoredError sqref="BV26:BV44" formulaRange="1"/>
    <ignoredError sqref="BH7 BH45:BH47" formula="1"/>
    <ignoredError sqref="BH8:BH15 BH17:BH44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 tint="-0.499984740745262"/>
    <pageSetUpPr fitToPage="1"/>
  </sheetPr>
  <dimension ref="A1:GD71"/>
  <sheetViews>
    <sheetView zoomScale="60" zoomScaleNormal="60" zoomScaleSheetLayoutView="70" workbookViewId="0">
      <pane xSplit="3" ySplit="6" topLeftCell="BU7" activePane="bottomRight" state="frozen"/>
      <selection pane="topRight" activeCell="JA25" sqref="JA25"/>
      <selection pane="bottomLeft" activeCell="JA25" sqref="JA25"/>
      <selection pane="bottomRight" activeCell="GM31" sqref="GM31"/>
    </sheetView>
  </sheetViews>
  <sheetFormatPr defaultColWidth="9" defaultRowHeight="15.5" outlineLevelCol="1"/>
  <cols>
    <col min="1" max="1" width="14.75" style="1" hidden="1" customWidth="1"/>
    <col min="2" max="2" width="26.83203125" style="3" hidden="1" customWidth="1"/>
    <col min="3" max="3" width="45.25" style="1" customWidth="1"/>
    <col min="4" max="4" width="11" style="1" hidden="1" customWidth="1" outlineLevel="1"/>
    <col min="5" max="5" width="11" style="30" hidden="1" customWidth="1" outlineLevel="1"/>
    <col min="6" max="13" width="11.5" style="1" hidden="1" customWidth="1" outlineLevel="1"/>
    <col min="14" max="14" width="11.08203125" style="1" hidden="1" customWidth="1" outlineLevel="1"/>
    <col min="15" max="16" width="9.58203125" style="1" hidden="1" customWidth="1" outlineLevel="1"/>
    <col min="17" max="17" width="10.08203125" style="1" hidden="1" customWidth="1" collapsed="1"/>
    <col min="18" max="18" width="10.08203125" style="1" hidden="1" customWidth="1" outlineLevel="1"/>
    <col min="19" max="19" width="14.5" style="1" hidden="1" customWidth="1" outlineLevel="1"/>
    <col min="20" max="20" width="14.08203125" style="1" hidden="1" customWidth="1" outlineLevel="1"/>
    <col min="21" max="29" width="11.5" style="1" hidden="1" customWidth="1" outlineLevel="1"/>
    <col min="30" max="30" width="11.08203125" style="1" hidden="1" customWidth="1" outlineLevel="1"/>
    <col min="31" max="31" width="10.08203125" style="1" hidden="1" customWidth="1" collapsed="1"/>
    <col min="32" max="43" width="11.5" style="1" hidden="1" customWidth="1" outlineLevel="1"/>
    <col min="44" max="44" width="14" style="1" hidden="1" customWidth="1" outlineLevel="1"/>
    <col min="45" max="45" width="11.08203125" style="1" hidden="1" customWidth="1" collapsed="1"/>
    <col min="46" max="50" width="11.5" style="1" hidden="1" customWidth="1" outlineLevel="1"/>
    <col min="51" max="51" width="12.58203125" style="1" hidden="1" customWidth="1" outlineLevel="1"/>
    <col min="52" max="56" width="11.5" style="1" hidden="1" customWidth="1" outlineLevel="1"/>
    <col min="57" max="57" width="10.58203125" style="1" hidden="1" customWidth="1" outlineLevel="1"/>
    <col min="58" max="58" width="12.58203125" style="1" hidden="1" customWidth="1" outlineLevel="1"/>
    <col min="59" max="59" width="11.58203125" style="1" hidden="1" customWidth="1" collapsed="1"/>
    <col min="60" max="72" width="11.5" style="1" hidden="1" customWidth="1" outlineLevel="1"/>
    <col min="73" max="73" width="12.08203125" style="1" customWidth="1" collapsed="1"/>
    <col min="74" max="85" width="11.5" style="1" hidden="1" customWidth="1" outlineLevel="1"/>
    <col min="86" max="86" width="12.5" style="1" hidden="1" customWidth="1" outlineLevel="1"/>
    <col min="87" max="87" width="12.5" style="1" customWidth="1" collapsed="1"/>
    <col min="88" max="99" width="11.5" style="1" hidden="1" customWidth="1" outlineLevel="1"/>
    <col min="100" max="100" width="13.58203125" style="1" hidden="1" customWidth="1" outlineLevel="1"/>
    <col min="101" max="101" width="12.08203125" style="1" bestFit="1" customWidth="1" collapsed="1"/>
    <col min="102" max="112" width="11.5" style="1" hidden="1" customWidth="1" outlineLevel="1"/>
    <col min="113" max="113" width="10.58203125" style="1" hidden="1" customWidth="1" outlineLevel="1"/>
    <col min="114" max="114" width="14.58203125" style="1" hidden="1" customWidth="1" outlineLevel="1"/>
    <col min="115" max="115" width="14.58203125" style="1" bestFit="1" customWidth="1" collapsed="1"/>
    <col min="116" max="116" width="11.5" style="1" hidden="1" customWidth="1" outlineLevel="1"/>
    <col min="117" max="118" width="11.08203125" style="1" hidden="1" customWidth="1" outlineLevel="1"/>
    <col min="119" max="120" width="10.58203125" style="1" hidden="1" customWidth="1" outlineLevel="1"/>
    <col min="121" max="127" width="11.5" style="1" hidden="1" customWidth="1" outlineLevel="1"/>
    <col min="128" max="128" width="15" style="1" hidden="1" customWidth="1" outlineLevel="1" collapsed="1"/>
    <col min="129" max="129" width="14" style="1" customWidth="1" collapsed="1"/>
    <col min="130" max="141" width="11.5" style="1" hidden="1" customWidth="1" outlineLevel="1"/>
    <col min="142" max="142" width="12.08203125" style="1" hidden="1" customWidth="1" outlineLevel="1"/>
    <col min="143" max="143" width="13.5" style="1" customWidth="1" collapsed="1"/>
    <col min="144" max="156" width="12.08203125" style="1" hidden="1" customWidth="1" outlineLevel="1"/>
    <col min="157" max="157" width="12.08203125" style="1" customWidth="1" collapsed="1"/>
    <col min="158" max="169" width="12.08203125" style="1" hidden="1" customWidth="1" outlineLevel="1"/>
    <col min="170" max="170" width="12.08203125" style="1" customWidth="1" collapsed="1"/>
    <col min="171" max="174" width="12.08203125" style="1" customWidth="1"/>
    <col min="175" max="182" width="12.08203125" style="1" hidden="1" customWidth="1" outlineLevel="1"/>
    <col min="183" max="183" width="13.08203125" style="1" customWidth="1" collapsed="1"/>
    <col min="184" max="184" width="13" style="1" customWidth="1" collapsed="1"/>
    <col min="185" max="185" width="14" style="1" customWidth="1"/>
    <col min="186" max="186" width="14.58203125" style="1" customWidth="1"/>
    <col min="187" max="16384" width="9" style="3"/>
  </cols>
  <sheetData>
    <row r="1" spans="1:186" ht="29.65" hidden="1" customHeight="1">
      <c r="Q1" s="2">
        <v>2014</v>
      </c>
      <c r="R1" s="2">
        <v>2015</v>
      </c>
      <c r="S1" s="2">
        <v>2015</v>
      </c>
      <c r="T1" s="2">
        <v>2015</v>
      </c>
      <c r="U1" s="2">
        <v>2015</v>
      </c>
      <c r="V1" s="2">
        <v>2015</v>
      </c>
      <c r="W1" s="2">
        <v>2015</v>
      </c>
      <c r="X1" s="2">
        <v>2015</v>
      </c>
      <c r="Y1" s="2">
        <v>2015</v>
      </c>
      <c r="Z1" s="2">
        <v>2015</v>
      </c>
      <c r="AA1" s="2">
        <v>2015</v>
      </c>
      <c r="AB1" s="2">
        <v>2015</v>
      </c>
      <c r="AC1" s="2">
        <v>2015</v>
      </c>
      <c r="AD1" s="2">
        <v>2015</v>
      </c>
      <c r="AE1" s="2">
        <v>2015</v>
      </c>
      <c r="AF1" s="2">
        <v>2016</v>
      </c>
      <c r="AG1" s="2">
        <v>2016</v>
      </c>
      <c r="AH1" s="2">
        <v>2016</v>
      </c>
      <c r="AI1" s="2">
        <v>2016</v>
      </c>
      <c r="AJ1" s="2">
        <v>2016</v>
      </c>
      <c r="AK1" s="2">
        <v>2016</v>
      </c>
      <c r="AL1" s="2">
        <v>2016</v>
      </c>
      <c r="AM1" s="2">
        <v>2016</v>
      </c>
      <c r="AN1" s="2">
        <v>2016</v>
      </c>
      <c r="AO1" s="2">
        <v>2016</v>
      </c>
      <c r="AP1" s="2">
        <v>2016</v>
      </c>
      <c r="AQ1" s="2">
        <v>2016</v>
      </c>
      <c r="AR1" s="2">
        <v>2016</v>
      </c>
      <c r="AS1" s="2">
        <v>2016</v>
      </c>
      <c r="AT1" s="2">
        <v>2017</v>
      </c>
      <c r="AU1" s="2">
        <v>2017</v>
      </c>
      <c r="AV1" s="2">
        <v>2017</v>
      </c>
      <c r="AW1" s="2">
        <v>2017</v>
      </c>
      <c r="AX1" s="2">
        <v>2017</v>
      </c>
      <c r="AY1" s="2">
        <v>2017</v>
      </c>
      <c r="AZ1" s="2">
        <v>2017</v>
      </c>
      <c r="BA1" s="2">
        <v>2017</v>
      </c>
      <c r="BB1" s="2">
        <v>2017</v>
      </c>
      <c r="BC1" s="2">
        <v>2017</v>
      </c>
      <c r="BD1" s="2">
        <v>2017</v>
      </c>
      <c r="BE1" s="2">
        <v>2017</v>
      </c>
      <c r="BF1" s="2">
        <v>2017</v>
      </c>
      <c r="BG1" s="2">
        <v>2017</v>
      </c>
      <c r="BH1" s="2">
        <v>2018</v>
      </c>
      <c r="BI1" s="2">
        <v>2018</v>
      </c>
      <c r="BJ1" s="2">
        <v>2018</v>
      </c>
      <c r="BK1" s="2">
        <v>2018</v>
      </c>
      <c r="BL1" s="2">
        <v>2018</v>
      </c>
      <c r="BM1" s="2">
        <v>2018</v>
      </c>
      <c r="BN1" s="2">
        <v>2018</v>
      </c>
      <c r="BO1" s="2">
        <v>2018</v>
      </c>
      <c r="BP1" s="2">
        <v>2018</v>
      </c>
      <c r="BQ1" s="2">
        <v>2018</v>
      </c>
      <c r="BR1" s="2">
        <v>2018</v>
      </c>
      <c r="BS1" s="2">
        <v>2018</v>
      </c>
      <c r="BT1" s="2">
        <v>2018</v>
      </c>
      <c r="BU1" s="2">
        <v>2018</v>
      </c>
      <c r="BV1" s="2">
        <v>2019</v>
      </c>
      <c r="BW1" s="2">
        <v>2019</v>
      </c>
      <c r="BX1" s="2">
        <v>2019</v>
      </c>
      <c r="BY1" s="2">
        <v>2019</v>
      </c>
      <c r="BZ1" s="2">
        <v>2019</v>
      </c>
      <c r="CA1" s="2">
        <v>2019</v>
      </c>
      <c r="CB1" s="2">
        <v>2019</v>
      </c>
      <c r="CC1" s="2">
        <v>2019</v>
      </c>
      <c r="CD1" s="2">
        <v>2019</v>
      </c>
      <c r="CE1" s="2">
        <v>2019</v>
      </c>
      <c r="CF1" s="2">
        <v>2019</v>
      </c>
      <c r="CG1" s="2">
        <v>2019</v>
      </c>
      <c r="CH1" s="2">
        <v>2019</v>
      </c>
      <c r="CI1" s="2">
        <v>2019</v>
      </c>
      <c r="CJ1" s="2">
        <v>2020</v>
      </c>
      <c r="CK1" s="2">
        <v>2020</v>
      </c>
      <c r="CL1" s="2">
        <v>2020</v>
      </c>
      <c r="CM1" s="2">
        <v>2020</v>
      </c>
      <c r="CN1" s="2">
        <v>2020</v>
      </c>
      <c r="CO1" s="2">
        <v>2020</v>
      </c>
      <c r="CP1" s="2">
        <v>2020</v>
      </c>
      <c r="CQ1" s="2">
        <v>2020</v>
      </c>
      <c r="CR1" s="2">
        <v>2020</v>
      </c>
      <c r="CS1" s="2">
        <v>2020</v>
      </c>
      <c r="CT1" s="2">
        <v>2020</v>
      </c>
      <c r="CU1" s="2">
        <v>2020</v>
      </c>
      <c r="CV1" s="2">
        <v>2020</v>
      </c>
      <c r="CW1" s="2">
        <v>2020</v>
      </c>
      <c r="CX1" s="2">
        <v>2021</v>
      </c>
      <c r="CY1" s="2">
        <v>2021</v>
      </c>
      <c r="CZ1" s="2">
        <v>2021</v>
      </c>
      <c r="DA1" s="2">
        <v>2021</v>
      </c>
      <c r="DB1" s="2">
        <v>2021</v>
      </c>
      <c r="DC1" s="2">
        <v>2021</v>
      </c>
      <c r="DD1" s="2">
        <v>2021</v>
      </c>
      <c r="DE1" s="2">
        <v>2021</v>
      </c>
      <c r="DF1" s="2">
        <v>2021</v>
      </c>
      <c r="DG1" s="2">
        <v>2021</v>
      </c>
      <c r="DH1" s="2">
        <v>2021</v>
      </c>
      <c r="DI1" s="2">
        <v>2021</v>
      </c>
      <c r="DJ1" s="2">
        <v>2021</v>
      </c>
      <c r="DK1" s="2">
        <v>2021</v>
      </c>
      <c r="DL1" s="2">
        <v>2022</v>
      </c>
      <c r="DM1" s="2">
        <v>2022</v>
      </c>
      <c r="DN1" s="2">
        <v>2022</v>
      </c>
      <c r="DO1" s="2">
        <v>2022</v>
      </c>
      <c r="DP1" s="2">
        <v>2022</v>
      </c>
      <c r="DQ1" s="2">
        <v>2022</v>
      </c>
      <c r="DR1" s="2">
        <v>2022</v>
      </c>
      <c r="DS1" s="2">
        <v>2022</v>
      </c>
      <c r="DT1" s="2">
        <v>2022</v>
      </c>
      <c r="DU1" s="2">
        <v>2022</v>
      </c>
      <c r="DV1" s="2">
        <v>2022</v>
      </c>
      <c r="DW1" s="2">
        <v>2022</v>
      </c>
      <c r="DX1" s="2">
        <v>2022</v>
      </c>
      <c r="DY1" s="2">
        <v>2022</v>
      </c>
      <c r="DZ1" s="2">
        <v>2023</v>
      </c>
      <c r="EA1" s="2">
        <v>2023</v>
      </c>
      <c r="EB1" s="2">
        <v>2023</v>
      </c>
      <c r="EC1" s="2">
        <v>2023</v>
      </c>
      <c r="ED1" s="2">
        <v>2023</v>
      </c>
      <c r="EE1" s="2">
        <v>2023</v>
      </c>
      <c r="EF1" s="2">
        <v>2023</v>
      </c>
      <c r="EG1" s="2">
        <v>2023</v>
      </c>
      <c r="EH1" s="2">
        <v>2023</v>
      </c>
      <c r="EI1" s="2">
        <v>2023</v>
      </c>
      <c r="EJ1" s="2">
        <v>2023</v>
      </c>
      <c r="EK1" s="2">
        <v>2023</v>
      </c>
      <c r="EL1" s="2">
        <v>2023</v>
      </c>
      <c r="EM1" s="2"/>
      <c r="EZ1" s="2"/>
      <c r="FA1" s="2"/>
    </row>
    <row r="2" spans="1:186" ht="29.65" hidden="1" customHeight="1"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  <c r="AC2" s="2" t="s">
        <v>0</v>
      </c>
      <c r="AD2" s="2" t="s">
        <v>1</v>
      </c>
      <c r="AE2" s="2" t="s">
        <v>0</v>
      </c>
      <c r="AF2" s="2" t="s">
        <v>0</v>
      </c>
      <c r="AG2" s="2" t="s">
        <v>0</v>
      </c>
      <c r="AH2" s="2" t="s">
        <v>0</v>
      </c>
      <c r="AI2" s="2" t="s">
        <v>0</v>
      </c>
      <c r="AJ2" s="2" t="s">
        <v>0</v>
      </c>
      <c r="AK2" s="2" t="s">
        <v>0</v>
      </c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1</v>
      </c>
      <c r="AS2" s="2" t="s">
        <v>0</v>
      </c>
      <c r="AT2" s="2" t="s">
        <v>0</v>
      </c>
      <c r="AU2" s="2" t="s">
        <v>0</v>
      </c>
      <c r="AV2" s="2" t="s">
        <v>0</v>
      </c>
      <c r="AW2" s="2" t="s">
        <v>0</v>
      </c>
      <c r="AX2" s="2" t="s">
        <v>0</v>
      </c>
      <c r="AY2" s="2" t="s">
        <v>0</v>
      </c>
      <c r="AZ2" s="2" t="s">
        <v>0</v>
      </c>
      <c r="BA2" s="2" t="s">
        <v>0</v>
      </c>
      <c r="BB2" s="2" t="s">
        <v>0</v>
      </c>
      <c r="BC2" s="2" t="s">
        <v>0</v>
      </c>
      <c r="BD2" s="2" t="s">
        <v>0</v>
      </c>
      <c r="BE2" s="2" t="s">
        <v>0</v>
      </c>
      <c r="BF2" s="2" t="s">
        <v>1</v>
      </c>
      <c r="BG2" s="2" t="s">
        <v>0</v>
      </c>
      <c r="BH2" s="2" t="s">
        <v>0</v>
      </c>
      <c r="BI2" s="2" t="s">
        <v>0</v>
      </c>
      <c r="BJ2" s="2" t="s">
        <v>0</v>
      </c>
      <c r="BK2" s="2" t="s">
        <v>0</v>
      </c>
      <c r="BL2" s="2" t="s">
        <v>0</v>
      </c>
      <c r="BM2" s="2" t="s">
        <v>0</v>
      </c>
      <c r="BN2" s="2" t="s">
        <v>0</v>
      </c>
      <c r="BO2" s="2" t="s">
        <v>0</v>
      </c>
      <c r="BP2" s="2" t="s">
        <v>0</v>
      </c>
      <c r="BQ2" s="2" t="s">
        <v>0</v>
      </c>
      <c r="BR2" s="2" t="s">
        <v>0</v>
      </c>
      <c r="BS2" s="2" t="s">
        <v>0</v>
      </c>
      <c r="BT2" s="2" t="s">
        <v>1</v>
      </c>
      <c r="BU2" s="2" t="s">
        <v>0</v>
      </c>
      <c r="BV2" s="2" t="s">
        <v>0</v>
      </c>
      <c r="BW2" s="2" t="s">
        <v>0</v>
      </c>
      <c r="BX2" s="2" t="s">
        <v>0</v>
      </c>
      <c r="BY2" s="2" t="s">
        <v>0</v>
      </c>
      <c r="BZ2" s="2" t="s">
        <v>0</v>
      </c>
      <c r="CA2" s="2" t="s">
        <v>0</v>
      </c>
      <c r="CB2" s="2" t="s">
        <v>0</v>
      </c>
      <c r="CC2" s="2" t="s">
        <v>0</v>
      </c>
      <c r="CD2" s="2" t="s">
        <v>0</v>
      </c>
      <c r="CE2" s="2" t="s">
        <v>0</v>
      </c>
      <c r="CF2" s="2" t="s">
        <v>0</v>
      </c>
      <c r="CG2" s="2" t="s">
        <v>0</v>
      </c>
      <c r="CH2" s="2" t="s">
        <v>1</v>
      </c>
      <c r="CI2" s="2" t="s">
        <v>0</v>
      </c>
      <c r="CJ2" s="2" t="s">
        <v>0</v>
      </c>
      <c r="CK2" s="2" t="s">
        <v>0</v>
      </c>
      <c r="CL2" s="2" t="s">
        <v>0</v>
      </c>
      <c r="CM2" s="2" t="s">
        <v>0</v>
      </c>
      <c r="CN2" s="2" t="s">
        <v>0</v>
      </c>
      <c r="CO2" s="2" t="s">
        <v>0</v>
      </c>
      <c r="CP2" s="2" t="s">
        <v>0</v>
      </c>
      <c r="CQ2" s="2" t="s">
        <v>0</v>
      </c>
      <c r="CR2" s="2" t="s">
        <v>0</v>
      </c>
      <c r="CS2" s="2" t="s">
        <v>0</v>
      </c>
      <c r="CT2" s="2" t="s">
        <v>0</v>
      </c>
      <c r="CU2" s="2" t="s">
        <v>0</v>
      </c>
      <c r="CV2" s="2" t="s">
        <v>1</v>
      </c>
      <c r="CW2" s="2" t="s">
        <v>0</v>
      </c>
      <c r="CX2" s="2" t="s">
        <v>0</v>
      </c>
      <c r="CY2" s="2" t="s">
        <v>0</v>
      </c>
      <c r="CZ2" s="2" t="s">
        <v>0</v>
      </c>
      <c r="DA2" s="2" t="s">
        <v>0</v>
      </c>
      <c r="DB2" s="2" t="s">
        <v>0</v>
      </c>
      <c r="DC2" s="2" t="s">
        <v>0</v>
      </c>
      <c r="DD2" s="2" t="s">
        <v>0</v>
      </c>
      <c r="DE2" s="2" t="s">
        <v>0</v>
      </c>
      <c r="DF2" s="2" t="s">
        <v>0</v>
      </c>
      <c r="DG2" s="2" t="s">
        <v>0</v>
      </c>
      <c r="DH2" s="2" t="s">
        <v>0</v>
      </c>
      <c r="DI2" s="2" t="s">
        <v>0</v>
      </c>
      <c r="DJ2" s="2" t="s">
        <v>1</v>
      </c>
      <c r="DK2" s="2" t="s">
        <v>0</v>
      </c>
      <c r="DL2" s="2" t="s">
        <v>0</v>
      </c>
      <c r="DM2" s="2" t="s">
        <v>0</v>
      </c>
      <c r="DN2" s="2" t="s">
        <v>0</v>
      </c>
      <c r="DO2" s="2" t="s">
        <v>0</v>
      </c>
      <c r="DP2" s="2" t="s">
        <v>0</v>
      </c>
      <c r="DQ2" s="2" t="s">
        <v>0</v>
      </c>
      <c r="DR2" s="2" t="s">
        <v>0</v>
      </c>
      <c r="DS2" s="2" t="s">
        <v>0</v>
      </c>
      <c r="DT2" s="2" t="s">
        <v>0</v>
      </c>
      <c r="DU2" s="2" t="s">
        <v>0</v>
      </c>
      <c r="DV2" s="2" t="s">
        <v>0</v>
      </c>
      <c r="DW2" s="2" t="s">
        <v>0</v>
      </c>
      <c r="DX2" s="2" t="s">
        <v>1</v>
      </c>
      <c r="DY2" s="2" t="s">
        <v>0</v>
      </c>
      <c r="DZ2" s="2" t="s">
        <v>0</v>
      </c>
      <c r="EA2" s="2" t="s">
        <v>0</v>
      </c>
      <c r="EB2" s="2" t="s">
        <v>0</v>
      </c>
      <c r="EC2" s="2" t="s">
        <v>0</v>
      </c>
      <c r="ED2" s="2" t="s">
        <v>0</v>
      </c>
      <c r="EE2" s="2" t="s">
        <v>0</v>
      </c>
      <c r="EF2" s="2" t="s">
        <v>0</v>
      </c>
      <c r="EG2" s="2" t="s">
        <v>0</v>
      </c>
      <c r="EH2" s="2" t="s">
        <v>0</v>
      </c>
      <c r="EI2" s="2" t="s">
        <v>0</v>
      </c>
      <c r="EJ2" s="2" t="s">
        <v>0</v>
      </c>
      <c r="EK2" s="2" t="s">
        <v>0</v>
      </c>
      <c r="EL2" s="2" t="s">
        <v>1</v>
      </c>
      <c r="EM2" s="2"/>
      <c r="EZ2" s="2"/>
      <c r="FA2" s="2"/>
    </row>
    <row r="3" spans="1:186" ht="29.65" customHeight="1">
      <c r="A3" s="34" t="s">
        <v>255</v>
      </c>
      <c r="C3" s="34" t="s">
        <v>256</v>
      </c>
      <c r="D3" s="4"/>
      <c r="E3" s="2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16"/>
      <c r="CY3" s="16"/>
      <c r="CZ3" s="16"/>
      <c r="DA3" s="4"/>
      <c r="DB3" s="4"/>
      <c r="DC3" s="4"/>
      <c r="DD3" s="4"/>
      <c r="DE3" s="4"/>
      <c r="DF3" s="4"/>
      <c r="DG3" s="4"/>
      <c r="DH3" s="4"/>
      <c r="DI3" s="4"/>
      <c r="DJ3" s="4"/>
      <c r="DK3" s="142"/>
      <c r="DL3" s="211"/>
      <c r="DM3" s="215"/>
      <c r="DN3" s="216"/>
      <c r="DO3" s="216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264"/>
      <c r="FB3" s="101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</row>
    <row r="4" spans="1:186" ht="20.5">
      <c r="A4" s="4"/>
      <c r="C4" s="4"/>
      <c r="D4" s="4"/>
      <c r="E4" s="28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16"/>
      <c r="DA4" s="4"/>
      <c r="DB4" s="4"/>
      <c r="DC4" s="4"/>
      <c r="DD4" s="4"/>
      <c r="DE4" s="4"/>
      <c r="DF4" s="4"/>
      <c r="DG4" s="4"/>
      <c r="DH4" s="4"/>
      <c r="DI4" s="4"/>
      <c r="DJ4" s="4"/>
      <c r="DK4" s="148"/>
      <c r="DL4" s="211"/>
      <c r="DM4" s="223"/>
      <c r="DN4" s="228"/>
      <c r="DO4" s="4"/>
      <c r="DP4" s="4"/>
      <c r="DQ4" s="229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265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16"/>
      <c r="GC4" s="169"/>
      <c r="GD4" s="4"/>
    </row>
    <row r="5" spans="1:186" ht="66.75" customHeight="1">
      <c r="A5" s="365"/>
      <c r="B5" s="361" t="s">
        <v>4</v>
      </c>
      <c r="C5" s="342"/>
      <c r="D5" s="335">
        <v>2014</v>
      </c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7"/>
      <c r="P5" s="20">
        <v>2014</v>
      </c>
      <c r="Q5" s="20">
        <v>2014</v>
      </c>
      <c r="R5" s="335">
        <v>2015</v>
      </c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7"/>
      <c r="AD5" s="20">
        <v>2015</v>
      </c>
      <c r="AE5" s="20">
        <v>2015</v>
      </c>
      <c r="AF5" s="341">
        <v>2016</v>
      </c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20">
        <v>2016</v>
      </c>
      <c r="AS5" s="158">
        <v>2016</v>
      </c>
      <c r="AT5" s="335">
        <v>2017</v>
      </c>
      <c r="AU5" s="336"/>
      <c r="AV5" s="336"/>
      <c r="AW5" s="336"/>
      <c r="AX5" s="336"/>
      <c r="AY5" s="336"/>
      <c r="AZ5" s="336"/>
      <c r="BA5" s="336"/>
      <c r="BB5" s="336"/>
      <c r="BC5" s="336"/>
      <c r="BD5" s="336"/>
      <c r="BE5" s="337"/>
      <c r="BF5" s="20">
        <v>2017</v>
      </c>
      <c r="BG5" s="20">
        <v>2017</v>
      </c>
      <c r="BH5" s="335">
        <v>2018</v>
      </c>
      <c r="BI5" s="336"/>
      <c r="BJ5" s="336"/>
      <c r="BK5" s="336"/>
      <c r="BL5" s="336"/>
      <c r="BM5" s="336"/>
      <c r="BN5" s="336"/>
      <c r="BO5" s="336"/>
      <c r="BP5" s="336"/>
      <c r="BQ5" s="336"/>
      <c r="BR5" s="336"/>
      <c r="BS5" s="337"/>
      <c r="BT5" s="134">
        <v>2018</v>
      </c>
      <c r="BU5" s="20">
        <v>2018</v>
      </c>
      <c r="BV5" s="335">
        <v>2019</v>
      </c>
      <c r="BW5" s="336"/>
      <c r="BX5" s="336"/>
      <c r="BY5" s="336"/>
      <c r="BZ5" s="336"/>
      <c r="CA5" s="336"/>
      <c r="CB5" s="336"/>
      <c r="CC5" s="336"/>
      <c r="CD5" s="336"/>
      <c r="CE5" s="336"/>
      <c r="CF5" s="336"/>
      <c r="CG5" s="337"/>
      <c r="CH5" s="134">
        <v>2019</v>
      </c>
      <c r="CI5" s="20">
        <v>2019</v>
      </c>
      <c r="CJ5" s="335">
        <v>2020</v>
      </c>
      <c r="CK5" s="336"/>
      <c r="CL5" s="336"/>
      <c r="CM5" s="336"/>
      <c r="CN5" s="336"/>
      <c r="CO5" s="336"/>
      <c r="CP5" s="336"/>
      <c r="CQ5" s="336"/>
      <c r="CR5" s="336"/>
      <c r="CS5" s="336"/>
      <c r="CT5" s="336"/>
      <c r="CU5" s="337"/>
      <c r="CV5" s="134">
        <v>2020</v>
      </c>
      <c r="CW5" s="134">
        <v>2020</v>
      </c>
      <c r="CX5" s="335">
        <v>2021</v>
      </c>
      <c r="CY5" s="336"/>
      <c r="CZ5" s="336"/>
      <c r="DA5" s="336"/>
      <c r="DB5" s="336"/>
      <c r="DC5" s="336"/>
      <c r="DD5" s="336"/>
      <c r="DE5" s="336"/>
      <c r="DF5" s="336"/>
      <c r="DG5" s="336"/>
      <c r="DH5" s="336"/>
      <c r="DI5" s="337"/>
      <c r="DJ5" s="134">
        <v>2021</v>
      </c>
      <c r="DK5" s="20">
        <v>2021</v>
      </c>
      <c r="DL5" s="335">
        <v>2022</v>
      </c>
      <c r="DM5" s="336"/>
      <c r="DN5" s="336"/>
      <c r="DO5" s="336"/>
      <c r="DP5" s="336"/>
      <c r="DQ5" s="336"/>
      <c r="DR5" s="336"/>
      <c r="DS5" s="336"/>
      <c r="DT5" s="336"/>
      <c r="DU5" s="336"/>
      <c r="DV5" s="336"/>
      <c r="DW5" s="337"/>
      <c r="DX5" s="134">
        <v>2022</v>
      </c>
      <c r="DY5" s="134">
        <v>2022</v>
      </c>
      <c r="DZ5" s="335">
        <v>2023</v>
      </c>
      <c r="EA5" s="336"/>
      <c r="EB5" s="336"/>
      <c r="EC5" s="336"/>
      <c r="ED5" s="336"/>
      <c r="EE5" s="336"/>
      <c r="EF5" s="336"/>
      <c r="EG5" s="336"/>
      <c r="EH5" s="336"/>
      <c r="EI5" s="336"/>
      <c r="EJ5" s="336"/>
      <c r="EK5" s="337"/>
      <c r="EL5" s="134">
        <v>2023</v>
      </c>
      <c r="EM5" s="20">
        <v>2023</v>
      </c>
      <c r="EN5" s="335">
        <v>2024</v>
      </c>
      <c r="EO5" s="336"/>
      <c r="EP5" s="336"/>
      <c r="EQ5" s="336"/>
      <c r="ER5" s="336"/>
      <c r="ES5" s="336"/>
      <c r="ET5" s="336"/>
      <c r="EU5" s="336"/>
      <c r="EV5" s="336"/>
      <c r="EW5" s="336"/>
      <c r="EX5" s="336"/>
      <c r="EY5" s="337"/>
      <c r="EZ5" s="134">
        <v>2024</v>
      </c>
      <c r="FA5" s="20">
        <v>2024</v>
      </c>
      <c r="FB5" s="335">
        <v>2025</v>
      </c>
      <c r="FC5" s="336"/>
      <c r="FD5" s="336"/>
      <c r="FE5" s="336"/>
      <c r="FF5" s="336"/>
      <c r="FG5" s="336"/>
      <c r="FH5" s="336"/>
      <c r="FI5" s="336"/>
      <c r="FJ5" s="336"/>
      <c r="FK5" s="336"/>
      <c r="FL5" s="336"/>
      <c r="FM5" s="337"/>
      <c r="FN5" s="134">
        <v>2025</v>
      </c>
      <c r="FO5" s="335">
        <v>2026</v>
      </c>
      <c r="FP5" s="336"/>
      <c r="FQ5" s="336"/>
      <c r="FR5" s="336"/>
      <c r="FS5" s="336"/>
      <c r="FT5" s="336"/>
      <c r="FU5" s="336"/>
      <c r="FV5" s="336"/>
      <c r="FW5" s="336"/>
      <c r="FX5" s="336"/>
      <c r="FY5" s="336"/>
      <c r="FZ5" s="337"/>
      <c r="GA5" s="298">
        <v>2025</v>
      </c>
      <c r="GB5" s="298">
        <v>2026</v>
      </c>
      <c r="GC5" s="271" t="s">
        <v>5</v>
      </c>
      <c r="GD5" s="271" t="str">
        <f>GC5</f>
        <v>2026/2025</v>
      </c>
    </row>
    <row r="6" spans="1:186" ht="62.25" customHeight="1">
      <c r="A6" s="366"/>
      <c r="B6" s="361"/>
      <c r="C6" s="343"/>
      <c r="D6" s="25" t="s">
        <v>6</v>
      </c>
      <c r="E6" s="25" t="s">
        <v>7</v>
      </c>
      <c r="F6" s="25" t="s">
        <v>8</v>
      </c>
      <c r="G6" s="25" t="s">
        <v>9</v>
      </c>
      <c r="H6" s="25" t="s">
        <v>10</v>
      </c>
      <c r="I6" s="25" t="s">
        <v>11</v>
      </c>
      <c r="J6" s="25" t="s">
        <v>12</v>
      </c>
      <c r="K6" s="25" t="s">
        <v>13</v>
      </c>
      <c r="L6" s="99" t="s">
        <v>14</v>
      </c>
      <c r="M6" s="25" t="s">
        <v>15</v>
      </c>
      <c r="N6" s="25" t="s">
        <v>16</v>
      </c>
      <c r="O6" s="25" t="s">
        <v>17</v>
      </c>
      <c r="P6" s="99" t="s">
        <v>1</v>
      </c>
      <c r="Q6" s="99" t="s">
        <v>0</v>
      </c>
      <c r="R6" s="25" t="s">
        <v>6</v>
      </c>
      <c r="S6" s="25" t="s">
        <v>7</v>
      </c>
      <c r="T6" s="25" t="s">
        <v>8</v>
      </c>
      <c r="U6" s="25" t="s">
        <v>9</v>
      </c>
      <c r="V6" s="25" t="s">
        <v>10</v>
      </c>
      <c r="W6" s="25" t="s">
        <v>11</v>
      </c>
      <c r="X6" s="25" t="s">
        <v>12</v>
      </c>
      <c r="Y6" s="25" t="s">
        <v>13</v>
      </c>
      <c r="Z6" s="99" t="s">
        <v>14</v>
      </c>
      <c r="AA6" s="25" t="s">
        <v>15</v>
      </c>
      <c r="AB6" s="25" t="s">
        <v>16</v>
      </c>
      <c r="AC6" s="25" t="s">
        <v>17</v>
      </c>
      <c r="AD6" s="25" t="s">
        <v>1</v>
      </c>
      <c r="AE6" s="25" t="s">
        <v>0</v>
      </c>
      <c r="AF6" s="25" t="s">
        <v>6</v>
      </c>
      <c r="AG6" s="25" t="s">
        <v>7</v>
      </c>
      <c r="AH6" s="25" t="s">
        <v>8</v>
      </c>
      <c r="AI6" s="25" t="s">
        <v>9</v>
      </c>
      <c r="AJ6" s="25" t="s">
        <v>10</v>
      </c>
      <c r="AK6" s="25" t="s">
        <v>11</v>
      </c>
      <c r="AL6" s="25" t="s">
        <v>12</v>
      </c>
      <c r="AM6" s="25" t="s">
        <v>13</v>
      </c>
      <c r="AN6" s="99" t="s">
        <v>14</v>
      </c>
      <c r="AO6" s="25" t="s">
        <v>15</v>
      </c>
      <c r="AP6" s="25" t="s">
        <v>16</v>
      </c>
      <c r="AQ6" s="25" t="s">
        <v>17</v>
      </c>
      <c r="AR6" s="25" t="s">
        <v>1</v>
      </c>
      <c r="AS6" s="25" t="s">
        <v>0</v>
      </c>
      <c r="AT6" s="25" t="s">
        <v>6</v>
      </c>
      <c r="AU6" s="25" t="s">
        <v>7</v>
      </c>
      <c r="AV6" s="25" t="s">
        <v>8</v>
      </c>
      <c r="AW6" s="25" t="s">
        <v>9</v>
      </c>
      <c r="AX6" s="25" t="s">
        <v>10</v>
      </c>
      <c r="AY6" s="25" t="s">
        <v>11</v>
      </c>
      <c r="AZ6" s="25" t="s">
        <v>12</v>
      </c>
      <c r="BA6" s="25" t="s">
        <v>13</v>
      </c>
      <c r="BB6" s="99" t="s">
        <v>14</v>
      </c>
      <c r="BC6" s="25" t="s">
        <v>15</v>
      </c>
      <c r="BD6" s="25" t="s">
        <v>16</v>
      </c>
      <c r="BE6" s="25" t="s">
        <v>17</v>
      </c>
      <c r="BF6" s="25" t="s">
        <v>1</v>
      </c>
      <c r="BG6" s="25" t="s">
        <v>0</v>
      </c>
      <c r="BH6" s="25" t="s">
        <v>6</v>
      </c>
      <c r="BI6" s="25" t="s">
        <v>7</v>
      </c>
      <c r="BJ6" s="25" t="s">
        <v>8</v>
      </c>
      <c r="BK6" s="25" t="s">
        <v>9</v>
      </c>
      <c r="BL6" s="25" t="s">
        <v>10</v>
      </c>
      <c r="BM6" s="25" t="s">
        <v>11</v>
      </c>
      <c r="BN6" s="25" t="s">
        <v>12</v>
      </c>
      <c r="BO6" s="25" t="s">
        <v>13</v>
      </c>
      <c r="BP6" s="99" t="s">
        <v>14</v>
      </c>
      <c r="BQ6" s="25" t="s">
        <v>15</v>
      </c>
      <c r="BR6" s="25" t="s">
        <v>16</v>
      </c>
      <c r="BS6" s="25" t="s">
        <v>17</v>
      </c>
      <c r="BT6" s="99" t="str">
        <f>BF6</f>
        <v>I-XII</v>
      </c>
      <c r="BU6" s="24" t="s">
        <v>18</v>
      </c>
      <c r="BV6" s="99" t="str">
        <f t="shared" ref="BV6:CG6" si="0">BH6</f>
        <v>I</v>
      </c>
      <c r="BW6" s="99" t="str">
        <f t="shared" si="0"/>
        <v>II</v>
      </c>
      <c r="BX6" s="99" t="str">
        <f t="shared" si="0"/>
        <v>III</v>
      </c>
      <c r="BY6" s="99" t="str">
        <f t="shared" si="0"/>
        <v>IV</v>
      </c>
      <c r="BZ6" s="99" t="str">
        <f t="shared" si="0"/>
        <v>V</v>
      </c>
      <c r="CA6" s="99" t="str">
        <f t="shared" si="0"/>
        <v>VI</v>
      </c>
      <c r="CB6" s="99" t="str">
        <f t="shared" si="0"/>
        <v>VII</v>
      </c>
      <c r="CC6" s="99" t="str">
        <f t="shared" si="0"/>
        <v>VIII</v>
      </c>
      <c r="CD6" s="99" t="str">
        <f t="shared" si="0"/>
        <v>IX</v>
      </c>
      <c r="CE6" s="99" t="str">
        <f t="shared" si="0"/>
        <v>X</v>
      </c>
      <c r="CF6" s="99" t="str">
        <f t="shared" si="0"/>
        <v>XI</v>
      </c>
      <c r="CG6" s="99" t="str">
        <f t="shared" si="0"/>
        <v>XII</v>
      </c>
      <c r="CH6" s="99" t="str">
        <f>BT6</f>
        <v>I-XII</v>
      </c>
      <c r="CI6" s="24" t="s">
        <v>18</v>
      </c>
      <c r="CJ6" s="99" t="str">
        <f t="shared" ref="CJ6:CU6" si="1">BV6</f>
        <v>I</v>
      </c>
      <c r="CK6" s="99" t="str">
        <f t="shared" si="1"/>
        <v>II</v>
      </c>
      <c r="CL6" s="99" t="str">
        <f t="shared" si="1"/>
        <v>III</v>
      </c>
      <c r="CM6" s="99" t="str">
        <f t="shared" si="1"/>
        <v>IV</v>
      </c>
      <c r="CN6" s="99" t="str">
        <f t="shared" si="1"/>
        <v>V</v>
      </c>
      <c r="CO6" s="99" t="str">
        <f t="shared" si="1"/>
        <v>VI</v>
      </c>
      <c r="CP6" s="99" t="str">
        <f t="shared" si="1"/>
        <v>VII</v>
      </c>
      <c r="CQ6" s="99" t="str">
        <f t="shared" si="1"/>
        <v>VIII</v>
      </c>
      <c r="CR6" s="99" t="str">
        <f t="shared" si="1"/>
        <v>IX</v>
      </c>
      <c r="CS6" s="99" t="str">
        <f t="shared" si="1"/>
        <v>X</v>
      </c>
      <c r="CT6" s="99" t="str">
        <f t="shared" si="1"/>
        <v>XI</v>
      </c>
      <c r="CU6" s="99" t="str">
        <f t="shared" si="1"/>
        <v>XII</v>
      </c>
      <c r="CV6" s="99" t="str">
        <f>CH6</f>
        <v>I-XII</v>
      </c>
      <c r="CW6" s="24" t="s">
        <v>18</v>
      </c>
      <c r="CX6" s="99" t="str">
        <f t="shared" ref="CX6:DI6" si="2">CJ6</f>
        <v>I</v>
      </c>
      <c r="CY6" s="99" t="str">
        <f t="shared" si="2"/>
        <v>II</v>
      </c>
      <c r="CZ6" s="99" t="str">
        <f t="shared" si="2"/>
        <v>III</v>
      </c>
      <c r="DA6" s="99" t="str">
        <f t="shared" si="2"/>
        <v>IV</v>
      </c>
      <c r="DB6" s="99" t="str">
        <f t="shared" si="2"/>
        <v>V</v>
      </c>
      <c r="DC6" s="99" t="str">
        <f t="shared" si="2"/>
        <v>VI</v>
      </c>
      <c r="DD6" s="99" t="str">
        <f t="shared" si="2"/>
        <v>VII</v>
      </c>
      <c r="DE6" s="99" t="str">
        <f t="shared" si="2"/>
        <v>VIII</v>
      </c>
      <c r="DF6" s="99" t="str">
        <f t="shared" si="2"/>
        <v>IX</v>
      </c>
      <c r="DG6" s="99" t="str">
        <f t="shared" si="2"/>
        <v>X</v>
      </c>
      <c r="DH6" s="99" t="str">
        <f t="shared" si="2"/>
        <v>XI</v>
      </c>
      <c r="DI6" s="99" t="str">
        <f t="shared" si="2"/>
        <v>XII</v>
      </c>
      <c r="DJ6" s="99" t="str">
        <f>CV6</f>
        <v>I-XII</v>
      </c>
      <c r="DK6" s="24" t="s">
        <v>18</v>
      </c>
      <c r="DL6" s="99" t="s">
        <v>6</v>
      </c>
      <c r="DM6" s="99" t="s">
        <v>7</v>
      </c>
      <c r="DN6" s="99" t="s">
        <v>8</v>
      </c>
      <c r="DO6" s="99" t="s">
        <v>9</v>
      </c>
      <c r="DP6" s="99" t="s">
        <v>10</v>
      </c>
      <c r="DQ6" s="99" t="s">
        <v>11</v>
      </c>
      <c r="DR6" s="99" t="s">
        <v>12</v>
      </c>
      <c r="DS6" s="99" t="s">
        <v>13</v>
      </c>
      <c r="DT6" s="99" t="s">
        <v>14</v>
      </c>
      <c r="DU6" s="99" t="s">
        <v>15</v>
      </c>
      <c r="DV6" s="99" t="s">
        <v>16</v>
      </c>
      <c r="DW6" s="99" t="s">
        <v>17</v>
      </c>
      <c r="DX6" s="99" t="str">
        <f>DJ6</f>
        <v>I-XII</v>
      </c>
      <c r="DY6" s="24" t="s">
        <v>18</v>
      </c>
      <c r="DZ6" s="99" t="s">
        <v>6</v>
      </c>
      <c r="EA6" s="99" t="s">
        <v>7</v>
      </c>
      <c r="EB6" s="99" t="s">
        <v>8</v>
      </c>
      <c r="EC6" s="99" t="s">
        <v>9</v>
      </c>
      <c r="ED6" s="99" t="s">
        <v>10</v>
      </c>
      <c r="EE6" s="99" t="s">
        <v>11</v>
      </c>
      <c r="EF6" s="99" t="s">
        <v>12</v>
      </c>
      <c r="EG6" s="99" t="s">
        <v>13</v>
      </c>
      <c r="EH6" s="99" t="s">
        <v>14</v>
      </c>
      <c r="EI6" s="99" t="s">
        <v>15</v>
      </c>
      <c r="EJ6" s="99" t="s">
        <v>16</v>
      </c>
      <c r="EK6" s="99" t="s">
        <v>17</v>
      </c>
      <c r="EL6" s="99" t="str">
        <f>DX6</f>
        <v>I-XII</v>
      </c>
      <c r="EM6" s="24" t="s">
        <v>18</v>
      </c>
      <c r="EN6" s="99" t="s">
        <v>6</v>
      </c>
      <c r="EO6" s="99" t="s">
        <v>7</v>
      </c>
      <c r="EP6" s="99" t="s">
        <v>8</v>
      </c>
      <c r="EQ6" s="99" t="s">
        <v>9</v>
      </c>
      <c r="ER6" s="99" t="s">
        <v>10</v>
      </c>
      <c r="ES6" s="99" t="s">
        <v>11</v>
      </c>
      <c r="ET6" s="99" t="s">
        <v>12</v>
      </c>
      <c r="EU6" s="99" t="s">
        <v>13</v>
      </c>
      <c r="EV6" s="99" t="s">
        <v>14</v>
      </c>
      <c r="EW6" s="99" t="s">
        <v>15</v>
      </c>
      <c r="EX6" s="99" t="s">
        <v>16</v>
      </c>
      <c r="EY6" s="99" t="s">
        <v>17</v>
      </c>
      <c r="EZ6" s="99" t="str">
        <f>EL6</f>
        <v>I-XII</v>
      </c>
      <c r="FA6" s="24" t="s">
        <v>18</v>
      </c>
      <c r="FB6" s="99" t="s">
        <v>6</v>
      </c>
      <c r="FC6" s="99" t="s">
        <v>7</v>
      </c>
      <c r="FD6" s="99" t="s">
        <v>8</v>
      </c>
      <c r="FE6" s="99" t="s">
        <v>9</v>
      </c>
      <c r="FF6" s="99" t="s">
        <v>10</v>
      </c>
      <c r="FG6" s="99" t="s">
        <v>11</v>
      </c>
      <c r="FH6" s="99" t="s">
        <v>12</v>
      </c>
      <c r="FI6" s="99" t="s">
        <v>13</v>
      </c>
      <c r="FJ6" s="99" t="s">
        <v>14</v>
      </c>
      <c r="FK6" s="99" t="s">
        <v>15</v>
      </c>
      <c r="FL6" s="99" t="s">
        <v>16</v>
      </c>
      <c r="FM6" s="99" t="s">
        <v>17</v>
      </c>
      <c r="FN6" s="99" t="str">
        <f>EZ6</f>
        <v>I-XII</v>
      </c>
      <c r="FO6" s="99" t="s">
        <v>6</v>
      </c>
      <c r="FP6" s="99" t="s">
        <v>7</v>
      </c>
      <c r="FQ6" s="99" t="s">
        <v>8</v>
      </c>
      <c r="FR6" s="99" t="s">
        <v>9</v>
      </c>
      <c r="FS6" s="99" t="s">
        <v>10</v>
      </c>
      <c r="FT6" s="99" t="s">
        <v>11</v>
      </c>
      <c r="FU6" s="99" t="s">
        <v>12</v>
      </c>
      <c r="FV6" s="99" t="s">
        <v>13</v>
      </c>
      <c r="FW6" s="99" t="s">
        <v>14</v>
      </c>
      <c r="FX6" s="99" t="s">
        <v>15</v>
      </c>
      <c r="FY6" s="99" t="s">
        <v>16</v>
      </c>
      <c r="FZ6" s="99" t="s">
        <v>17</v>
      </c>
      <c r="GA6" s="272" t="str">
        <f>Kopbudžets!HU6</f>
        <v>I-IV</v>
      </c>
      <c r="GB6" s="272" t="str">
        <f>GA6</f>
        <v>I-IV</v>
      </c>
      <c r="GC6" s="273" t="str">
        <f>"Izmaiņas "&amp;GB6&amp;" "&amp;GC5&amp;", milj. euro"</f>
        <v>Izmaiņas I-IV 2026/2025, milj. euro</v>
      </c>
      <c r="GD6" s="273" t="str">
        <f>"Izmaiņas "&amp;GB6&amp;" "&amp;GD5&amp;", %"</f>
        <v>Izmaiņas I-IV 2026/2025, %</v>
      </c>
    </row>
    <row r="7" spans="1:186" s="12" customFormat="1" ht="20">
      <c r="A7" s="65" t="s">
        <v>25</v>
      </c>
      <c r="B7" s="13"/>
      <c r="C7" s="40" t="s">
        <v>26</v>
      </c>
      <c r="D7" s="39">
        <f>D8+D31+D32+D33+D37</f>
        <v>562.45958096999993</v>
      </c>
      <c r="E7" s="67">
        <f>E8+E31+E32+E33+E37</f>
        <v>568.21355800000003</v>
      </c>
      <c r="F7" s="67">
        <f t="shared" ref="F7:M7" si="3">F8+F31+F32+F33+F37</f>
        <v>483.60244288000001</v>
      </c>
      <c r="G7" s="67">
        <f t="shared" si="3"/>
        <v>600.33668024999997</v>
      </c>
      <c r="H7" s="67">
        <f t="shared" si="3"/>
        <v>561.88688022000008</v>
      </c>
      <c r="I7" s="67">
        <f t="shared" si="3"/>
        <v>806.73072034000006</v>
      </c>
      <c r="J7" s="67">
        <f t="shared" si="3"/>
        <v>584.78603492000002</v>
      </c>
      <c r="K7" s="67">
        <f t="shared" si="3"/>
        <v>561.85174110000003</v>
      </c>
      <c r="L7" s="67">
        <f t="shared" si="3"/>
        <v>548.17154439000001</v>
      </c>
      <c r="M7" s="67">
        <f t="shared" si="3"/>
        <v>565.9285961999999</v>
      </c>
      <c r="N7" s="67">
        <f>N8+N31+N32+N33+N37</f>
        <v>496.94221291000002</v>
      </c>
      <c r="O7" s="67">
        <f>O8+O31+O32+O33+O37</f>
        <v>607.83132137999996</v>
      </c>
      <c r="P7" s="67">
        <f>SUM(D7:O7)</f>
        <v>6948.7413135600009</v>
      </c>
      <c r="Q7" s="67">
        <f>Q8+Q31+Q32+Q33+Q37</f>
        <v>6949.5543070000003</v>
      </c>
      <c r="R7" s="67">
        <f>R8+R31+R32+R33+R37</f>
        <v>621.92123892999996</v>
      </c>
      <c r="S7" s="67">
        <v>531.38016440999991</v>
      </c>
      <c r="T7" s="67">
        <v>627.26970713000014</v>
      </c>
      <c r="U7" s="67">
        <v>749.95776049000006</v>
      </c>
      <c r="V7" s="67">
        <v>588.54425421000008</v>
      </c>
      <c r="W7" s="67">
        <v>650.38738538999996</v>
      </c>
      <c r="X7" s="67">
        <v>539.98591398000008</v>
      </c>
      <c r="Y7" s="67">
        <v>661.90952196000012</v>
      </c>
      <c r="Z7" s="67">
        <v>501.10682360999999</v>
      </c>
      <c r="AA7" s="67">
        <v>608.40779054000018</v>
      </c>
      <c r="AB7" s="67">
        <v>519.54420630000016</v>
      </c>
      <c r="AC7" s="67">
        <v>580.58938540000008</v>
      </c>
      <c r="AD7" s="67">
        <f>SUM(R7:AC7)</f>
        <v>7181.0041523500004</v>
      </c>
      <c r="AE7" s="67">
        <f>AE8+AE31+AE32+AE33+AE37</f>
        <v>7181.5050960000008</v>
      </c>
      <c r="AF7" s="67">
        <v>598.53446865000012</v>
      </c>
      <c r="AG7" s="67">
        <v>661.95029389999991</v>
      </c>
      <c r="AH7" s="67">
        <v>505.76397856000006</v>
      </c>
      <c r="AI7" s="67">
        <v>634.49217606000002</v>
      </c>
      <c r="AJ7" s="67">
        <v>683.42073966000009</v>
      </c>
      <c r="AK7" s="67">
        <v>599.67155905999994</v>
      </c>
      <c r="AL7" s="67">
        <v>604.15961815999992</v>
      </c>
      <c r="AM7" s="67">
        <v>579.24239517000012</v>
      </c>
      <c r="AN7" s="67">
        <v>591.48020049000002</v>
      </c>
      <c r="AO7" s="67">
        <v>606.95928374000005</v>
      </c>
      <c r="AP7" s="67">
        <v>563.6451778600001</v>
      </c>
      <c r="AQ7" s="67">
        <v>682.15831947000004</v>
      </c>
      <c r="AR7" s="67">
        <f>SUM(AF7:AQ7)</f>
        <v>7311.4782107800002</v>
      </c>
      <c r="AS7" s="67">
        <f>AS8+AS31+AS32+AS33+AS37</f>
        <v>7312.0735319999994</v>
      </c>
      <c r="AT7" s="67">
        <v>655.87424439000006</v>
      </c>
      <c r="AU7" s="67">
        <v>625.42417374000013</v>
      </c>
      <c r="AV7" s="67">
        <v>536.98861580999994</v>
      </c>
      <c r="AW7" s="67">
        <v>694.26089695999985</v>
      </c>
      <c r="AX7" s="67">
        <v>661.73820745</v>
      </c>
      <c r="AY7" s="67">
        <v>712.38640906000001</v>
      </c>
      <c r="AZ7" s="67">
        <v>636.70403682999995</v>
      </c>
      <c r="BA7" s="67">
        <v>636.39637943000014</v>
      </c>
      <c r="BB7" s="67">
        <v>582.54561161999936</v>
      </c>
      <c r="BC7" s="67">
        <v>662.45852499999978</v>
      </c>
      <c r="BD7" s="67">
        <v>583.34003775000031</v>
      </c>
      <c r="BE7" s="67">
        <v>723.91267893000088</v>
      </c>
      <c r="BF7" s="67">
        <f>AT7+AU7+AV7+AW7+AX7+AY7+AZ7+BA7+BB7+BC7+BD7+BE7</f>
        <v>7712.0298169700009</v>
      </c>
      <c r="BG7" s="67">
        <f>BG8+BG31+BG32+BG33+BG37</f>
        <v>7712.3423410000014</v>
      </c>
      <c r="BH7" s="67">
        <v>720.21606856000017</v>
      </c>
      <c r="BI7" s="67">
        <v>746.0205891600001</v>
      </c>
      <c r="BJ7" s="67">
        <v>584.01472048999938</v>
      </c>
      <c r="BK7" s="67">
        <v>782.54343469000048</v>
      </c>
      <c r="BL7" s="67">
        <v>892.02908578000006</v>
      </c>
      <c r="BM7" s="67">
        <v>740.51390139000091</v>
      </c>
      <c r="BN7" s="67">
        <v>916.46488904</v>
      </c>
      <c r="BO7" s="67">
        <v>714.37816258999919</v>
      </c>
      <c r="BP7" s="67">
        <v>642.89065211000013</v>
      </c>
      <c r="BQ7" s="67">
        <v>730.25920918999986</v>
      </c>
      <c r="BR7" s="67">
        <v>711.18677721000154</v>
      </c>
      <c r="BS7" s="67">
        <v>740.27967832000013</v>
      </c>
      <c r="BT7" s="66">
        <f>BH7+BI7+BJ7+BK7+BL7+BM7+BN7+BO7+BP7+BQ7+BR7+BS7</f>
        <v>8920.7971685300017</v>
      </c>
      <c r="BU7" s="150">
        <f>BU8+BU31+BU32+BU33+BU37</f>
        <v>8921.0561190000008</v>
      </c>
      <c r="BV7" s="67">
        <v>811.90575975000058</v>
      </c>
      <c r="BW7" s="67">
        <v>824.12232773999995</v>
      </c>
      <c r="BX7" s="67">
        <v>573.05648113999985</v>
      </c>
      <c r="BY7" s="67">
        <v>848.66975912999965</v>
      </c>
      <c r="BZ7" s="67">
        <v>927.06764158000067</v>
      </c>
      <c r="CA7" s="67">
        <v>923.81901469000104</v>
      </c>
      <c r="CB7" s="67">
        <v>717.70331368999973</v>
      </c>
      <c r="CC7" s="67">
        <v>657.72166499000014</v>
      </c>
      <c r="CD7" s="67">
        <v>611.3014123400003</v>
      </c>
      <c r="CE7" s="67">
        <v>828.39277261999996</v>
      </c>
      <c r="CF7" s="67">
        <v>660.09966114999986</v>
      </c>
      <c r="CG7" s="67">
        <v>899.27317891999962</v>
      </c>
      <c r="CH7" s="66">
        <f>BV7+BW7+BX7+BY7+BZ7+CA7+CB7+CC7+CD7+CE7+CF7+CG7</f>
        <v>9283.1329877400003</v>
      </c>
      <c r="CI7" s="67">
        <f>CI8+CI31+CI32+CI33+CI37</f>
        <v>9281.6432939999995</v>
      </c>
      <c r="CJ7" s="67">
        <v>779.32502897999905</v>
      </c>
      <c r="CK7" s="67">
        <v>813.89214885000001</v>
      </c>
      <c r="CL7" s="67">
        <v>652.57577257000025</v>
      </c>
      <c r="CM7" s="172">
        <v>879.13482860999943</v>
      </c>
      <c r="CN7" s="172">
        <v>777.70205996999994</v>
      </c>
      <c r="CO7" s="172">
        <v>675.28461403999984</v>
      </c>
      <c r="CP7" s="172">
        <v>970.04374712999925</v>
      </c>
      <c r="CQ7" s="190">
        <v>716.16062961</v>
      </c>
      <c r="CR7" s="66">
        <v>687.30323352000073</v>
      </c>
      <c r="CS7" s="66">
        <v>736.49423746000014</v>
      </c>
      <c r="CT7" s="66">
        <v>710.5713168700006</v>
      </c>
      <c r="CU7" s="66">
        <v>913.33350098999881</v>
      </c>
      <c r="CV7" s="66">
        <f>CJ7+CK7+CL7+CM7+CN7+CO7+CP7+CQ7+CR7+CS7+CT7+CU7</f>
        <v>9311.8211185999971</v>
      </c>
      <c r="CW7" s="67">
        <f>CW8+CW31+CW32+CW33+CW37</f>
        <v>9329.3890640000009</v>
      </c>
      <c r="CX7" s="66">
        <v>874.05669472</v>
      </c>
      <c r="CY7" s="66">
        <v>864.72021299999994</v>
      </c>
      <c r="CZ7" s="66">
        <v>545.44562099999996</v>
      </c>
      <c r="DA7" s="66">
        <v>1037.4981210000001</v>
      </c>
      <c r="DB7" s="66">
        <v>921.600416</v>
      </c>
      <c r="DC7" s="66">
        <v>838.34618499999999</v>
      </c>
      <c r="DD7" s="66">
        <v>998.194703</v>
      </c>
      <c r="DE7" s="66">
        <v>835.85080700000003</v>
      </c>
      <c r="DF7" s="66">
        <v>1035.44102</v>
      </c>
      <c r="DG7" s="66">
        <v>778.10189700000001</v>
      </c>
      <c r="DH7" s="66">
        <v>901.91021799999999</v>
      </c>
      <c r="DI7" s="66">
        <v>910.67509569000026</v>
      </c>
      <c r="DJ7" s="66">
        <f>CX7+CY7+CZ7+DA7+DB7+DC7+DD7+DE7+DF7+DG7+DH7+DI7</f>
        <v>10541.840991410001</v>
      </c>
      <c r="DK7" s="67">
        <f>DK8+DK31+DK32+DK33+DK37</f>
        <v>10510.997864999999</v>
      </c>
      <c r="DL7" s="67">
        <v>1020.4481418800004</v>
      </c>
      <c r="DM7" s="67">
        <v>958.96420907999993</v>
      </c>
      <c r="DN7" s="67">
        <v>758.24820894000015</v>
      </c>
      <c r="DO7" s="67">
        <v>1069.0971137100003</v>
      </c>
      <c r="DP7" s="67">
        <v>957.03114360999996</v>
      </c>
      <c r="DQ7" s="67">
        <v>932.73848080999983</v>
      </c>
      <c r="DR7" s="67">
        <v>1016.6707962800007</v>
      </c>
      <c r="DS7" s="67">
        <v>989.30650761000004</v>
      </c>
      <c r="DT7" s="67">
        <v>874.15141654999968</v>
      </c>
      <c r="DU7" s="67">
        <v>1123.4917898000003</v>
      </c>
      <c r="DV7" s="67">
        <v>1051.0618540000003</v>
      </c>
      <c r="DW7" s="67">
        <v>1181.1747600800002</v>
      </c>
      <c r="DX7" s="66">
        <f>DL7+DM7+DN7+DO7+DP7+DQ7+DR7+DS7+DT7+DU7+DV7+DW7</f>
        <v>11932.384422350002</v>
      </c>
      <c r="DY7" s="67">
        <f>DY8+DY31+DY32+DY33+DY37</f>
        <v>11952.999401000001</v>
      </c>
      <c r="DZ7" s="67">
        <v>1083.8702658699999</v>
      </c>
      <c r="EA7" s="67">
        <v>1095.2246905600002</v>
      </c>
      <c r="EB7" s="67">
        <v>780.17460198000003</v>
      </c>
      <c r="EC7" s="67">
        <v>1232.1323622199998</v>
      </c>
      <c r="ED7" s="67">
        <v>1174.67797617</v>
      </c>
      <c r="EE7" s="67">
        <v>1103.1712303500005</v>
      </c>
      <c r="EF7" s="67">
        <v>1224.6086240299996</v>
      </c>
      <c r="EG7" s="67">
        <v>1021.9940080700003</v>
      </c>
      <c r="EH7" s="67">
        <v>1026.2735203099999</v>
      </c>
      <c r="EI7" s="67">
        <v>1019.5161118400002</v>
      </c>
      <c r="EJ7" s="67">
        <v>1115.6996282100001</v>
      </c>
      <c r="EK7" s="67">
        <v>1130.4671599999999</v>
      </c>
      <c r="EL7" s="66">
        <f>DZ7+EA7+EB7+EC7+ED7+EE7+EF7+EG7+EH7+EI7+EJ7+EK7</f>
        <v>13007.810179610002</v>
      </c>
      <c r="EM7" s="67">
        <f>EM8+EM31+EM32+EM33+EM37</f>
        <v>13096.765884999999</v>
      </c>
      <c r="EN7" s="67">
        <v>1316.4923520600003</v>
      </c>
      <c r="EO7" s="67">
        <v>1096.8562762199999</v>
      </c>
      <c r="EP7" s="67">
        <v>1032.5414968800003</v>
      </c>
      <c r="EQ7" s="67">
        <v>1222.7191790499996</v>
      </c>
      <c r="ER7" s="67">
        <v>1469.3953100399999</v>
      </c>
      <c r="ES7" s="67">
        <v>1573.1924708400002</v>
      </c>
      <c r="ET7" s="67">
        <v>1246.6133915700004</v>
      </c>
      <c r="EU7" s="67">
        <v>1092.6264143000003</v>
      </c>
      <c r="EV7" s="67">
        <v>1029.6817049799997</v>
      </c>
      <c r="EW7" s="67">
        <v>1055.2003340199994</v>
      </c>
      <c r="EX7" s="67">
        <v>998.55418617999999</v>
      </c>
      <c r="EY7" s="67">
        <v>1231.8933509999999</v>
      </c>
      <c r="EZ7" s="66">
        <f>EN7+EO7+EP7+EQ7+ER7+ES7+ET7+EU7+EV7+EW7+EX7+EY7</f>
        <v>14365.76646714</v>
      </c>
      <c r="FA7" s="67">
        <f>FA8+FA31+FA32+FA33+FA37</f>
        <v>14393.560809000001</v>
      </c>
      <c r="FB7" s="67">
        <v>1262.2080053899992</v>
      </c>
      <c r="FC7" s="67">
        <v>1199.1399913200003</v>
      </c>
      <c r="FD7" s="67">
        <v>913.48163840999973</v>
      </c>
      <c r="FE7" s="67">
        <v>1194.751360369999</v>
      </c>
      <c r="FF7" s="67">
        <v>1529.4982769699993</v>
      </c>
      <c r="FG7" s="67">
        <v>1518.3569596399993</v>
      </c>
      <c r="FH7" s="67">
        <v>1197.9147947700003</v>
      </c>
      <c r="FI7" s="67">
        <v>1330.3713834000002</v>
      </c>
      <c r="FJ7" s="67">
        <v>1053.4839575500007</v>
      </c>
      <c r="FK7" s="67">
        <v>1121.32113116</v>
      </c>
      <c r="FL7" s="67">
        <v>1067.17826016</v>
      </c>
      <c r="FM7" s="67">
        <v>1594.078025909999</v>
      </c>
      <c r="FN7" s="66">
        <f>FB7+FC7+FD7+FE7+FF7+FG7+FH7+FI7+FJ7+FK7+FL7+FM7</f>
        <v>14981.78378505</v>
      </c>
      <c r="FO7" s="67">
        <v>1313.2599537199999</v>
      </c>
      <c r="FP7" s="67">
        <v>1780.30823298</v>
      </c>
      <c r="FQ7" s="67">
        <v>984.15482304999989</v>
      </c>
      <c r="FR7" s="67">
        <v>1215.4101657600002</v>
      </c>
      <c r="FS7" s="67"/>
      <c r="FT7" s="67"/>
      <c r="FU7" s="67"/>
      <c r="FV7" s="67"/>
      <c r="FW7" s="67"/>
      <c r="FX7" s="67"/>
      <c r="FY7" s="67"/>
      <c r="FZ7" s="67"/>
      <c r="GA7" s="305">
        <f>ROUND(SUM(FB7+FC7+FD7+FE7),6)</f>
        <v>4569.5809950000003</v>
      </c>
      <c r="GB7" s="305">
        <f>ROUND(SUM(FO7+FP7+FQ7+FR7),6)</f>
        <v>5293.1331760000003</v>
      </c>
      <c r="GC7" s="294">
        <f t="shared" ref="GC7" si="4">GB7-GA7</f>
        <v>723.55218100000002</v>
      </c>
      <c r="GD7" s="294">
        <f t="shared" ref="GD7" si="5">GB7/GA7*100-100</f>
        <v>15.834103428557356</v>
      </c>
    </row>
    <row r="8" spans="1:186" s="12" customFormat="1" ht="20.5">
      <c r="A8" s="62" t="s">
        <v>27</v>
      </c>
      <c r="B8" s="13" t="s">
        <v>28</v>
      </c>
      <c r="C8" s="42" t="s">
        <v>29</v>
      </c>
      <c r="D8" s="84">
        <f>D9+D17+D29</f>
        <v>478.58896499999997</v>
      </c>
      <c r="E8" s="85">
        <f>E9+E17+E29</f>
        <v>374.19485900000001</v>
      </c>
      <c r="F8" s="85">
        <f t="shared" ref="F8:M8" si="6">F9+F17+F29</f>
        <v>393.852644</v>
      </c>
      <c r="G8" s="85">
        <f t="shared" si="6"/>
        <v>469.59004600000003</v>
      </c>
      <c r="H8" s="85">
        <f t="shared" si="6"/>
        <v>426.75138300000003</v>
      </c>
      <c r="I8" s="85">
        <f t="shared" si="6"/>
        <v>460.49237599999998</v>
      </c>
      <c r="J8" s="85">
        <f t="shared" si="6"/>
        <v>476.80563541999999</v>
      </c>
      <c r="K8" s="85">
        <f t="shared" si="6"/>
        <v>473.298496</v>
      </c>
      <c r="L8" s="85">
        <f t="shared" si="6"/>
        <v>453.75865668</v>
      </c>
      <c r="M8" s="85">
        <f t="shared" si="6"/>
        <v>440.51386365999997</v>
      </c>
      <c r="N8" s="85">
        <f>N9+N17+N29</f>
        <v>448.26846059000007</v>
      </c>
      <c r="O8" s="85">
        <f>O9+O17+O29</f>
        <v>463.80457809000001</v>
      </c>
      <c r="P8" s="85">
        <f t="shared" ref="P8:P70" si="7">SUM(D8:O8)</f>
        <v>5359.9199634400002</v>
      </c>
      <c r="Q8" s="85">
        <f>Q9+Q17+Q29</f>
        <v>5359.9199640000006</v>
      </c>
      <c r="R8" s="85">
        <f>R9+R17+R29</f>
        <v>501.37976515999998</v>
      </c>
      <c r="S8" s="85">
        <v>391.07869818</v>
      </c>
      <c r="T8" s="85">
        <v>426.81142922000004</v>
      </c>
      <c r="U8" s="85">
        <v>484.55035204000006</v>
      </c>
      <c r="V8" s="85">
        <v>472.44657603000002</v>
      </c>
      <c r="W8" s="85">
        <v>457.21914827000001</v>
      </c>
      <c r="X8" s="85">
        <v>489.00732005000003</v>
      </c>
      <c r="Y8" s="85">
        <v>491.25766461000006</v>
      </c>
      <c r="Z8" s="85">
        <v>468.68281366000002</v>
      </c>
      <c r="AA8" s="85">
        <v>494.92742671000002</v>
      </c>
      <c r="AB8" s="85">
        <v>480.40573805999998</v>
      </c>
      <c r="AC8" s="85">
        <v>482.07205705000007</v>
      </c>
      <c r="AD8" s="85">
        <f t="shared" ref="AD8:AD70" si="8">SUM(R8:AC8)</f>
        <v>5639.8389890399994</v>
      </c>
      <c r="AE8" s="85">
        <f>AE9+AE17+AE29</f>
        <v>5639.8389890000008</v>
      </c>
      <c r="AF8" s="85">
        <v>493.37450318000003</v>
      </c>
      <c r="AG8" s="85">
        <v>422.81843114999998</v>
      </c>
      <c r="AH8" s="85">
        <v>441.17916466000003</v>
      </c>
      <c r="AI8" s="85">
        <v>511.98879141999998</v>
      </c>
      <c r="AJ8" s="85">
        <v>502.98867429000006</v>
      </c>
      <c r="AK8" s="85">
        <v>500.83085467999996</v>
      </c>
      <c r="AL8" s="85">
        <v>520.41120359999991</v>
      </c>
      <c r="AM8" s="85">
        <v>503.03426501000007</v>
      </c>
      <c r="AN8" s="85">
        <v>505.15539770999999</v>
      </c>
      <c r="AO8" s="85">
        <v>523.96578370999998</v>
      </c>
      <c r="AP8" s="85">
        <v>491.94150981000007</v>
      </c>
      <c r="AQ8" s="85">
        <v>532.88461056000006</v>
      </c>
      <c r="AR8" s="85">
        <f t="shared" ref="AR8:AR70" si="9">SUM(AF8:AQ8)</f>
        <v>5950.5731897799997</v>
      </c>
      <c r="AS8" s="85">
        <f>AS9+AS17+AS29</f>
        <v>5950.5731909999995</v>
      </c>
      <c r="AT8" s="85">
        <v>546.45125349</v>
      </c>
      <c r="AU8" s="85">
        <v>428.21451177000006</v>
      </c>
      <c r="AV8" s="85">
        <v>464.88049164</v>
      </c>
      <c r="AW8" s="85">
        <v>542.44139691999987</v>
      </c>
      <c r="AX8" s="85">
        <v>527.76874303</v>
      </c>
      <c r="AY8" s="85">
        <v>555.32453541000007</v>
      </c>
      <c r="AZ8" s="85">
        <v>557.68119867999997</v>
      </c>
      <c r="BA8" s="85">
        <v>556.56959877000008</v>
      </c>
      <c r="BB8" s="85">
        <v>548.66585547999989</v>
      </c>
      <c r="BC8" s="85">
        <v>561.66307132999964</v>
      </c>
      <c r="BD8" s="85">
        <v>536.58457164000015</v>
      </c>
      <c r="BE8" s="85">
        <v>591.93849480000029</v>
      </c>
      <c r="BF8" s="85">
        <f t="shared" ref="BF8:BF70" si="10">AT8+AU8+AV8+AW8+AX8+AY8+AZ8+BA8+BB8+BC8+BD8+BE8</f>
        <v>6418.1837229600005</v>
      </c>
      <c r="BG8" s="85">
        <f>BG9+BG17+BG29</f>
        <v>6418.183723000001</v>
      </c>
      <c r="BH8" s="85">
        <v>573.83796151999991</v>
      </c>
      <c r="BI8" s="85">
        <v>496.0539833499999</v>
      </c>
      <c r="BJ8" s="85">
        <v>515.5355301699999</v>
      </c>
      <c r="BK8" s="85">
        <v>605.82677818999991</v>
      </c>
      <c r="BL8" s="85">
        <v>608.24861833999967</v>
      </c>
      <c r="BM8" s="85">
        <v>629.1136992500002</v>
      </c>
      <c r="BN8" s="85">
        <v>622.35185923000006</v>
      </c>
      <c r="BO8" s="85">
        <v>595.80231396999989</v>
      </c>
      <c r="BP8" s="85">
        <v>578.07015973999989</v>
      </c>
      <c r="BQ8" s="85">
        <v>580.74459211999965</v>
      </c>
      <c r="BR8" s="85">
        <v>586.9164465299998</v>
      </c>
      <c r="BS8" s="85">
        <v>633.46393876000013</v>
      </c>
      <c r="BT8" s="88">
        <f>BH8+BI8+BJ8+BK8+BL8+BM8+BN8+BO8+BP8+BQ8+BR8+BS8</f>
        <v>7025.9658811699992</v>
      </c>
      <c r="BU8" s="85">
        <f>BU9+BU17+BU29</f>
        <v>7025.9668919999995</v>
      </c>
      <c r="BV8" s="85">
        <v>593.10068312000021</v>
      </c>
      <c r="BW8" s="85">
        <v>523.48238498999979</v>
      </c>
      <c r="BX8" s="85">
        <v>512.36479310999994</v>
      </c>
      <c r="BY8" s="85">
        <v>598.90970338000022</v>
      </c>
      <c r="BZ8" s="85">
        <v>613.95463857999994</v>
      </c>
      <c r="CA8" s="85">
        <v>599.46336470000017</v>
      </c>
      <c r="CB8" s="85">
        <v>639.44653882000023</v>
      </c>
      <c r="CC8" s="85">
        <v>618.68773284999963</v>
      </c>
      <c r="CD8" s="85">
        <v>634.00044262999995</v>
      </c>
      <c r="CE8" s="85">
        <v>641.30831657999954</v>
      </c>
      <c r="CF8" s="85">
        <v>613.27643951000039</v>
      </c>
      <c r="CG8" s="85">
        <v>680.04560429000003</v>
      </c>
      <c r="CH8" s="88">
        <f>BV8+BW8+BX8+BY8+BZ8+CA8+CB8+CC8+CD8+CE8+CF8+CG8</f>
        <v>7268.0406425600013</v>
      </c>
      <c r="CI8" s="85">
        <f>CI9+CI17+CI29</f>
        <v>7268.0406409999996</v>
      </c>
      <c r="CJ8" s="85">
        <v>634.5840281400001</v>
      </c>
      <c r="CK8" s="85">
        <v>567.72934182999995</v>
      </c>
      <c r="CL8" s="85">
        <v>506.56094383999988</v>
      </c>
      <c r="CM8" s="85">
        <v>575.77729133000014</v>
      </c>
      <c r="CN8" s="85">
        <v>508.90543008000003</v>
      </c>
      <c r="CO8" s="85">
        <v>573.32768720999957</v>
      </c>
      <c r="CP8" s="85">
        <v>653.98068363000016</v>
      </c>
      <c r="CQ8" s="185">
        <v>648.9450468299998</v>
      </c>
      <c r="CR8" s="88">
        <v>651.43399522999994</v>
      </c>
      <c r="CS8" s="88">
        <v>682.89743700000008</v>
      </c>
      <c r="CT8" s="88">
        <v>639.46992214999989</v>
      </c>
      <c r="CU8" s="88">
        <v>674.51921988999959</v>
      </c>
      <c r="CV8" s="88">
        <f>CJ8+CK8+CL8+CM8+CN8+CO8+CP8+CQ8+CR8+CS8+CT8+CU8</f>
        <v>7318.1310271599987</v>
      </c>
      <c r="CW8" s="85">
        <f>CW9+CW17+CW29</f>
        <v>7318.1310290000001</v>
      </c>
      <c r="CX8" s="88">
        <v>659.79688982000039</v>
      </c>
      <c r="CY8" s="88">
        <v>574.76083130000018</v>
      </c>
      <c r="CZ8" s="88">
        <v>484.01471397000017</v>
      </c>
      <c r="DA8" s="88">
        <v>805.07976673999974</v>
      </c>
      <c r="DB8" s="88">
        <v>697.37418172000002</v>
      </c>
      <c r="DC8" s="88">
        <v>655.93245197999977</v>
      </c>
      <c r="DD8" s="88">
        <v>788.63935605000017</v>
      </c>
      <c r="DE8" s="88">
        <v>750.47470299999998</v>
      </c>
      <c r="DF8" s="88">
        <v>764.49689699999999</v>
      </c>
      <c r="DG8" s="88">
        <v>708.73575700000004</v>
      </c>
      <c r="DH8" s="88">
        <v>702.01261299999999</v>
      </c>
      <c r="DI8" s="88">
        <v>790.44866151999986</v>
      </c>
      <c r="DJ8" s="88">
        <f>CX8+CY8+CZ8+DA8+DB8+DC8+DD8+DE8+DF8+DG8+DH8+DI8</f>
        <v>8381.7668231000007</v>
      </c>
      <c r="DK8" s="85">
        <f>DK9+DK17+DK29+DK30</f>
        <v>8347.1982399999997</v>
      </c>
      <c r="DL8" s="85">
        <v>765.45781272000011</v>
      </c>
      <c r="DM8" s="85">
        <v>691.43981547999999</v>
      </c>
      <c r="DN8" s="85">
        <v>666.60194263000005</v>
      </c>
      <c r="DO8" s="85">
        <v>817.54568916999983</v>
      </c>
      <c r="DP8" s="85">
        <v>823.11043491999999</v>
      </c>
      <c r="DQ8" s="85">
        <v>735.16779193000002</v>
      </c>
      <c r="DR8" s="85">
        <v>852.53472775000012</v>
      </c>
      <c r="DS8" s="85">
        <v>784.00067999000021</v>
      </c>
      <c r="DT8" s="85">
        <v>821.98672609000005</v>
      </c>
      <c r="DU8" s="85">
        <v>850.38060885000016</v>
      </c>
      <c r="DV8" s="85">
        <v>859.32983514</v>
      </c>
      <c r="DW8" s="85">
        <v>950.23645654999984</v>
      </c>
      <c r="DX8" s="88">
        <f>DL8+DM8+DN8+DO8+DP8+DQ8+DR8+DS8+DT8+DU8+DV8+DW8</f>
        <v>9617.7925212200007</v>
      </c>
      <c r="DY8" s="85">
        <f>DY9+DY17+DY29+DY30</f>
        <v>9617.7925210000012</v>
      </c>
      <c r="DZ8" s="85">
        <v>889.73781456000006</v>
      </c>
      <c r="EA8" s="85">
        <v>785.8743437600001</v>
      </c>
      <c r="EB8" s="85">
        <v>716.13918146999993</v>
      </c>
      <c r="EC8" s="85">
        <v>930.77112098000021</v>
      </c>
      <c r="ED8" s="85">
        <v>875.23389314000008</v>
      </c>
      <c r="EE8" s="85">
        <v>851.34339724000006</v>
      </c>
      <c r="EF8" s="85">
        <v>908.84565219999979</v>
      </c>
      <c r="EG8" s="85">
        <v>867.38326153000014</v>
      </c>
      <c r="EH8" s="85">
        <v>920.95947583999987</v>
      </c>
      <c r="EI8" s="85">
        <v>919.87950134000016</v>
      </c>
      <c r="EJ8" s="85">
        <v>816.30475895999996</v>
      </c>
      <c r="EK8" s="85">
        <v>992.32041385999992</v>
      </c>
      <c r="EL8" s="88">
        <f>DZ8+EA8+EB8+EC8+ED8+EE8+EF8+EG8+EH8+EI8+EJ8+EK8</f>
        <v>10474.792814879998</v>
      </c>
      <c r="EM8" s="85">
        <f>EM9+EM17+EM29+EM30</f>
        <v>10474.792962</v>
      </c>
      <c r="EN8" s="85">
        <v>868.53666963000001</v>
      </c>
      <c r="EO8" s="85">
        <v>799.26916199000004</v>
      </c>
      <c r="EP8" s="85">
        <v>840.03967794999994</v>
      </c>
      <c r="EQ8" s="85">
        <v>928.01774580999995</v>
      </c>
      <c r="ER8" s="85">
        <v>987.98173273999998</v>
      </c>
      <c r="ES8" s="85">
        <v>992.6204289799997</v>
      </c>
      <c r="ET8" s="85">
        <v>955.27641183000014</v>
      </c>
      <c r="EU8" s="85">
        <v>931.63749221</v>
      </c>
      <c r="EV8" s="85">
        <v>951.8864393299998</v>
      </c>
      <c r="EW8" s="85">
        <v>938.95790915999999</v>
      </c>
      <c r="EX8" s="85">
        <v>911.01457030000006</v>
      </c>
      <c r="EY8" s="85">
        <v>1114.26980811</v>
      </c>
      <c r="EZ8" s="88">
        <f>EN8+EO8+EP8+EQ8+ER8+ES8+ET8+EU8+EV8+EW8+EX8+EY8</f>
        <v>11219.508048040001</v>
      </c>
      <c r="FA8" s="85">
        <f>FA9+FA17+FA29+FA30</f>
        <v>11219.50805</v>
      </c>
      <c r="FB8" s="85">
        <v>1032.8449930099998</v>
      </c>
      <c r="FC8" s="85">
        <v>870.14854757000001</v>
      </c>
      <c r="FD8" s="85">
        <v>767.74158703999979</v>
      </c>
      <c r="FE8" s="85">
        <v>978.06604361999996</v>
      </c>
      <c r="FF8" s="85">
        <v>1031.0812676799999</v>
      </c>
      <c r="FG8" s="85">
        <v>1084.2574665999998</v>
      </c>
      <c r="FH8" s="85">
        <v>1039.46726623</v>
      </c>
      <c r="FI8" s="85">
        <v>1033.0491334800001</v>
      </c>
      <c r="FJ8" s="85">
        <v>980.78703508000035</v>
      </c>
      <c r="FK8" s="85">
        <v>1030.6718194500004</v>
      </c>
      <c r="FL8" s="85">
        <v>976.59357458000011</v>
      </c>
      <c r="FM8" s="85">
        <v>1093.0578587899997</v>
      </c>
      <c r="FN8" s="88">
        <f t="shared" ref="FN8:FN70" si="11">FB8+FC8+FD8+FE8+FF8+FG8+FH8+FI8+FJ8+FK8+FL8+FM8</f>
        <v>11917.766593130002</v>
      </c>
      <c r="FO8" s="85">
        <v>1072.1556249399998</v>
      </c>
      <c r="FP8" s="85">
        <v>953.46303797999985</v>
      </c>
      <c r="FQ8" s="85">
        <v>826.27453539999999</v>
      </c>
      <c r="FR8" s="85">
        <v>1067.12529918</v>
      </c>
      <c r="FS8" s="85"/>
      <c r="FT8" s="85"/>
      <c r="FU8" s="85"/>
      <c r="FV8" s="85"/>
      <c r="FW8" s="85"/>
      <c r="FX8" s="85"/>
      <c r="FY8" s="85"/>
      <c r="FZ8" s="85"/>
      <c r="GA8" s="307">
        <f>ROUND(SUM(FB8+FC8+FD8+FE8),6)</f>
        <v>3648.8011710000001</v>
      </c>
      <c r="GB8" s="307">
        <f>ROUND(SUM(FO8+FP8+FQ8+FR8),6)</f>
        <v>3919.0184979999999</v>
      </c>
      <c r="GC8" s="308">
        <f t="shared" ref="GC8:GC68" si="12">GB8-GA8</f>
        <v>270.21732699999984</v>
      </c>
      <c r="GD8" s="308">
        <f t="shared" ref="GD8:GD67" si="13">GB8/GA8*100-100</f>
        <v>7.405646795655457</v>
      </c>
    </row>
    <row r="9" spans="1:186" s="12" customFormat="1" ht="20.5">
      <c r="A9" s="70" t="s">
        <v>30</v>
      </c>
      <c r="B9" s="13"/>
      <c r="C9" s="46" t="s">
        <v>31</v>
      </c>
      <c r="D9" s="45">
        <f>D10+D12+D14</f>
        <v>197.36785600000002</v>
      </c>
      <c r="E9" s="50">
        <f>E10+E12+E14</f>
        <v>200.03071199999999</v>
      </c>
      <c r="F9" s="50">
        <f t="shared" ref="F9:M9" si="14">F10+F12+F14</f>
        <v>204.83077300000002</v>
      </c>
      <c r="G9" s="50">
        <f t="shared" si="14"/>
        <v>240.444806</v>
      </c>
      <c r="H9" s="50">
        <f t="shared" si="14"/>
        <v>216.66169500000001</v>
      </c>
      <c r="I9" s="50">
        <f t="shared" si="14"/>
        <v>206.14301999999998</v>
      </c>
      <c r="J9" s="50">
        <f t="shared" si="14"/>
        <v>239.60081802999997</v>
      </c>
      <c r="K9" s="50">
        <f t="shared" si="14"/>
        <v>218.46940899999998</v>
      </c>
      <c r="L9" s="50">
        <f t="shared" si="14"/>
        <v>200.78066792000001</v>
      </c>
      <c r="M9" s="50">
        <f t="shared" si="14"/>
        <v>227.00941361999998</v>
      </c>
      <c r="N9" s="50">
        <f>N10+N12+N14</f>
        <v>207.25929516000002</v>
      </c>
      <c r="O9" s="50">
        <f>O10+O12+O14</f>
        <v>249.51788946000002</v>
      </c>
      <c r="P9" s="85">
        <f t="shared" si="7"/>
        <v>2608.1163551899999</v>
      </c>
      <c r="Q9" s="85">
        <f>Q10+Q12+Q14</f>
        <v>2608.1163550000001</v>
      </c>
      <c r="R9" s="50">
        <f>R10+R12+R14</f>
        <v>208.91169371000001</v>
      </c>
      <c r="S9" s="50">
        <v>209.00239185000001</v>
      </c>
      <c r="T9" s="50">
        <v>223.15032439000004</v>
      </c>
      <c r="U9" s="50">
        <v>240.20408375000005</v>
      </c>
      <c r="V9" s="50">
        <v>237.43250266999999</v>
      </c>
      <c r="W9" s="50">
        <v>204.61815432000003</v>
      </c>
      <c r="X9" s="50">
        <v>248.17410816</v>
      </c>
      <c r="Y9" s="50">
        <v>228.51734693000003</v>
      </c>
      <c r="Z9" s="50">
        <v>215.06004897</v>
      </c>
      <c r="AA9" s="50">
        <v>233.07077465</v>
      </c>
      <c r="AB9" s="50">
        <v>217.56907870999999</v>
      </c>
      <c r="AC9" s="50">
        <v>254.93481303000004</v>
      </c>
      <c r="AD9" s="85">
        <f t="shared" si="8"/>
        <v>2720.6453211400008</v>
      </c>
      <c r="AE9" s="85">
        <f>AE10+AE12+AE14</f>
        <v>2720.645321</v>
      </c>
      <c r="AF9" s="85">
        <v>215.25640187999997</v>
      </c>
      <c r="AG9" s="85">
        <v>215.24884913999998</v>
      </c>
      <c r="AH9" s="85">
        <v>217.96021488000002</v>
      </c>
      <c r="AI9" s="85">
        <v>264.23545620000004</v>
      </c>
      <c r="AJ9" s="85">
        <v>247.61740975000004</v>
      </c>
      <c r="AK9" s="85">
        <v>230.79850508999999</v>
      </c>
      <c r="AL9" s="85">
        <v>250.87093899999996</v>
      </c>
      <c r="AM9" s="85">
        <v>238.04351770000005</v>
      </c>
      <c r="AN9" s="85">
        <v>225.55928074999997</v>
      </c>
      <c r="AO9" s="85">
        <v>243.91176960000001</v>
      </c>
      <c r="AP9" s="85">
        <v>225.45423422000005</v>
      </c>
      <c r="AQ9" s="85">
        <v>270.98832659000004</v>
      </c>
      <c r="AR9" s="85">
        <f t="shared" si="9"/>
        <v>2845.9449048000006</v>
      </c>
      <c r="AS9" s="85">
        <f>AS10+AS12+AS14+AS15</f>
        <v>2845.9449049999998</v>
      </c>
      <c r="AT9" s="85">
        <v>235.91964086999999</v>
      </c>
      <c r="AU9" s="85">
        <v>226.51382370000005</v>
      </c>
      <c r="AV9" s="85">
        <v>232.37975020000002</v>
      </c>
      <c r="AW9" s="85">
        <v>266.16499751999999</v>
      </c>
      <c r="AX9" s="85">
        <v>262.17991973000005</v>
      </c>
      <c r="AY9" s="85">
        <v>266.72411737000004</v>
      </c>
      <c r="AZ9" s="85">
        <v>279.61515312</v>
      </c>
      <c r="BA9" s="85">
        <v>256.55093930999999</v>
      </c>
      <c r="BB9" s="85">
        <v>242.08768976999997</v>
      </c>
      <c r="BC9" s="85">
        <v>266.95751385</v>
      </c>
      <c r="BD9" s="85">
        <v>253.05840786000002</v>
      </c>
      <c r="BE9" s="85">
        <v>296.73097902000001</v>
      </c>
      <c r="BF9" s="85">
        <f t="shared" si="10"/>
        <v>3084.8829323200002</v>
      </c>
      <c r="BG9" s="85">
        <f>BG10+BG12+BG14+BG15</f>
        <v>3084.9016310000002</v>
      </c>
      <c r="BH9" s="85">
        <v>256.51411125999999</v>
      </c>
      <c r="BI9" s="85">
        <v>254.16989290999999</v>
      </c>
      <c r="BJ9" s="85">
        <v>258.46430400000003</v>
      </c>
      <c r="BK9" s="85">
        <v>306.20786893000002</v>
      </c>
      <c r="BL9" s="85">
        <v>317.19415421999997</v>
      </c>
      <c r="BM9" s="85">
        <v>306.94532699000007</v>
      </c>
      <c r="BN9" s="85">
        <v>289.33066472000007</v>
      </c>
      <c r="BO9" s="85">
        <v>254.12573876000005</v>
      </c>
      <c r="BP9" s="85">
        <v>231.37065991</v>
      </c>
      <c r="BQ9" s="85">
        <v>270.33531902999999</v>
      </c>
      <c r="BR9" s="85">
        <v>261.98476295</v>
      </c>
      <c r="BS9" s="85">
        <v>300.57412152999996</v>
      </c>
      <c r="BT9" s="88">
        <f t="shared" ref="BT9:BT70" si="15">BH9+BI9+BJ9+BK9+BL9+BM9+BN9+BO9+BP9+BQ9+BR9+BS9</f>
        <v>3307.2169252099998</v>
      </c>
      <c r="BU9" s="85">
        <f>BU10+BU12+BU14+BU15+BU16</f>
        <v>3307.217936</v>
      </c>
      <c r="BV9" s="85">
        <v>258.25998412000001</v>
      </c>
      <c r="BW9" s="85">
        <v>237.76365759999996</v>
      </c>
      <c r="BX9" s="85">
        <v>228.12209906000004</v>
      </c>
      <c r="BY9" s="85">
        <v>273.07849152000006</v>
      </c>
      <c r="BZ9" s="85">
        <v>301.85031776</v>
      </c>
      <c r="CA9" s="85">
        <v>257.11078730000003</v>
      </c>
      <c r="CB9" s="85">
        <v>312.21477953000004</v>
      </c>
      <c r="CC9" s="85">
        <v>278.91419377</v>
      </c>
      <c r="CD9" s="85">
        <v>268.52553785000003</v>
      </c>
      <c r="CE9" s="85">
        <v>298.22675880000003</v>
      </c>
      <c r="CF9" s="85">
        <v>287.29650051000004</v>
      </c>
      <c r="CG9" s="85">
        <v>328.29847362999999</v>
      </c>
      <c r="CH9" s="88">
        <f t="shared" ref="CH9:CH69" si="16">BV9+BW9+BX9+BY9+BZ9+CA9+CB9+CC9+CD9+CE9+CF9+CG9</f>
        <v>3329.6615814500001</v>
      </c>
      <c r="CI9" s="85">
        <f>CI10+CI12+CI14+CI15+CI16</f>
        <v>3329.6615800000004</v>
      </c>
      <c r="CJ9" s="85">
        <v>293.1968997300001</v>
      </c>
      <c r="CK9" s="85">
        <v>270.368381</v>
      </c>
      <c r="CL9" s="85">
        <v>250.09647464999995</v>
      </c>
      <c r="CM9" s="85">
        <v>296.76870067999999</v>
      </c>
      <c r="CN9" s="85">
        <v>252.44159986</v>
      </c>
      <c r="CO9" s="85">
        <v>264.69862682000002</v>
      </c>
      <c r="CP9" s="85">
        <v>316.27747397000002</v>
      </c>
      <c r="CQ9" s="185">
        <v>288.65031316000011</v>
      </c>
      <c r="CR9" s="88">
        <v>291.05730487</v>
      </c>
      <c r="CS9" s="88">
        <v>328.58405887999999</v>
      </c>
      <c r="CT9" s="88">
        <v>286.59120461999998</v>
      </c>
      <c r="CU9" s="88">
        <v>345.21358223000004</v>
      </c>
      <c r="CV9" s="88">
        <f>CJ9+CK9+CL9+CM9+CN9+CO9+CP9+CQ9+CR9+CS9+CT9+CU9</f>
        <v>3483.9446204700002</v>
      </c>
      <c r="CW9" s="85">
        <f>CW10+CW12+CW14+CW15+CW16</f>
        <v>3483.944622</v>
      </c>
      <c r="CX9" s="88">
        <v>219.61295320000005</v>
      </c>
      <c r="CY9" s="88">
        <v>260.87037391000001</v>
      </c>
      <c r="CZ9" s="88">
        <v>174.52617579000002</v>
      </c>
      <c r="DA9" s="88">
        <v>383.16271270000004</v>
      </c>
      <c r="DB9" s="88">
        <v>291.06970107000001</v>
      </c>
      <c r="DC9" s="88">
        <v>330.71099658999998</v>
      </c>
      <c r="DD9" s="88">
        <v>373.69892934000001</v>
      </c>
      <c r="DE9" s="88">
        <v>355.98928299999994</v>
      </c>
      <c r="DF9" s="88">
        <v>341.00774106</v>
      </c>
      <c r="DG9" s="88">
        <v>377.73470498</v>
      </c>
      <c r="DH9" s="88">
        <v>309.49613846999995</v>
      </c>
      <c r="DI9" s="88">
        <v>461.52312308000006</v>
      </c>
      <c r="DJ9" s="88">
        <f>CX9+CY9+CZ9+DA9+DB9+DC9+DD9+DE9+DF9+DG9+DH9+DI9</f>
        <v>3879.4028331900004</v>
      </c>
      <c r="DK9" s="85">
        <f>DK10+DK12+DK14+DK15+DK16</f>
        <v>3879.4028319999998</v>
      </c>
      <c r="DL9" s="85">
        <v>429.06598811000009</v>
      </c>
      <c r="DM9" s="85">
        <v>348.05944496000006</v>
      </c>
      <c r="DN9" s="85">
        <v>308.94047806000003</v>
      </c>
      <c r="DO9" s="85">
        <v>367.98111167000002</v>
      </c>
      <c r="DP9" s="85">
        <v>409.61801066999999</v>
      </c>
      <c r="DQ9" s="85">
        <v>412.24225473000007</v>
      </c>
      <c r="DR9" s="85">
        <v>391.5661069200001</v>
      </c>
      <c r="DS9" s="85">
        <v>385.67096442999997</v>
      </c>
      <c r="DT9" s="85">
        <v>401.77046261999988</v>
      </c>
      <c r="DU9" s="85">
        <v>418.76052628999997</v>
      </c>
      <c r="DV9" s="85">
        <v>376.25919879999992</v>
      </c>
      <c r="DW9" s="85">
        <v>360.69074397999998</v>
      </c>
      <c r="DX9" s="88">
        <f>DL9+DM9+DN9+DO9+DP9+DQ9+DR9+DS9+DT9+DU9+DV9+DW9</f>
        <v>4610.6252912399996</v>
      </c>
      <c r="DY9" s="85">
        <f>DY10+DY12+DY14+DY15+DY16</f>
        <v>4610.6253080000006</v>
      </c>
      <c r="DZ9" s="85">
        <v>493.30402921999996</v>
      </c>
      <c r="EA9" s="85">
        <v>374.8272451599999</v>
      </c>
      <c r="EB9" s="85">
        <v>287.00394073000007</v>
      </c>
      <c r="EC9" s="85">
        <v>448.72399697000009</v>
      </c>
      <c r="ED9" s="85">
        <v>399.98902203</v>
      </c>
      <c r="EE9" s="85">
        <v>528.76923784999997</v>
      </c>
      <c r="EF9" s="85">
        <v>457.26604283</v>
      </c>
      <c r="EG9" s="85">
        <v>442.03810814999997</v>
      </c>
      <c r="EH9" s="85">
        <v>481.96998327</v>
      </c>
      <c r="EI9" s="85">
        <v>426.7353554799999</v>
      </c>
      <c r="EJ9" s="85">
        <v>432.38986059000001</v>
      </c>
      <c r="EK9" s="85">
        <v>420.33806029000004</v>
      </c>
      <c r="EL9" s="88">
        <f t="shared" ref="EL9:EL70" si="17">DZ9+EA9+EB9+EC9+ED9+EE9+EF9+EG9+EH9+EI9+EJ9+EK9</f>
        <v>5193.35488257</v>
      </c>
      <c r="EM9" s="85">
        <f>EM10+EM12+EM14+EM15+EM16</f>
        <v>5193.3550290000003</v>
      </c>
      <c r="EN9" s="85">
        <v>531.4401264899999</v>
      </c>
      <c r="EO9" s="85">
        <v>432.93596969999999</v>
      </c>
      <c r="EP9" s="85">
        <v>358.92140044999996</v>
      </c>
      <c r="EQ9" s="85">
        <v>579.18233532999989</v>
      </c>
      <c r="ER9" s="85">
        <v>505.82644500999993</v>
      </c>
      <c r="ES9" s="85">
        <v>518.84723250999991</v>
      </c>
      <c r="ET9" s="85">
        <v>528.33670273999996</v>
      </c>
      <c r="EU9" s="85">
        <v>481.37289599000002</v>
      </c>
      <c r="EV9" s="85">
        <v>482.83533462999992</v>
      </c>
      <c r="EW9" s="85">
        <v>481.49580571000001</v>
      </c>
      <c r="EX9" s="85">
        <v>450.37417882</v>
      </c>
      <c r="EY9" s="85">
        <v>468.82064117999988</v>
      </c>
      <c r="EZ9" s="88">
        <f t="shared" ref="EZ9:EZ70" si="18">EN9+EO9+EP9+EQ9+ER9+ES9+ET9+EU9+EV9+EW9+EX9+EY9</f>
        <v>5820.3890685599999</v>
      </c>
      <c r="FA9" s="85">
        <f>FA10+FA12+FA14+FA15+FA16</f>
        <v>5820.359934000001</v>
      </c>
      <c r="FB9" s="85">
        <v>728.69856243000004</v>
      </c>
      <c r="FC9" s="85">
        <v>463.69398089000003</v>
      </c>
      <c r="FD9" s="85">
        <v>293.25930033999998</v>
      </c>
      <c r="FE9" s="85">
        <v>541.21320584000011</v>
      </c>
      <c r="FF9" s="85">
        <v>559.55107935999979</v>
      </c>
      <c r="FG9" s="85">
        <v>583.93033879999984</v>
      </c>
      <c r="FH9" s="85">
        <v>575.84731443999999</v>
      </c>
      <c r="FI9" s="85">
        <v>540.73429742999997</v>
      </c>
      <c r="FJ9" s="85">
        <v>539.38944576999995</v>
      </c>
      <c r="FK9" s="85">
        <v>521.68783195000026</v>
      </c>
      <c r="FL9" s="85">
        <v>490.11772060000004</v>
      </c>
      <c r="FM9" s="85">
        <v>446.21874469999983</v>
      </c>
      <c r="FN9" s="88">
        <f>FB9+FC9+FD9+FE9+FF9+FG9+FH9+FI9+FJ9+FK9+FL9+FM9</f>
        <v>6284.34182255</v>
      </c>
      <c r="FO9" s="85">
        <v>686.04384026000002</v>
      </c>
      <c r="FP9" s="85">
        <v>495.97881729999995</v>
      </c>
      <c r="FQ9" s="85">
        <v>344.17828714999996</v>
      </c>
      <c r="FR9" s="85">
        <v>554.60110141999996</v>
      </c>
      <c r="FS9" s="85"/>
      <c r="FT9" s="85"/>
      <c r="FU9" s="85"/>
      <c r="FV9" s="85"/>
      <c r="FW9" s="85"/>
      <c r="FX9" s="85"/>
      <c r="FY9" s="85"/>
      <c r="FZ9" s="85"/>
      <c r="GA9" s="307">
        <f t="shared" ref="GA9:GA70" si="19">ROUND(SUM(FB9+FC9+FD9+FE9),6)</f>
        <v>2026.8650500000001</v>
      </c>
      <c r="GB9" s="307">
        <f t="shared" ref="GB9:GB70" si="20">ROUND(SUM(FO9+FP9+FQ9+FR9),6)</f>
        <v>2080.8020459999998</v>
      </c>
      <c r="GC9" s="308">
        <f t="shared" si="12"/>
        <v>53.936995999999681</v>
      </c>
      <c r="GD9" s="308">
        <f t="shared" si="13"/>
        <v>2.6611044479749637</v>
      </c>
    </row>
    <row r="10" spans="1:186" s="12" customFormat="1" ht="20.5">
      <c r="A10" s="71" t="s">
        <v>32</v>
      </c>
      <c r="B10" s="13" t="s">
        <v>33</v>
      </c>
      <c r="C10" s="47" t="s">
        <v>34</v>
      </c>
      <c r="D10" s="86">
        <v>28.247026000000002</v>
      </c>
      <c r="E10" s="50">
        <v>26.132507</v>
      </c>
      <c r="F10" s="50">
        <v>29.393079</v>
      </c>
      <c r="G10" s="50">
        <v>44.586378000000003</v>
      </c>
      <c r="H10" s="50">
        <v>33.826210000000003</v>
      </c>
      <c r="I10" s="50">
        <v>23.007891999999998</v>
      </c>
      <c r="J10" s="50">
        <v>26.330514609999998</v>
      </c>
      <c r="K10" s="50">
        <v>29.809446000000001</v>
      </c>
      <c r="L10" s="50">
        <v>25.484736300000002</v>
      </c>
      <c r="M10" s="50">
        <v>27.7688731</v>
      </c>
      <c r="N10" s="50">
        <v>28.461669199999999</v>
      </c>
      <c r="O10" s="50">
        <v>31.788992789999998</v>
      </c>
      <c r="P10" s="85">
        <f t="shared" si="7"/>
        <v>354.83732400000002</v>
      </c>
      <c r="Q10" s="44">
        <v>354.83732400000002</v>
      </c>
      <c r="R10" s="50">
        <v>28.212305570000002</v>
      </c>
      <c r="S10" s="50">
        <v>27.358282280000001</v>
      </c>
      <c r="T10" s="50">
        <v>34.447539120000002</v>
      </c>
      <c r="U10" s="50">
        <v>38.335775720000001</v>
      </c>
      <c r="V10" s="50">
        <v>53.474539579999998</v>
      </c>
      <c r="W10" s="50">
        <v>14.222454620000001</v>
      </c>
      <c r="X10" s="50">
        <v>26.52258337</v>
      </c>
      <c r="Y10" s="50">
        <v>33.441507739999999</v>
      </c>
      <c r="Z10" s="50">
        <v>30.088575629999998</v>
      </c>
      <c r="AA10" s="50">
        <v>33.741664190000002</v>
      </c>
      <c r="AB10" s="50">
        <v>31.473049679999999</v>
      </c>
      <c r="AC10" s="50">
        <v>31.789599819999999</v>
      </c>
      <c r="AD10" s="85">
        <f t="shared" si="8"/>
        <v>383.10787731999994</v>
      </c>
      <c r="AE10" s="85">
        <v>383.10787699999997</v>
      </c>
      <c r="AF10" s="85">
        <v>30.288463960000001</v>
      </c>
      <c r="AG10" s="85">
        <v>29.430840149999998</v>
      </c>
      <c r="AH10" s="85">
        <v>29.151649299999999</v>
      </c>
      <c r="AI10" s="85">
        <v>49.647001889999999</v>
      </c>
      <c r="AJ10" s="85">
        <v>58.299561200000007</v>
      </c>
      <c r="AK10" s="85">
        <v>26.681343440000003</v>
      </c>
      <c r="AL10" s="85">
        <v>26.253297850000003</v>
      </c>
      <c r="AM10" s="85">
        <v>40.559124679999996</v>
      </c>
      <c r="AN10" s="85">
        <v>30.41834923</v>
      </c>
      <c r="AO10" s="85">
        <v>32.20607519</v>
      </c>
      <c r="AP10" s="85">
        <v>32.80329905</v>
      </c>
      <c r="AQ10" s="85">
        <v>33.973359200000004</v>
      </c>
      <c r="AR10" s="85">
        <f t="shared" si="9"/>
        <v>419.71236513999997</v>
      </c>
      <c r="AS10" s="85">
        <v>419.71236499999998</v>
      </c>
      <c r="AT10" s="85">
        <v>31.48983556</v>
      </c>
      <c r="AU10" s="85">
        <v>30.142880160000001</v>
      </c>
      <c r="AV10" s="85">
        <v>30.855846920000001</v>
      </c>
      <c r="AW10" s="85">
        <v>43.566518380000005</v>
      </c>
      <c r="AX10" s="85">
        <v>47.593566670000001</v>
      </c>
      <c r="AY10" s="85">
        <v>43.340328049999997</v>
      </c>
      <c r="AZ10" s="85">
        <v>32.400716850000002</v>
      </c>
      <c r="BA10" s="85">
        <v>37.762499399999996</v>
      </c>
      <c r="BB10" s="85">
        <v>29.582614379999999</v>
      </c>
      <c r="BC10" s="85">
        <v>33.096257890000004</v>
      </c>
      <c r="BD10" s="85">
        <v>32.232957460000002</v>
      </c>
      <c r="BE10" s="85">
        <v>33.553443350000002</v>
      </c>
      <c r="BF10" s="85">
        <f t="shared" si="10"/>
        <v>425.61746507000004</v>
      </c>
      <c r="BG10" s="85">
        <v>425.61746499999998</v>
      </c>
      <c r="BH10" s="85">
        <v>31.63167091</v>
      </c>
      <c r="BI10" s="85">
        <v>30.04849428</v>
      </c>
      <c r="BJ10" s="85">
        <v>35.201047250000002</v>
      </c>
      <c r="BK10" s="85">
        <v>52.898293500000001</v>
      </c>
      <c r="BL10" s="85">
        <v>78.113698870000007</v>
      </c>
      <c r="BM10" s="85">
        <v>52.282005939999998</v>
      </c>
      <c r="BN10" s="85">
        <v>13.58020267</v>
      </c>
      <c r="BO10" s="85">
        <v>2.8189035599999999</v>
      </c>
      <c r="BP10" s="85">
        <v>-6.5208364000000003</v>
      </c>
      <c r="BQ10" s="85">
        <v>1.9318923700000001</v>
      </c>
      <c r="BR10" s="85">
        <v>9.4695978599999986</v>
      </c>
      <c r="BS10" s="85">
        <v>2.5492539999999999</v>
      </c>
      <c r="BT10" s="88">
        <f t="shared" si="15"/>
        <v>304.0042248100001</v>
      </c>
      <c r="BU10" s="85">
        <v>304.00422500000002</v>
      </c>
      <c r="BV10" s="85">
        <v>4.2403021599999997</v>
      </c>
      <c r="BW10" s="85">
        <v>-7.5230799199999998</v>
      </c>
      <c r="BX10" s="85">
        <v>-7.8026390499999998</v>
      </c>
      <c r="BY10" s="85">
        <v>-3.8054649199999999</v>
      </c>
      <c r="BZ10" s="85">
        <v>35.612966049999997</v>
      </c>
      <c r="CA10" s="85">
        <v>-11.352853169999999</v>
      </c>
      <c r="CB10" s="85">
        <v>5.9560205899999996</v>
      </c>
      <c r="CC10" s="85">
        <v>2.7293382400000001</v>
      </c>
      <c r="CD10" s="85">
        <v>2.4155111699999998</v>
      </c>
      <c r="CE10" s="85">
        <v>5.7616180300000002</v>
      </c>
      <c r="CF10" s="85">
        <v>13.68501917</v>
      </c>
      <c r="CG10" s="85">
        <v>4.8602736200000001</v>
      </c>
      <c r="CH10" s="88">
        <f t="shared" si="16"/>
        <v>44.777011969999997</v>
      </c>
      <c r="CI10" s="85">
        <v>44.777011999999999</v>
      </c>
      <c r="CJ10" s="85">
        <v>14.17052253</v>
      </c>
      <c r="CK10" s="85">
        <v>7.7459849500000004</v>
      </c>
      <c r="CL10" s="85">
        <v>10.90475848</v>
      </c>
      <c r="CM10" s="85">
        <v>31.789565190000001</v>
      </c>
      <c r="CN10" s="85">
        <v>26.398273460000002</v>
      </c>
      <c r="CO10" s="85">
        <v>19.323995870000001</v>
      </c>
      <c r="CP10" s="85">
        <v>19.441162550000001</v>
      </c>
      <c r="CQ10" s="185">
        <v>15.91741026</v>
      </c>
      <c r="CR10" s="88">
        <v>15.538953130000001</v>
      </c>
      <c r="CS10" s="88">
        <v>13.752924160000001</v>
      </c>
      <c r="CT10" s="88">
        <v>12.68367658</v>
      </c>
      <c r="CU10" s="88">
        <v>19.78506952</v>
      </c>
      <c r="CV10" s="88">
        <f>CJ10+CK10+CL10+CM10+CN10+CO10+CP10+CQ10+CR10+CS10+CT10+CU10</f>
        <v>207.45229667999999</v>
      </c>
      <c r="CW10" s="88">
        <v>207.45229699999999</v>
      </c>
      <c r="CX10" s="88">
        <v>21.150622289999998</v>
      </c>
      <c r="CY10" s="88">
        <v>8.1905985599999998</v>
      </c>
      <c r="CZ10" s="88">
        <v>15.553266000000001</v>
      </c>
      <c r="DA10" s="88">
        <v>47.54659754</v>
      </c>
      <c r="DB10" s="88">
        <v>36.815854420000001</v>
      </c>
      <c r="DC10" s="88">
        <v>41.259417090000007</v>
      </c>
      <c r="DD10" s="88">
        <v>26.677355600000002</v>
      </c>
      <c r="DE10" s="88">
        <v>26.080296000000001</v>
      </c>
      <c r="DF10" s="88">
        <v>14.512897949999999</v>
      </c>
      <c r="DG10" s="88">
        <v>23.384588999999998</v>
      </c>
      <c r="DH10" s="88">
        <v>28.75122009</v>
      </c>
      <c r="DI10" s="88">
        <v>-8.8433306199999997</v>
      </c>
      <c r="DJ10" s="88">
        <f>CX10+CY10+CZ10+DA10+DB10+DC10+DD10+DE10+DF10+DG10+DH10+DI10</f>
        <v>281.07938392</v>
      </c>
      <c r="DK10" s="85">
        <v>281.079384</v>
      </c>
      <c r="DL10" s="85">
        <v>36.645934600000004</v>
      </c>
      <c r="DM10" s="85">
        <v>28.807555710000003</v>
      </c>
      <c r="DN10" s="85">
        <v>18.87608148</v>
      </c>
      <c r="DO10" s="85">
        <v>34.442598700000005</v>
      </c>
      <c r="DP10" s="85">
        <v>49.467463700000003</v>
      </c>
      <c r="DQ10" s="85">
        <v>44.263114659999999</v>
      </c>
      <c r="DR10" s="85">
        <v>27.860116649999998</v>
      </c>
      <c r="DS10" s="85">
        <v>31.240999370000001</v>
      </c>
      <c r="DT10" s="85">
        <v>25.169041270000001</v>
      </c>
      <c r="DU10" s="85">
        <v>29.345910280000002</v>
      </c>
      <c r="DV10" s="85">
        <v>24.25913654</v>
      </c>
      <c r="DW10" s="85">
        <v>28.372493200000001</v>
      </c>
      <c r="DX10" s="88">
        <f>DL10+DM10+DN10+DO10+DP10+DQ10+DR10+DS10+DT10+DU10+DV10+DW10</f>
        <v>378.75044615999997</v>
      </c>
      <c r="DY10" s="85">
        <v>378.75044600000001</v>
      </c>
      <c r="DZ10" s="85">
        <v>61.791102840000001</v>
      </c>
      <c r="EA10" s="85">
        <v>19.323077089999998</v>
      </c>
      <c r="EB10" s="85">
        <v>31.007726399999999</v>
      </c>
      <c r="EC10" s="85">
        <v>47.875981899999999</v>
      </c>
      <c r="ED10" s="85">
        <v>50.344546159999993</v>
      </c>
      <c r="EE10" s="85">
        <v>121.50320755</v>
      </c>
      <c r="EF10" s="85">
        <v>36.14371457</v>
      </c>
      <c r="EG10" s="85">
        <v>32.975626829999996</v>
      </c>
      <c r="EH10" s="85">
        <v>53.2216849</v>
      </c>
      <c r="EI10" s="85">
        <v>27.909649039999998</v>
      </c>
      <c r="EJ10" s="85">
        <v>35.854767159999994</v>
      </c>
      <c r="EK10" s="85">
        <v>26.856984570000002</v>
      </c>
      <c r="EL10" s="88">
        <f t="shared" si="17"/>
        <v>544.80806900999994</v>
      </c>
      <c r="EM10" s="85">
        <v>544.80806900000005</v>
      </c>
      <c r="EN10" s="85">
        <v>66.341426999999996</v>
      </c>
      <c r="EO10" s="85">
        <v>20.887850459999999</v>
      </c>
      <c r="EP10" s="85">
        <v>24.280711780000001</v>
      </c>
      <c r="EQ10" s="85">
        <v>105.69563192</v>
      </c>
      <c r="ER10" s="85">
        <v>87.686189580000004</v>
      </c>
      <c r="ES10" s="85">
        <v>145.37870212999999</v>
      </c>
      <c r="ET10" s="85">
        <v>46.37264442</v>
      </c>
      <c r="EU10" s="85">
        <v>37.146848649999995</v>
      </c>
      <c r="EV10" s="85">
        <v>71.016618780000002</v>
      </c>
      <c r="EW10" s="85">
        <v>39.869539140000001</v>
      </c>
      <c r="EX10" s="85">
        <v>28.49051815</v>
      </c>
      <c r="EY10" s="85">
        <v>46.254548870000001</v>
      </c>
      <c r="EZ10" s="88">
        <f>EN10+EO10+EP10+EQ10+ER10+ES10+ET10+EU10+EV10+EW10+EX10+EY10</f>
        <v>719.42123088000005</v>
      </c>
      <c r="FA10" s="85">
        <v>719.42123100000003</v>
      </c>
      <c r="FB10" s="85">
        <v>137.08453331999999</v>
      </c>
      <c r="FC10" s="85">
        <v>20.043219319999999</v>
      </c>
      <c r="FD10" s="85">
        <v>20.72689308</v>
      </c>
      <c r="FE10" s="85">
        <v>120.18695436</v>
      </c>
      <c r="FF10" s="85">
        <v>81.672789609999995</v>
      </c>
      <c r="FG10" s="85">
        <v>115.30458259999999</v>
      </c>
      <c r="FH10" s="85">
        <v>53.397609450000004</v>
      </c>
      <c r="FI10" s="85">
        <v>31.667238949999998</v>
      </c>
      <c r="FJ10" s="85">
        <v>103.9762867</v>
      </c>
      <c r="FK10" s="85">
        <v>34.78629969</v>
      </c>
      <c r="FL10" s="85">
        <v>28.135584600000001</v>
      </c>
      <c r="FM10" s="85">
        <v>40.57725069</v>
      </c>
      <c r="FN10" s="88">
        <f t="shared" si="11"/>
        <v>787.55924236999999</v>
      </c>
      <c r="FO10" s="85">
        <v>106.24033809000001</v>
      </c>
      <c r="FP10" s="85">
        <v>22.9687707</v>
      </c>
      <c r="FQ10" s="85">
        <v>24.169487929999999</v>
      </c>
      <c r="FR10" s="85">
        <v>80.604557880000002</v>
      </c>
      <c r="FS10" s="85"/>
      <c r="FT10" s="85"/>
      <c r="FU10" s="85"/>
      <c r="FV10" s="85"/>
      <c r="FW10" s="85"/>
      <c r="FX10" s="85"/>
      <c r="FY10" s="85"/>
      <c r="FZ10" s="85"/>
      <c r="GA10" s="307">
        <f t="shared" si="19"/>
        <v>298.04160000000002</v>
      </c>
      <c r="GB10" s="307">
        <f t="shared" si="20"/>
        <v>233.98315500000001</v>
      </c>
      <c r="GC10" s="308">
        <f t="shared" si="12"/>
        <v>-64.058445000000006</v>
      </c>
      <c r="GD10" s="308">
        <f t="shared" si="13"/>
        <v>-21.493122101075826</v>
      </c>
    </row>
    <row r="11" spans="1:186" s="12" customFormat="1" ht="20.5">
      <c r="A11" s="71" t="s">
        <v>35</v>
      </c>
      <c r="B11" s="13"/>
      <c r="C11" s="47" t="s">
        <v>36</v>
      </c>
      <c r="D11" s="86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85"/>
      <c r="Q11" s="44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8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8"/>
      <c r="CI11" s="85"/>
      <c r="CJ11" s="85"/>
      <c r="CK11" s="85"/>
      <c r="CL11" s="85"/>
      <c r="CM11" s="85"/>
      <c r="CN11" s="85"/>
      <c r="CO11" s="85"/>
      <c r="CP11" s="85"/>
      <c r="CQ11" s="185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8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8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8">
        <f t="shared" si="18"/>
        <v>0</v>
      </c>
      <c r="FA11" s="85"/>
      <c r="FB11" s="85"/>
      <c r="FC11" s="85"/>
      <c r="FD11" s="85"/>
      <c r="FE11" s="85"/>
      <c r="FF11" s="85">
        <v>30.677752999999999</v>
      </c>
      <c r="FG11" s="85"/>
      <c r="FH11" s="85">
        <v>5.4334000000000001E-4</v>
      </c>
      <c r="FI11" s="85">
        <v>24.759549660000001</v>
      </c>
      <c r="FJ11" s="85">
        <v>7.7620000000000006E-5</v>
      </c>
      <c r="FK11" s="85"/>
      <c r="FL11" s="85">
        <v>18.657013679999999</v>
      </c>
      <c r="FM11" s="85">
        <v>-1.080368E-2</v>
      </c>
      <c r="FN11" s="88">
        <f t="shared" si="11"/>
        <v>74.084133620000003</v>
      </c>
      <c r="FO11" s="85">
        <v>8.0849999999999997E-4</v>
      </c>
      <c r="FP11" s="85">
        <v>17.3008825</v>
      </c>
      <c r="FQ11" s="85">
        <v>6.6319999999999999E-3</v>
      </c>
      <c r="FR11" s="85"/>
      <c r="FS11" s="85"/>
      <c r="FT11" s="85"/>
      <c r="FU11" s="85"/>
      <c r="FV11" s="85"/>
      <c r="FW11" s="85"/>
      <c r="FX11" s="85"/>
      <c r="FY11" s="85"/>
      <c r="FZ11" s="85"/>
      <c r="GA11" s="307">
        <f t="shared" si="19"/>
        <v>0</v>
      </c>
      <c r="GB11" s="307">
        <f t="shared" si="20"/>
        <v>17.308323000000001</v>
      </c>
      <c r="GC11" s="308">
        <f t="shared" si="12"/>
        <v>17.308323000000001</v>
      </c>
      <c r="GD11" s="308" t="e">
        <f t="shared" si="13"/>
        <v>#DIV/0!</v>
      </c>
    </row>
    <row r="12" spans="1:186" s="12" customFormat="1" ht="20.5">
      <c r="A12" s="71" t="s">
        <v>37</v>
      </c>
      <c r="B12" s="13" t="s">
        <v>38</v>
      </c>
      <c r="C12" s="47" t="s">
        <v>39</v>
      </c>
      <c r="D12" s="86">
        <v>20.982786000000001</v>
      </c>
      <c r="E12" s="50">
        <v>21.284703</v>
      </c>
      <c r="F12" s="50">
        <v>21.088723000000002</v>
      </c>
      <c r="G12" s="50">
        <v>23.390782000000002</v>
      </c>
      <c r="H12" s="50">
        <v>22.674706</v>
      </c>
      <c r="I12" s="50">
        <v>22.730246999999999</v>
      </c>
      <c r="J12" s="50">
        <v>26.392643940000003</v>
      </c>
      <c r="K12" s="50">
        <v>23.196256999999999</v>
      </c>
      <c r="L12" s="50">
        <v>21.54494931</v>
      </c>
      <c r="M12" s="50">
        <v>24.224437379999998</v>
      </c>
      <c r="N12" s="50">
        <v>22.991881020000001</v>
      </c>
      <c r="O12" s="50">
        <v>26.656573469999998</v>
      </c>
      <c r="P12" s="85">
        <f t="shared" si="7"/>
        <v>277.15868912000002</v>
      </c>
      <c r="Q12" s="42">
        <v>277.15868899999998</v>
      </c>
      <c r="R12" s="50">
        <v>23.313562440000002</v>
      </c>
      <c r="S12" s="50">
        <v>22.32370792</v>
      </c>
      <c r="T12" s="50">
        <v>22.199314409999999</v>
      </c>
      <c r="U12" s="50">
        <v>24.146046309999999</v>
      </c>
      <c r="V12" s="50">
        <v>23.289576660000002</v>
      </c>
      <c r="W12" s="50">
        <v>24.803715760000003</v>
      </c>
      <c r="X12" s="50">
        <v>25.677748789999999</v>
      </c>
      <c r="Y12" s="50">
        <v>23.859079300000001</v>
      </c>
      <c r="Z12" s="50">
        <v>22.623614410000002</v>
      </c>
      <c r="AA12" s="50">
        <v>24.2242712</v>
      </c>
      <c r="AB12" s="50">
        <v>23.676231789999999</v>
      </c>
      <c r="AC12" s="50">
        <v>28.655153600000002</v>
      </c>
      <c r="AD12" s="85">
        <f t="shared" si="8"/>
        <v>288.79202258999999</v>
      </c>
      <c r="AE12" s="85">
        <v>288.79202299999997</v>
      </c>
      <c r="AF12" s="85">
        <v>23.577638409999999</v>
      </c>
      <c r="AG12" s="85">
        <v>23.149585829999999</v>
      </c>
      <c r="AH12" s="85">
        <v>22.02494063</v>
      </c>
      <c r="AI12" s="85">
        <v>25.711868110000001</v>
      </c>
      <c r="AJ12" s="85">
        <v>23.804916070000001</v>
      </c>
      <c r="AK12" s="85">
        <v>26.48227558</v>
      </c>
      <c r="AL12" s="85">
        <v>27.632422260000002</v>
      </c>
      <c r="AM12" s="85">
        <v>25.136598030000002</v>
      </c>
      <c r="AN12" s="85">
        <v>24.412419239999998</v>
      </c>
      <c r="AO12" s="85">
        <v>25.721775449999999</v>
      </c>
      <c r="AP12" s="85">
        <v>20.579662030000001</v>
      </c>
      <c r="AQ12" s="85">
        <v>27.243369920000003</v>
      </c>
      <c r="AR12" s="85">
        <f t="shared" si="9"/>
        <v>295.47747155999997</v>
      </c>
      <c r="AS12" s="85">
        <v>295.47747099999998</v>
      </c>
      <c r="AT12" s="85">
        <v>26.410161309999999</v>
      </c>
      <c r="AU12" s="85">
        <v>25.81781484</v>
      </c>
      <c r="AV12" s="85">
        <v>23.727340390000002</v>
      </c>
      <c r="AW12" s="85">
        <v>26.891215300000002</v>
      </c>
      <c r="AX12" s="85">
        <v>27.192370620000002</v>
      </c>
      <c r="AY12" s="85">
        <v>29.50864983</v>
      </c>
      <c r="AZ12" s="85">
        <v>30.947907789999999</v>
      </c>
      <c r="BA12" s="85">
        <v>28.703566250000002</v>
      </c>
      <c r="BB12" s="85">
        <v>27.482797619999999</v>
      </c>
      <c r="BC12" s="85">
        <v>29.009576640000002</v>
      </c>
      <c r="BD12" s="85">
        <v>29.344892519999998</v>
      </c>
      <c r="BE12" s="85">
        <v>35.503725530000004</v>
      </c>
      <c r="BF12" s="85">
        <f t="shared" si="10"/>
        <v>340.54001863999991</v>
      </c>
      <c r="BG12" s="85">
        <v>340.54001899999997</v>
      </c>
      <c r="BH12" s="85">
        <v>28.650026230000002</v>
      </c>
      <c r="BI12" s="85">
        <v>26.54579601</v>
      </c>
      <c r="BJ12" s="85">
        <v>21.496518179999999</v>
      </c>
      <c r="BK12" s="85">
        <v>24.533685579999997</v>
      </c>
      <c r="BL12" s="85">
        <v>25.366584159999999</v>
      </c>
      <c r="BM12" s="85">
        <v>30.455170640000002</v>
      </c>
      <c r="BN12" s="85">
        <v>23.523130859999998</v>
      </c>
      <c r="BO12" s="85">
        <v>29.711267249999999</v>
      </c>
      <c r="BP12" s="85">
        <v>28.459490940000002</v>
      </c>
      <c r="BQ12" s="85">
        <v>29.71227914</v>
      </c>
      <c r="BR12" s="85">
        <v>31.213025780000002</v>
      </c>
      <c r="BS12" s="85">
        <v>40.906073670000005</v>
      </c>
      <c r="BT12" s="88">
        <f t="shared" si="15"/>
        <v>340.57304844000004</v>
      </c>
      <c r="BU12" s="85">
        <v>340.57304799999997</v>
      </c>
      <c r="BV12" s="85">
        <v>30.245679690000003</v>
      </c>
      <c r="BW12" s="85">
        <v>29.630491679999999</v>
      </c>
      <c r="BX12" s="85">
        <v>21.85953537</v>
      </c>
      <c r="BY12" s="85">
        <v>27.80440128</v>
      </c>
      <c r="BZ12" s="85">
        <v>28.739839149999998</v>
      </c>
      <c r="CA12" s="85">
        <v>31.771752719999999</v>
      </c>
      <c r="CB12" s="85">
        <v>34.036696579999997</v>
      </c>
      <c r="CC12" s="85">
        <v>32.801811020000002</v>
      </c>
      <c r="CD12" s="85">
        <v>35.333190780000002</v>
      </c>
      <c r="CE12" s="85">
        <v>34.598305809999999</v>
      </c>
      <c r="CF12" s="85">
        <v>35.487160129999999</v>
      </c>
      <c r="CG12" s="85">
        <v>46.896103609999997</v>
      </c>
      <c r="CH12" s="88">
        <f t="shared" si="16"/>
        <v>389.20496781999998</v>
      </c>
      <c r="CI12" s="85">
        <v>389.20496800000001</v>
      </c>
      <c r="CJ12" s="85">
        <v>36.674869119999997</v>
      </c>
      <c r="CK12" s="85">
        <v>31.702980789999998</v>
      </c>
      <c r="CL12" s="85">
        <v>19.22070931</v>
      </c>
      <c r="CM12" s="85">
        <v>26.005889360000001</v>
      </c>
      <c r="CN12" s="85">
        <v>23.580212209999999</v>
      </c>
      <c r="CO12" s="85">
        <v>27.534430539999999</v>
      </c>
      <c r="CP12" s="85">
        <v>33.116280109999998</v>
      </c>
      <c r="CQ12" s="185">
        <v>30.121927239999998</v>
      </c>
      <c r="CR12" s="88">
        <v>30.976083879999997</v>
      </c>
      <c r="CS12" s="88">
        <v>45.17304</v>
      </c>
      <c r="CT12" s="88">
        <v>32.176293000000001</v>
      </c>
      <c r="CU12" s="88">
        <v>6.8793030000000002</v>
      </c>
      <c r="CV12" s="88">
        <f t="shared" ref="CV12:CV70" si="21">CJ12+CK12+CL12+CM12+CN12+CO12+CP12+CQ12+CR12+CS12+CT12+CU12</f>
        <v>343.16201855999998</v>
      </c>
      <c r="CW12" s="88">
        <v>363.29031600000002</v>
      </c>
      <c r="CX12" s="88">
        <v>33.662314000000002</v>
      </c>
      <c r="CY12" s="88">
        <v>34.588760999999998</v>
      </c>
      <c r="CZ12" s="88">
        <v>-61.977113000000003</v>
      </c>
      <c r="DA12" s="88">
        <v>80.358866030000002</v>
      </c>
      <c r="DB12" s="88">
        <v>-7.2263530000001186E-2</v>
      </c>
      <c r="DC12" s="88">
        <v>36.368523269999997</v>
      </c>
      <c r="DD12" s="88">
        <v>62.51231052</v>
      </c>
      <c r="DE12" s="88">
        <v>50.424078000000002</v>
      </c>
      <c r="DF12" s="88">
        <v>52.594845920000004</v>
      </c>
      <c r="DG12" s="88">
        <v>90.585885000000005</v>
      </c>
      <c r="DH12" s="88">
        <v>42.077774149999996</v>
      </c>
      <c r="DI12" s="88">
        <v>56.133936030000001</v>
      </c>
      <c r="DJ12" s="88">
        <f t="shared" ref="DJ12:DJ70" si="22">CX12+CY12+CZ12+DA12+DB12+DC12+DD12+DE12+DF12+DG12+DH12+DI12</f>
        <v>477.25791738999999</v>
      </c>
      <c r="DK12" s="85">
        <v>477.25791400000003</v>
      </c>
      <c r="DL12" s="85">
        <v>58.94312566</v>
      </c>
      <c r="DM12" s="85">
        <v>46.774481049999999</v>
      </c>
      <c r="DN12" s="85">
        <v>12.970383899999998</v>
      </c>
      <c r="DO12" s="85">
        <v>37.967668060000001</v>
      </c>
      <c r="DP12" s="85">
        <v>46.30466036</v>
      </c>
      <c r="DQ12" s="85">
        <v>48.99780801</v>
      </c>
      <c r="DR12" s="85">
        <v>55.465605910000001</v>
      </c>
      <c r="DS12" s="85">
        <v>50.586155589999997</v>
      </c>
      <c r="DT12" s="85">
        <v>52.215090749999995</v>
      </c>
      <c r="DU12" s="85">
        <v>54.208282789999998</v>
      </c>
      <c r="DV12" s="85">
        <v>50.069995499999997</v>
      </c>
      <c r="DW12" s="85">
        <v>50.155457859999999</v>
      </c>
      <c r="DX12" s="88">
        <f t="shared" ref="DX12:DX70" si="23">DL12+DM12+DN12+DO12+DP12+DQ12+DR12+DS12+DT12+DU12+DV12+DW12</f>
        <v>564.65871543999992</v>
      </c>
      <c r="DY12" s="85">
        <v>564.65871600000003</v>
      </c>
      <c r="DZ12" s="85">
        <v>59.816065999999999</v>
      </c>
      <c r="EA12" s="85">
        <v>50.844819999999999</v>
      </c>
      <c r="EB12" s="85">
        <v>4.3469519200000342</v>
      </c>
      <c r="EC12" s="85">
        <v>55.942308030000007</v>
      </c>
      <c r="ED12" s="85">
        <v>18.277729559999997</v>
      </c>
      <c r="EE12" s="85">
        <v>56.359219689999975</v>
      </c>
      <c r="EF12" s="85">
        <v>61.047600659999993</v>
      </c>
      <c r="EG12" s="85">
        <v>59.11764642</v>
      </c>
      <c r="EH12" s="85">
        <v>76.465741239999929</v>
      </c>
      <c r="EI12" s="85">
        <v>67.126254889999998</v>
      </c>
      <c r="EJ12" s="85">
        <v>57.468581020000073</v>
      </c>
      <c r="EK12" s="85">
        <v>58.20824721000001</v>
      </c>
      <c r="EL12" s="88">
        <f t="shared" si="17"/>
        <v>625.02116663999993</v>
      </c>
      <c r="EM12" s="85">
        <v>625.02116599999999</v>
      </c>
      <c r="EN12" s="85">
        <v>67.434435670000013</v>
      </c>
      <c r="EO12" s="85">
        <v>60.335550859999998</v>
      </c>
      <c r="EP12" s="85">
        <v>-1.6284784499999994</v>
      </c>
      <c r="EQ12" s="85">
        <v>70.847539479999995</v>
      </c>
      <c r="ER12" s="85">
        <v>54.06189329</v>
      </c>
      <c r="ES12" s="85">
        <v>42.147666210000004</v>
      </c>
      <c r="ET12" s="85">
        <v>86.160487550000084</v>
      </c>
      <c r="EU12" s="85">
        <v>66.273481360000005</v>
      </c>
      <c r="EV12" s="85">
        <v>62.219085910000004</v>
      </c>
      <c r="EW12" s="85">
        <v>65.862382429999997</v>
      </c>
      <c r="EX12" s="85">
        <v>64.141175459999999</v>
      </c>
      <c r="EY12" s="85">
        <v>64.887109719999998</v>
      </c>
      <c r="EZ12" s="88">
        <f t="shared" si="18"/>
        <v>702.74232949000009</v>
      </c>
      <c r="FA12" s="85">
        <v>702.74233000000004</v>
      </c>
      <c r="FB12" s="85">
        <v>160.31990773000001</v>
      </c>
      <c r="FC12" s="85">
        <v>84.943420610000004</v>
      </c>
      <c r="FD12" s="85">
        <v>-91.017070090000004</v>
      </c>
      <c r="FE12" s="85">
        <v>29.232877019999997</v>
      </c>
      <c r="FF12" s="85">
        <v>43.42462046</v>
      </c>
      <c r="FG12" s="85">
        <v>69.789060829999997</v>
      </c>
      <c r="FH12" s="85">
        <v>87.124817949999994</v>
      </c>
      <c r="FI12" s="85">
        <v>65.694874339999998</v>
      </c>
      <c r="FJ12" s="85">
        <v>47.086477369999997</v>
      </c>
      <c r="FK12" s="85">
        <v>58.139243980000202</v>
      </c>
      <c r="FL12" s="85">
        <v>41.918357520000001</v>
      </c>
      <c r="FM12" s="85">
        <v>11.857456629999852</v>
      </c>
      <c r="FN12" s="88">
        <f t="shared" si="11"/>
        <v>608.51404435000006</v>
      </c>
      <c r="FO12" s="85">
        <v>121.61086233</v>
      </c>
      <c r="FP12" s="85">
        <v>68.801453649999999</v>
      </c>
      <c r="FQ12" s="85">
        <v>-67.802510249999997</v>
      </c>
      <c r="FR12" s="85">
        <v>42.780200229999998</v>
      </c>
      <c r="FS12" s="85"/>
      <c r="FT12" s="85"/>
      <c r="FU12" s="85"/>
      <c r="FV12" s="85"/>
      <c r="FW12" s="85"/>
      <c r="FX12" s="85"/>
      <c r="FY12" s="85"/>
      <c r="FZ12" s="85"/>
      <c r="GA12" s="307">
        <f t="shared" si="19"/>
        <v>183.47913500000001</v>
      </c>
      <c r="GB12" s="307">
        <f t="shared" si="20"/>
        <v>165.390006</v>
      </c>
      <c r="GC12" s="308">
        <f t="shared" si="12"/>
        <v>-18.089129000000014</v>
      </c>
      <c r="GD12" s="308">
        <f t="shared" si="13"/>
        <v>-9.8589569871255378</v>
      </c>
    </row>
    <row r="13" spans="1:186" s="12" customFormat="1" ht="20.5">
      <c r="A13" s="71" t="s">
        <v>40</v>
      </c>
      <c r="B13" s="13"/>
      <c r="C13" s="47" t="s">
        <v>41</v>
      </c>
      <c r="D13" s="86">
        <v>148.13804400000001</v>
      </c>
      <c r="E13" s="50">
        <v>148.13804400000001</v>
      </c>
      <c r="F13" s="50">
        <v>148.13804400000001</v>
      </c>
      <c r="G13" s="50">
        <v>148.13804400000001</v>
      </c>
      <c r="H13" s="50">
        <v>148.13804400000001</v>
      </c>
      <c r="I13" s="50">
        <v>148.13804400000001</v>
      </c>
      <c r="J13" s="50">
        <v>148.13804400000001</v>
      </c>
      <c r="K13" s="50">
        <v>148.13804400000001</v>
      </c>
      <c r="L13" s="50">
        <v>148.13804400000001</v>
      </c>
      <c r="M13" s="50">
        <v>148.13804400000001</v>
      </c>
      <c r="N13" s="50">
        <v>148.13804400000001</v>
      </c>
      <c r="O13" s="50">
        <v>148.13804400000001</v>
      </c>
      <c r="P13" s="85">
        <f>SUM(P14:P16)</f>
        <v>1976.1203420699999</v>
      </c>
      <c r="Q13" s="42">
        <f>SUM(Q14:Q16)</f>
        <v>1976.1203419999999</v>
      </c>
      <c r="R13" s="50">
        <v>157.3858257</v>
      </c>
      <c r="S13" s="50">
        <v>159.32040165000001</v>
      </c>
      <c r="T13" s="50">
        <v>166.50347086000005</v>
      </c>
      <c r="U13" s="50">
        <v>177.72226172000003</v>
      </c>
      <c r="V13" s="50">
        <v>160.66838643</v>
      </c>
      <c r="W13" s="50">
        <v>165.59198394000003</v>
      </c>
      <c r="X13" s="50">
        <v>195.97377599999999</v>
      </c>
      <c r="Y13" s="50">
        <v>171.21675989000002</v>
      </c>
      <c r="Z13" s="50">
        <v>162.34785893</v>
      </c>
      <c r="AA13" s="50">
        <v>175.10483925999998</v>
      </c>
      <c r="AB13" s="50">
        <v>162.41979723999998</v>
      </c>
      <c r="AC13" s="50">
        <v>194.49005961000003</v>
      </c>
      <c r="AD13" s="85">
        <f>SUM(AD14:AD16)</f>
        <v>2048.7454212300004</v>
      </c>
      <c r="AE13" s="85">
        <f>SUM(AE14:AE16)</f>
        <v>2048.7454210000001</v>
      </c>
      <c r="AF13" s="85">
        <v>161.39029951000001</v>
      </c>
      <c r="AG13" s="85">
        <v>162.66842315999997</v>
      </c>
      <c r="AH13" s="85">
        <v>166.78362494999999</v>
      </c>
      <c r="AI13" s="85">
        <v>188.87658620000002</v>
      </c>
      <c r="AJ13" s="85">
        <v>165.51293247999999</v>
      </c>
      <c r="AK13" s="85">
        <v>177.63488606999999</v>
      </c>
      <c r="AL13" s="85">
        <v>196.98521888999994</v>
      </c>
      <c r="AM13" s="85">
        <v>172.34779499000004</v>
      </c>
      <c r="AN13" s="85">
        <v>170.72851227999999</v>
      </c>
      <c r="AO13" s="85">
        <v>185.98391896000001</v>
      </c>
      <c r="AP13" s="85">
        <v>172.07127314000005</v>
      </c>
      <c r="AQ13" s="85">
        <v>209.77159747000002</v>
      </c>
      <c r="AR13" s="85">
        <f>SUM(AR14:AR16)</f>
        <v>2130.7550681000002</v>
      </c>
      <c r="AS13" s="85">
        <f>SUM(AS14:AS16)</f>
        <v>2130.7550689999998</v>
      </c>
      <c r="AT13" s="85">
        <v>178.019644</v>
      </c>
      <c r="AU13" s="85">
        <v>170.55312870000003</v>
      </c>
      <c r="AV13" s="85">
        <v>177.79656289000002</v>
      </c>
      <c r="AW13" s="85">
        <v>195.70726384000002</v>
      </c>
      <c r="AX13" s="85">
        <v>187.39398244000003</v>
      </c>
      <c r="AY13" s="85">
        <v>193.87513949000004</v>
      </c>
      <c r="AZ13" s="85">
        <v>216.26652848000001</v>
      </c>
      <c r="BA13" s="85">
        <v>190.08487366</v>
      </c>
      <c r="BB13" s="85">
        <v>185.02227776999996</v>
      </c>
      <c r="BC13" s="85">
        <v>204.85167932000004</v>
      </c>
      <c r="BD13" s="85">
        <v>191.48055788000002</v>
      </c>
      <c r="BE13" s="85">
        <v>227.67381014</v>
      </c>
      <c r="BF13" s="85">
        <f>SUM(BF14:BF16)</f>
        <v>2318.7254486100001</v>
      </c>
      <c r="BG13" s="85">
        <f>SUM(BG14:BG16)</f>
        <v>2318.7441470000003</v>
      </c>
      <c r="BH13" s="85">
        <v>196.23241412000002</v>
      </c>
      <c r="BI13" s="85">
        <v>197.57560261999998</v>
      </c>
      <c r="BJ13" s="85">
        <v>201.76673857000003</v>
      </c>
      <c r="BK13" s="85">
        <v>228.77588985000003</v>
      </c>
      <c r="BL13" s="85">
        <v>213.71387118999999</v>
      </c>
      <c r="BM13" s="85">
        <v>224.20815041</v>
      </c>
      <c r="BN13" s="85">
        <v>252.22733119</v>
      </c>
      <c r="BO13" s="85">
        <v>221.59556795000003</v>
      </c>
      <c r="BP13" s="85">
        <v>209.43200536999998</v>
      </c>
      <c r="BQ13" s="85">
        <v>238.69114751999999</v>
      </c>
      <c r="BR13" s="85">
        <v>221.30213931</v>
      </c>
      <c r="BS13" s="85">
        <v>257.11879386000004</v>
      </c>
      <c r="BT13" s="88">
        <f>SUM(BT14:BT16)</f>
        <v>2662.6396519599998</v>
      </c>
      <c r="BU13" s="85">
        <f>SUM(BU14:BU16)</f>
        <v>2662.6406630000001</v>
      </c>
      <c r="BV13" s="85">
        <f>SUM(BV14:BV16)</f>
        <v>223.77400227000001</v>
      </c>
      <c r="BW13" s="85">
        <f>SUM(BW14:BW16)</f>
        <v>215.65624584</v>
      </c>
      <c r="BX13" s="85">
        <f>SUM(BX14:BX16)</f>
        <v>214.06520274000002</v>
      </c>
      <c r="BY13" s="85">
        <v>249.07955516000001</v>
      </c>
      <c r="BZ13" s="85">
        <v>237.49751255999999</v>
      </c>
      <c r="CA13" s="85">
        <v>236.69188775000001</v>
      </c>
      <c r="CB13" s="85">
        <v>272.22206236</v>
      </c>
      <c r="CC13" s="85">
        <v>243.38304450999996</v>
      </c>
      <c r="CD13" s="85">
        <v>230.77683590000001</v>
      </c>
      <c r="CE13" s="85">
        <v>257.86683496000001</v>
      </c>
      <c r="CF13" s="85">
        <v>238.12432121000001</v>
      </c>
      <c r="CG13" s="85">
        <v>276.54209640000005</v>
      </c>
      <c r="CH13" s="88">
        <f>SUM(CH14:CH16)</f>
        <v>2895.6796016599997</v>
      </c>
      <c r="CI13" s="85">
        <f>SUM(CI14:CI16)</f>
        <v>2895.6796000000004</v>
      </c>
      <c r="CJ13" s="85">
        <v>242.35150807999997</v>
      </c>
      <c r="CK13" s="85">
        <v>230.91941526000005</v>
      </c>
      <c r="CL13" s="85">
        <v>219.97100685999996</v>
      </c>
      <c r="CM13" s="85">
        <v>238.97324613000001</v>
      </c>
      <c r="CN13" s="85">
        <v>202.46311419</v>
      </c>
      <c r="CO13" s="85">
        <v>217.84020040999999</v>
      </c>
      <c r="CP13" s="85">
        <v>263.72003130999997</v>
      </c>
      <c r="CQ13" s="185">
        <v>242.61097566000001</v>
      </c>
      <c r="CR13" s="88">
        <v>244.54226786000001</v>
      </c>
      <c r="CS13" s="88">
        <v>269.65809472000001</v>
      </c>
      <c r="CT13" s="88">
        <v>241.73123504</v>
      </c>
      <c r="CU13" s="88">
        <v>318.54920970999996</v>
      </c>
      <c r="CV13" s="88">
        <f t="shared" si="21"/>
        <v>2933.3303052300002</v>
      </c>
      <c r="CW13" s="85">
        <f>SUM(CW14:CW16)</f>
        <v>2913.2020090000001</v>
      </c>
      <c r="CX13" s="88">
        <v>164.80001691000004</v>
      </c>
      <c r="CY13" s="88">
        <v>218.09101435000002</v>
      </c>
      <c r="CZ13" s="88">
        <v>220.95002299999999</v>
      </c>
      <c r="DA13" s="88">
        <v>255.25724912999999</v>
      </c>
      <c r="DB13" s="88">
        <v>254.32611018</v>
      </c>
      <c r="DC13" s="88">
        <v>253.08305623000001</v>
      </c>
      <c r="DD13" s="88">
        <v>284.50926322000004</v>
      </c>
      <c r="DE13" s="88">
        <v>279.48490899999996</v>
      </c>
      <c r="DF13" s="88">
        <v>273.89999719000002</v>
      </c>
      <c r="DG13" s="88">
        <v>263.76423499999999</v>
      </c>
      <c r="DH13" s="88">
        <v>238.66714422999999</v>
      </c>
      <c r="DI13" s="88">
        <v>414.23251767000005</v>
      </c>
      <c r="DJ13" s="88">
        <f t="shared" si="22"/>
        <v>3121.0655361100003</v>
      </c>
      <c r="DK13" s="85">
        <f>SUM(DK14:DK16)</f>
        <v>3121.0655339999998</v>
      </c>
      <c r="DL13" s="85">
        <v>333.47692785000004</v>
      </c>
      <c r="DM13" s="85">
        <v>272.47740819999996</v>
      </c>
      <c r="DN13" s="85">
        <v>277.09401267999999</v>
      </c>
      <c r="DO13" s="85">
        <v>295.57084490999995</v>
      </c>
      <c r="DP13" s="85">
        <v>313.84588660999992</v>
      </c>
      <c r="DQ13" s="85">
        <v>318.98133206</v>
      </c>
      <c r="DR13" s="85">
        <v>308.24038436000001</v>
      </c>
      <c r="DS13" s="85">
        <v>303.84380946999994</v>
      </c>
      <c r="DT13" s="85">
        <v>324.38634584999988</v>
      </c>
      <c r="DU13" s="85">
        <v>335.20633321999998</v>
      </c>
      <c r="DV13" s="85">
        <v>301.93006675999993</v>
      </c>
      <c r="DW13" s="85">
        <v>282.16279291999996</v>
      </c>
      <c r="DX13" s="88">
        <f t="shared" si="23"/>
        <v>3667.2161448899997</v>
      </c>
      <c r="DY13" s="85">
        <f>SUM(DY14:DY16)</f>
        <v>3667.2161460000002</v>
      </c>
      <c r="DZ13" s="85">
        <v>371.69686037999998</v>
      </c>
      <c r="EA13" s="85">
        <v>304.65934806999991</v>
      </c>
      <c r="EB13" s="85">
        <v>251.64926240999998</v>
      </c>
      <c r="EC13" s="85">
        <v>344.90570703999998</v>
      </c>
      <c r="ED13" s="85">
        <v>331.36674631</v>
      </c>
      <c r="EE13" s="85">
        <v>350.90681060999998</v>
      </c>
      <c r="EF13" s="85">
        <v>360.07472760000002</v>
      </c>
      <c r="EG13" s="85">
        <v>349.94483490000005</v>
      </c>
      <c r="EH13" s="85">
        <v>352.28255713000004</v>
      </c>
      <c r="EI13" s="85">
        <v>331.69945154999999</v>
      </c>
      <c r="EJ13" s="85">
        <v>339.06651240999997</v>
      </c>
      <c r="EK13" s="85">
        <v>335.27282851000007</v>
      </c>
      <c r="EL13" s="88">
        <f t="shared" si="17"/>
        <v>4023.5256469200003</v>
      </c>
      <c r="EM13" s="85">
        <f>SUM(EM14:EM16)</f>
        <v>4023.5257940000001</v>
      </c>
      <c r="EN13" s="85">
        <v>397.66426382000003</v>
      </c>
      <c r="EO13" s="85">
        <v>351.71256837999999</v>
      </c>
      <c r="EP13" s="85">
        <v>336.26916712000002</v>
      </c>
      <c r="EQ13" s="85">
        <v>402.61002842000005</v>
      </c>
      <c r="ER13" s="85">
        <v>364.07836214000008</v>
      </c>
      <c r="ES13" s="85">
        <v>331.32086416999994</v>
      </c>
      <c r="ET13" s="85">
        <v>395.80357076999996</v>
      </c>
      <c r="EU13" s="85">
        <v>377.95256597999997</v>
      </c>
      <c r="EV13" s="85">
        <v>349.59962993999989</v>
      </c>
      <c r="EW13" s="85">
        <v>375.76388414000013</v>
      </c>
      <c r="EX13" s="85">
        <v>357.74248520999998</v>
      </c>
      <c r="EY13" s="85">
        <v>357.67898258999998</v>
      </c>
      <c r="EZ13" s="88">
        <f t="shared" si="18"/>
        <v>4398.1963726800004</v>
      </c>
      <c r="FA13" s="85">
        <f>SUM(FA14:FA16)</f>
        <v>4398.1963730000007</v>
      </c>
      <c r="FB13" s="85">
        <v>431.29412137999998</v>
      </c>
      <c r="FC13" s="85">
        <v>358.70734095999995</v>
      </c>
      <c r="FD13" s="85">
        <v>363.54947734999996</v>
      </c>
      <c r="FE13" s="85">
        <v>391.79337446</v>
      </c>
      <c r="FF13" s="85">
        <v>403.77591629</v>
      </c>
      <c r="FG13" s="85">
        <v>398.83669537000003</v>
      </c>
      <c r="FH13" s="85">
        <v>435.32434369999999</v>
      </c>
      <c r="FI13" s="85">
        <v>418.61263448</v>
      </c>
      <c r="FJ13" s="85">
        <v>388.32660408000004</v>
      </c>
      <c r="FK13" s="85">
        <v>428.76228827999995</v>
      </c>
      <c r="FL13" s="85">
        <v>401.40679120000004</v>
      </c>
      <c r="FM13" s="85">
        <v>393.79484106000001</v>
      </c>
      <c r="FN13" s="88">
        <f t="shared" si="11"/>
        <v>4814.1844286100004</v>
      </c>
      <c r="FO13" s="85">
        <v>458.19183134000002</v>
      </c>
      <c r="FP13" s="85">
        <v>386.90771044999997</v>
      </c>
      <c r="FQ13" s="85">
        <v>387.80467747</v>
      </c>
      <c r="FR13" s="85">
        <v>431.21634331000001</v>
      </c>
      <c r="FS13" s="85"/>
      <c r="FT13" s="85"/>
      <c r="FU13" s="85"/>
      <c r="FV13" s="85"/>
      <c r="FW13" s="85"/>
      <c r="FX13" s="85"/>
      <c r="FY13" s="85"/>
      <c r="FZ13" s="85"/>
      <c r="GA13" s="307">
        <f t="shared" si="19"/>
        <v>1545.3443139999999</v>
      </c>
      <c r="GB13" s="307">
        <f t="shared" si="20"/>
        <v>1664.1205629999999</v>
      </c>
      <c r="GC13" s="308">
        <f t="shared" si="12"/>
        <v>118.77624900000001</v>
      </c>
      <c r="GD13" s="308">
        <f t="shared" si="13"/>
        <v>7.686070212570101</v>
      </c>
    </row>
    <row r="14" spans="1:186" s="12" customFormat="1" ht="20.5">
      <c r="A14" s="72" t="s">
        <v>42</v>
      </c>
      <c r="B14" s="13" t="s">
        <v>43</v>
      </c>
      <c r="C14" s="77" t="s">
        <v>44</v>
      </c>
      <c r="D14" s="45">
        <v>148.13804400000001</v>
      </c>
      <c r="E14" s="50">
        <v>152.61350200000001</v>
      </c>
      <c r="F14" s="50">
        <v>154.34897100000001</v>
      </c>
      <c r="G14" s="50">
        <v>172.467646</v>
      </c>
      <c r="H14" s="50">
        <v>160.16077899999999</v>
      </c>
      <c r="I14" s="50">
        <v>160.40488099999999</v>
      </c>
      <c r="J14" s="50">
        <v>186.87765947999998</v>
      </c>
      <c r="K14" s="50">
        <v>165.463706</v>
      </c>
      <c r="L14" s="50">
        <v>153.75098231000001</v>
      </c>
      <c r="M14" s="50">
        <v>175.01610313999998</v>
      </c>
      <c r="N14" s="50">
        <v>155.80574494000004</v>
      </c>
      <c r="O14" s="50">
        <v>191.07232320000003</v>
      </c>
      <c r="P14" s="85">
        <f t="shared" si="7"/>
        <v>1976.1203420699999</v>
      </c>
      <c r="Q14" s="44">
        <v>1976.1203419999999</v>
      </c>
      <c r="R14" s="50">
        <v>157.3858257</v>
      </c>
      <c r="S14" s="50">
        <v>159.32040165000001</v>
      </c>
      <c r="T14" s="50">
        <v>166.50347086000005</v>
      </c>
      <c r="U14" s="50">
        <v>177.72226172000003</v>
      </c>
      <c r="V14" s="50">
        <v>160.66838643</v>
      </c>
      <c r="W14" s="50">
        <v>165.59198394000003</v>
      </c>
      <c r="X14" s="50">
        <v>195.97377599999999</v>
      </c>
      <c r="Y14" s="50">
        <v>171.21675989000002</v>
      </c>
      <c r="Z14" s="50">
        <v>162.34785893</v>
      </c>
      <c r="AA14" s="50">
        <v>175.10483925999998</v>
      </c>
      <c r="AB14" s="50">
        <v>162.41979723999998</v>
      </c>
      <c r="AC14" s="50">
        <v>194.49005961000003</v>
      </c>
      <c r="AD14" s="85">
        <f t="shared" si="8"/>
        <v>2048.7454212300004</v>
      </c>
      <c r="AE14" s="85">
        <v>2048.7454210000001</v>
      </c>
      <c r="AF14" s="85">
        <v>161.39029951000001</v>
      </c>
      <c r="AG14" s="85">
        <v>162.66842315999997</v>
      </c>
      <c r="AH14" s="85">
        <v>166.78362494999999</v>
      </c>
      <c r="AI14" s="85">
        <v>188.87658620000002</v>
      </c>
      <c r="AJ14" s="85">
        <v>165.51293247999999</v>
      </c>
      <c r="AK14" s="85">
        <v>177.63488606999999</v>
      </c>
      <c r="AL14" s="85">
        <v>196.98521888999994</v>
      </c>
      <c r="AM14" s="85">
        <v>172.34779499000004</v>
      </c>
      <c r="AN14" s="85">
        <v>170.72851227999999</v>
      </c>
      <c r="AO14" s="85">
        <v>172.03352106</v>
      </c>
      <c r="AP14" s="85">
        <v>166.82329861000005</v>
      </c>
      <c r="AQ14" s="85">
        <v>203.13172518000002</v>
      </c>
      <c r="AR14" s="85">
        <f t="shared" si="9"/>
        <v>2104.9168233800001</v>
      </c>
      <c r="AS14" s="85">
        <v>2104.9168239999999</v>
      </c>
      <c r="AT14" s="85">
        <v>170.82025884000001</v>
      </c>
      <c r="AU14" s="85">
        <v>161.31337772000003</v>
      </c>
      <c r="AV14" s="85">
        <v>165.29099899000002</v>
      </c>
      <c r="AW14" s="85">
        <v>195.05160624000001</v>
      </c>
      <c r="AX14" s="85">
        <v>186.17727800000003</v>
      </c>
      <c r="AY14" s="85">
        <v>191.28330054000003</v>
      </c>
      <c r="AZ14" s="85">
        <v>213.28743256000001</v>
      </c>
      <c r="BA14" s="85">
        <v>186.7784092</v>
      </c>
      <c r="BB14" s="85">
        <v>180.98094883999997</v>
      </c>
      <c r="BC14" s="85">
        <v>199.86176251000003</v>
      </c>
      <c r="BD14" s="85">
        <v>185.86341786000003</v>
      </c>
      <c r="BE14" s="85">
        <v>220.26289441</v>
      </c>
      <c r="BF14" s="85">
        <f t="shared" si="10"/>
        <v>2256.9716857100002</v>
      </c>
      <c r="BG14" s="85">
        <v>2256.9903840000002</v>
      </c>
      <c r="BH14" s="85">
        <v>181.75206439000002</v>
      </c>
      <c r="BI14" s="85">
        <v>181.43439970999998</v>
      </c>
      <c r="BJ14" s="85">
        <v>181.07308328000002</v>
      </c>
      <c r="BK14" s="85">
        <v>220.95350297000002</v>
      </c>
      <c r="BL14" s="85">
        <v>206.70613542999999</v>
      </c>
      <c r="BM14" s="85">
        <v>216.78296347</v>
      </c>
      <c r="BN14" s="85">
        <v>244.20716179000001</v>
      </c>
      <c r="BO14" s="85">
        <v>214.27476944000003</v>
      </c>
      <c r="BP14" s="85">
        <v>202.34247002999999</v>
      </c>
      <c r="BQ14" s="85">
        <v>230.78368494</v>
      </c>
      <c r="BR14" s="85">
        <v>214.04518825</v>
      </c>
      <c r="BS14" s="85">
        <v>248.86721048000001</v>
      </c>
      <c r="BT14" s="88">
        <f t="shared" si="15"/>
        <v>2543.2226341800001</v>
      </c>
      <c r="BU14" s="85">
        <v>2543.223645</v>
      </c>
      <c r="BV14" s="85">
        <v>215.90091520000001</v>
      </c>
      <c r="BW14" s="85">
        <v>207.99268469999998</v>
      </c>
      <c r="BX14" s="85">
        <v>206.10569971000001</v>
      </c>
      <c r="BY14" s="85">
        <v>240.29015004000001</v>
      </c>
      <c r="BZ14" s="85">
        <v>229.41528928</v>
      </c>
      <c r="CA14" s="85">
        <v>228.51998144000001</v>
      </c>
      <c r="CB14" s="85">
        <v>263.03059425000004</v>
      </c>
      <c r="CC14" s="85">
        <v>234.99714339999997</v>
      </c>
      <c r="CD14" s="85">
        <v>222.74379739000003</v>
      </c>
      <c r="CE14" s="85">
        <v>249.04644328000003</v>
      </c>
      <c r="CF14" s="85">
        <v>229.81192466000002</v>
      </c>
      <c r="CG14" s="85">
        <v>267.14435761999999</v>
      </c>
      <c r="CH14" s="88">
        <f t="shared" si="16"/>
        <v>2794.99898097</v>
      </c>
      <c r="CI14" s="85">
        <v>2794.998979</v>
      </c>
      <c r="CJ14" s="85">
        <v>234.18338947999999</v>
      </c>
      <c r="CK14" s="85">
        <v>223.01926175000003</v>
      </c>
      <c r="CL14" s="85">
        <v>212.35812472999996</v>
      </c>
      <c r="CM14" s="85">
        <v>230.89572601999998</v>
      </c>
      <c r="CN14" s="85">
        <v>195.52266638</v>
      </c>
      <c r="CO14" s="85">
        <v>210.49713252999999</v>
      </c>
      <c r="CP14" s="85">
        <v>255.08218350999996</v>
      </c>
      <c r="CQ14" s="185">
        <v>234.62107521999999</v>
      </c>
      <c r="CR14" s="88">
        <v>236.47018047000003</v>
      </c>
      <c r="CS14" s="88">
        <v>261.40587202000006</v>
      </c>
      <c r="CT14" s="88">
        <v>233.60964103999999</v>
      </c>
      <c r="CU14" s="88">
        <v>308.33102677999995</v>
      </c>
      <c r="CV14" s="88">
        <f t="shared" si="21"/>
        <v>2835.9962799299997</v>
      </c>
      <c r="CW14" s="88">
        <v>2815.867984</v>
      </c>
      <c r="CX14" s="88">
        <v>158.87168958000001</v>
      </c>
      <c r="CY14" s="88">
        <v>210.77927879000003</v>
      </c>
      <c r="CZ14" s="88">
        <v>213.379042</v>
      </c>
      <c r="DA14" s="88">
        <v>246.67545586</v>
      </c>
      <c r="DB14" s="88">
        <v>245.97653829000001</v>
      </c>
      <c r="DC14" s="88">
        <v>244.7219029</v>
      </c>
      <c r="DD14" s="88">
        <v>275.1437866</v>
      </c>
      <c r="DE14" s="88">
        <v>270.27101399999998</v>
      </c>
      <c r="DF14" s="88">
        <v>264.81603004999999</v>
      </c>
      <c r="DG14" s="88">
        <v>254.864228</v>
      </c>
      <c r="DH14" s="88">
        <v>230.42994480000002</v>
      </c>
      <c r="DI14" s="88">
        <v>401.09155630999999</v>
      </c>
      <c r="DJ14" s="88">
        <f t="shared" si="22"/>
        <v>3017.0204671800002</v>
      </c>
      <c r="DK14" s="85">
        <v>3018.049387</v>
      </c>
      <c r="DL14" s="85">
        <v>322.54656153000002</v>
      </c>
      <c r="DM14" s="85">
        <v>263.28996043000001</v>
      </c>
      <c r="DN14" s="85">
        <v>266.74150069000001</v>
      </c>
      <c r="DO14" s="85">
        <v>285.52989006999996</v>
      </c>
      <c r="DP14" s="85">
        <v>302.96466939999993</v>
      </c>
      <c r="DQ14" s="85">
        <v>308.24909193000002</v>
      </c>
      <c r="DR14" s="85">
        <v>297.50962722000003</v>
      </c>
      <c r="DS14" s="50">
        <v>293.33246056999997</v>
      </c>
      <c r="DT14" s="85">
        <v>313.25509824999989</v>
      </c>
      <c r="DU14" s="85">
        <v>323.73311581999997</v>
      </c>
      <c r="DV14" s="85">
        <v>291.30904610999994</v>
      </c>
      <c r="DW14" s="85">
        <v>272.15342505999996</v>
      </c>
      <c r="DX14" s="88">
        <f t="shared" si="23"/>
        <v>3540.6144470799995</v>
      </c>
      <c r="DY14" s="85">
        <v>3539.526147</v>
      </c>
      <c r="DZ14" s="85">
        <v>359.11147636999999</v>
      </c>
      <c r="EA14" s="85">
        <v>294.02487064999991</v>
      </c>
      <c r="EB14" s="85">
        <v>242.33633606999999</v>
      </c>
      <c r="EC14" s="85">
        <v>333.00810433999999</v>
      </c>
      <c r="ED14" s="85">
        <v>319.93229666999997</v>
      </c>
      <c r="EE14" s="85">
        <v>338.91222511999996</v>
      </c>
      <c r="EF14" s="85">
        <v>347.67339190000001</v>
      </c>
      <c r="EG14" s="85">
        <v>337.88136481000004</v>
      </c>
      <c r="EH14" s="85">
        <v>340.04097742000005</v>
      </c>
      <c r="EI14" s="85">
        <v>320.05217954</v>
      </c>
      <c r="EJ14" s="85">
        <v>327.18957671999999</v>
      </c>
      <c r="EK14" s="85">
        <v>323.46527173999999</v>
      </c>
      <c r="EL14" s="88">
        <f t="shared" si="17"/>
        <v>3883.6280713499996</v>
      </c>
      <c r="EM14" s="85">
        <v>3883.632908</v>
      </c>
      <c r="EN14" s="85">
        <v>384.09372717000002</v>
      </c>
      <c r="EO14" s="85">
        <v>339.47916680000003</v>
      </c>
      <c r="EP14" s="85">
        <v>324.40245211000001</v>
      </c>
      <c r="EQ14" s="85">
        <v>388.87874191000003</v>
      </c>
      <c r="ER14" s="85">
        <v>351.46688944000005</v>
      </c>
      <c r="ES14" s="85">
        <v>319.12748218999997</v>
      </c>
      <c r="ET14" s="85">
        <v>382.78612325999995</v>
      </c>
      <c r="EU14" s="85">
        <v>364.86658386999994</v>
      </c>
      <c r="EV14" s="85">
        <v>337.29199225999992</v>
      </c>
      <c r="EW14" s="85">
        <v>362.68189237000007</v>
      </c>
      <c r="EX14" s="85">
        <v>345.10720061000001</v>
      </c>
      <c r="EY14" s="85">
        <v>345.11374739000001</v>
      </c>
      <c r="EZ14" s="88">
        <f t="shared" si="18"/>
        <v>4245.2959993800005</v>
      </c>
      <c r="FA14" s="85">
        <v>4244.6768890000003</v>
      </c>
      <c r="FB14" s="85">
        <v>416.56017078999992</v>
      </c>
      <c r="FC14" s="85">
        <v>346.07450972999999</v>
      </c>
      <c r="FD14" s="85">
        <v>350.71940896999996</v>
      </c>
      <c r="FE14" s="85">
        <v>378.23775142000005</v>
      </c>
      <c r="FF14" s="85">
        <v>390.27365369</v>
      </c>
      <c r="FG14" s="85">
        <v>385.50452447999999</v>
      </c>
      <c r="FH14" s="85">
        <v>420.80670679000002</v>
      </c>
      <c r="FI14" s="85">
        <v>404.57183178000002</v>
      </c>
      <c r="FJ14" s="85">
        <v>375.14962677000005</v>
      </c>
      <c r="FK14" s="85">
        <v>414.38853737999995</v>
      </c>
      <c r="FL14" s="85">
        <v>387.73866429000003</v>
      </c>
      <c r="FM14" s="85">
        <v>380.41673562</v>
      </c>
      <c r="FN14" s="88">
        <f t="shared" si="11"/>
        <v>4650.4421217099989</v>
      </c>
      <c r="FO14" s="85">
        <v>442.91269677999998</v>
      </c>
      <c r="FP14" s="85">
        <v>373.70111164999997</v>
      </c>
      <c r="FQ14" s="85">
        <v>374.58530187999997</v>
      </c>
      <c r="FR14" s="85">
        <v>416.73530587000005</v>
      </c>
      <c r="FS14" s="85"/>
      <c r="FT14" s="85"/>
      <c r="FU14" s="85"/>
      <c r="FV14" s="85"/>
      <c r="FW14" s="85"/>
      <c r="FX14" s="85"/>
      <c r="FY14" s="85"/>
      <c r="FZ14" s="85"/>
      <c r="GA14" s="307">
        <f t="shared" si="19"/>
        <v>1491.5918409999999</v>
      </c>
      <c r="GB14" s="307">
        <f t="shared" si="20"/>
        <v>1607.9344160000001</v>
      </c>
      <c r="GC14" s="308">
        <f t="shared" si="12"/>
        <v>116.34257500000012</v>
      </c>
      <c r="GD14" s="308">
        <f t="shared" si="13"/>
        <v>7.7998934964675897</v>
      </c>
    </row>
    <row r="15" spans="1:186" s="12" customFormat="1" ht="20.25" hidden="1" customHeight="1">
      <c r="A15" s="72" t="s">
        <v>45</v>
      </c>
      <c r="B15" s="13"/>
      <c r="C15" s="77" t="s">
        <v>45</v>
      </c>
      <c r="D15" s="45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85"/>
      <c r="Q15" s="85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85">
        <f t="shared" si="8"/>
        <v>0</v>
      </c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>
        <v>13.9503979</v>
      </c>
      <c r="AP15" s="85">
        <v>5.2479745300000005</v>
      </c>
      <c r="AQ15" s="85">
        <v>6.6398722900000005</v>
      </c>
      <c r="AR15" s="85">
        <f t="shared" si="9"/>
        <v>25.838244719999999</v>
      </c>
      <c r="AS15" s="85">
        <v>25.838245000000001</v>
      </c>
      <c r="AT15" s="85">
        <v>7.1993851600000003</v>
      </c>
      <c r="AU15" s="85">
        <v>9.2397509800000002</v>
      </c>
      <c r="AV15" s="85">
        <v>12.5055639</v>
      </c>
      <c r="AW15" s="85">
        <v>0.65565759999999995</v>
      </c>
      <c r="AX15" s="85">
        <v>1.21670444</v>
      </c>
      <c r="AY15" s="85">
        <v>2.5918389500000001</v>
      </c>
      <c r="AZ15" s="85">
        <v>2.9790959199999998</v>
      </c>
      <c r="BA15" s="85">
        <v>3.3064644599999999</v>
      </c>
      <c r="BB15" s="85">
        <v>4.0413289300000006</v>
      </c>
      <c r="BC15" s="85">
        <v>4.9899168099999995</v>
      </c>
      <c r="BD15" s="85">
        <v>5.6171400199999999</v>
      </c>
      <c r="BE15" s="85">
        <v>7.4109157300000001</v>
      </c>
      <c r="BF15" s="85">
        <f t="shared" si="10"/>
        <v>61.753762899999998</v>
      </c>
      <c r="BG15" s="85">
        <v>61.753762999999999</v>
      </c>
      <c r="BH15" s="85">
        <v>8.1532695400000001</v>
      </c>
      <c r="BI15" s="85">
        <v>9.7632138299999998</v>
      </c>
      <c r="BJ15" s="85">
        <v>14.19747181</v>
      </c>
      <c r="BK15" s="85">
        <v>0.54539070000000001</v>
      </c>
      <c r="BL15" s="85">
        <v>0.1545919</v>
      </c>
      <c r="BM15" s="85">
        <v>0.28843328000000001</v>
      </c>
      <c r="BN15" s="85">
        <v>6.6637799999999997E-2</v>
      </c>
      <c r="BO15" s="85">
        <v>0.1704059</v>
      </c>
      <c r="BP15" s="85">
        <v>0.2214071</v>
      </c>
      <c r="BQ15" s="85">
        <v>0.22846305</v>
      </c>
      <c r="BR15" s="85">
        <v>1.2163999999999999E-2</v>
      </c>
      <c r="BS15" s="85">
        <v>5.645501E-2</v>
      </c>
      <c r="BT15" s="88">
        <f t="shared" si="15"/>
        <v>33.857903920000005</v>
      </c>
      <c r="BU15" s="85">
        <v>33.857903999999998</v>
      </c>
      <c r="BV15" s="85">
        <v>1.1572829999999999E-2</v>
      </c>
      <c r="BW15" s="85">
        <v>0</v>
      </c>
      <c r="BX15" s="85">
        <v>0.29495870000000002</v>
      </c>
      <c r="BY15" s="85">
        <v>0.20746792999999999</v>
      </c>
      <c r="BZ15" s="85">
        <v>1.120516E-2</v>
      </c>
      <c r="CA15" s="85">
        <v>8.4990380000000004E-2</v>
      </c>
      <c r="CB15" s="85">
        <v>1.5232000000000001E-4</v>
      </c>
      <c r="CC15" s="85">
        <v>9.8381399999999987E-3</v>
      </c>
      <c r="CD15" s="85">
        <v>1.8068499999999998E-3</v>
      </c>
      <c r="CE15" s="85">
        <v>2.1616999999999999E-3</v>
      </c>
      <c r="CF15" s="85">
        <v>1.6492899999999999E-3</v>
      </c>
      <c r="CG15" s="85">
        <v>2.3334870000000001E-2</v>
      </c>
      <c r="CH15" s="88">
        <f t="shared" si="16"/>
        <v>0.64913817000000018</v>
      </c>
      <c r="CI15" s="85">
        <v>0.64913799999999999</v>
      </c>
      <c r="CJ15" s="85">
        <v>0</v>
      </c>
      <c r="CK15" s="85">
        <v>8.7860000000000002E-5</v>
      </c>
      <c r="CL15" s="85">
        <v>0</v>
      </c>
      <c r="CM15" s="85">
        <v>0</v>
      </c>
      <c r="CN15" s="85">
        <v>0</v>
      </c>
      <c r="CO15" s="85">
        <v>0</v>
      </c>
      <c r="CP15" s="85"/>
      <c r="CQ15" s="185"/>
      <c r="CR15" s="88">
        <v>0</v>
      </c>
      <c r="CS15" s="88">
        <v>0</v>
      </c>
      <c r="CT15" s="88">
        <v>2.9960000000000001E-5</v>
      </c>
      <c r="CU15" s="88">
        <v>0</v>
      </c>
      <c r="CV15" s="88">
        <f t="shared" si="21"/>
        <v>1.1782000000000001E-4</v>
      </c>
      <c r="CW15" s="88">
        <v>1.18E-4</v>
      </c>
      <c r="CX15" s="88">
        <v>0</v>
      </c>
      <c r="CY15" s="88">
        <v>0</v>
      </c>
      <c r="CZ15" s="88">
        <v>0</v>
      </c>
      <c r="DA15" s="88">
        <v>0</v>
      </c>
      <c r="DB15" s="88">
        <v>0</v>
      </c>
      <c r="DC15" s="88">
        <v>0</v>
      </c>
      <c r="DD15" s="88">
        <v>0</v>
      </c>
      <c r="DE15" s="88">
        <v>0</v>
      </c>
      <c r="DF15" s="88">
        <v>0</v>
      </c>
      <c r="DG15" s="88">
        <v>0</v>
      </c>
      <c r="DH15" s="88">
        <v>0</v>
      </c>
      <c r="DI15" s="88"/>
      <c r="DJ15" s="88">
        <f t="shared" si="22"/>
        <v>0</v>
      </c>
      <c r="DK15" s="85"/>
      <c r="DL15" s="85"/>
      <c r="DM15" s="85"/>
      <c r="DN15" s="85"/>
      <c r="DO15" s="85"/>
      <c r="DP15" s="85"/>
      <c r="DQ15" s="85"/>
      <c r="DR15" s="85"/>
      <c r="DS15" s="50"/>
      <c r="DT15" s="85"/>
      <c r="DU15" s="85"/>
      <c r="DV15" s="85"/>
      <c r="DW15" s="85"/>
      <c r="DX15" s="88">
        <f t="shared" si="23"/>
        <v>0</v>
      </c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8">
        <f t="shared" si="17"/>
        <v>0</v>
      </c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8">
        <f t="shared" si="18"/>
        <v>0</v>
      </c>
      <c r="FA15" s="85"/>
      <c r="FB15" s="85"/>
      <c r="FC15" s="85"/>
      <c r="FD15" s="85"/>
      <c r="FE15" s="85"/>
      <c r="FF15" s="85"/>
      <c r="FG15" s="85"/>
      <c r="FH15" s="85"/>
      <c r="FI15" s="85">
        <v>404.57183178000002</v>
      </c>
      <c r="FJ15" s="85"/>
      <c r="FK15" s="85"/>
      <c r="FL15" s="85"/>
      <c r="FM15" s="85"/>
      <c r="FN15" s="88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307">
        <f t="shared" si="19"/>
        <v>0</v>
      </c>
      <c r="GB15" s="307">
        <f t="shared" si="20"/>
        <v>0</v>
      </c>
      <c r="GC15" s="308"/>
      <c r="GD15" s="308"/>
    </row>
    <row r="16" spans="1:186" s="12" customFormat="1" ht="20.5">
      <c r="A16" s="72" t="s">
        <v>47</v>
      </c>
      <c r="B16" s="13"/>
      <c r="C16" s="77" t="s">
        <v>48</v>
      </c>
      <c r="D16" s="45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85"/>
      <c r="Q16" s="85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>
        <v>0</v>
      </c>
      <c r="BC16" s="85">
        <v>0</v>
      </c>
      <c r="BD16" s="85">
        <v>0</v>
      </c>
      <c r="BE16" s="85">
        <v>0</v>
      </c>
      <c r="BF16" s="85">
        <f t="shared" si="10"/>
        <v>0</v>
      </c>
      <c r="BG16" s="85"/>
      <c r="BH16" s="85">
        <v>6.3270801900000002</v>
      </c>
      <c r="BI16" s="85">
        <v>6.3779890799999999</v>
      </c>
      <c r="BJ16" s="85">
        <v>6.49618348</v>
      </c>
      <c r="BK16" s="85">
        <v>7.2769961799999994</v>
      </c>
      <c r="BL16" s="85">
        <v>6.8531438600000003</v>
      </c>
      <c r="BM16" s="85">
        <v>7.1367536600000001</v>
      </c>
      <c r="BN16" s="85">
        <v>7.9535315999999998</v>
      </c>
      <c r="BO16" s="85">
        <v>7.1503926099999999</v>
      </c>
      <c r="BP16" s="85">
        <v>6.8681282399999999</v>
      </c>
      <c r="BQ16" s="85">
        <v>7.6789995300000005</v>
      </c>
      <c r="BR16" s="85">
        <v>7.2447870599999993</v>
      </c>
      <c r="BS16" s="85">
        <v>8.1951283700000008</v>
      </c>
      <c r="BT16" s="88">
        <f t="shared" si="15"/>
        <v>85.559113859999997</v>
      </c>
      <c r="BU16" s="85">
        <v>85.559113999999994</v>
      </c>
      <c r="BV16" s="85">
        <v>7.86151424</v>
      </c>
      <c r="BW16" s="85">
        <v>7.6635611399999997</v>
      </c>
      <c r="BX16" s="85">
        <v>7.66454433</v>
      </c>
      <c r="BY16" s="85">
        <v>8.5819371899999997</v>
      </c>
      <c r="BZ16" s="85">
        <v>8.0710181199999997</v>
      </c>
      <c r="CA16" s="85">
        <v>8.08691593</v>
      </c>
      <c r="CB16" s="85">
        <v>9.1913157899999991</v>
      </c>
      <c r="CC16" s="85">
        <v>8.3760629699999996</v>
      </c>
      <c r="CD16" s="85">
        <v>8.0312316599999996</v>
      </c>
      <c r="CE16" s="85">
        <v>8.8182299799999999</v>
      </c>
      <c r="CF16" s="85">
        <v>8.3107472599999994</v>
      </c>
      <c r="CG16" s="85">
        <v>9.3744039099999998</v>
      </c>
      <c r="CH16" s="88">
        <f t="shared" si="16"/>
        <v>100.03148252</v>
      </c>
      <c r="CI16" s="85">
        <v>100.03148299999999</v>
      </c>
      <c r="CJ16" s="85">
        <v>8.1681185999999997</v>
      </c>
      <c r="CK16" s="85">
        <v>7.9000656500000002</v>
      </c>
      <c r="CL16" s="85">
        <v>7.61288213</v>
      </c>
      <c r="CM16" s="85">
        <v>8.07752011</v>
      </c>
      <c r="CN16" s="85">
        <v>6.9404478099999993</v>
      </c>
      <c r="CO16" s="85">
        <v>7.3430678799999995</v>
      </c>
      <c r="CP16" s="85">
        <v>8.6378478000000012</v>
      </c>
      <c r="CQ16" s="185">
        <v>7.9899004400000004</v>
      </c>
      <c r="CR16" s="88">
        <v>8.0720873900000001</v>
      </c>
      <c r="CS16" s="88">
        <v>8.2522227000000008</v>
      </c>
      <c r="CT16" s="88">
        <v>8.1215640400000009</v>
      </c>
      <c r="CU16" s="88">
        <v>10.218182929999999</v>
      </c>
      <c r="CV16" s="88">
        <f t="shared" si="21"/>
        <v>97.333907479999993</v>
      </c>
      <c r="CW16" s="88">
        <v>97.333906999999996</v>
      </c>
      <c r="CX16" s="88">
        <v>5.9735283299999997</v>
      </c>
      <c r="CY16" s="88">
        <v>7.3117355599999998</v>
      </c>
      <c r="CZ16" s="88">
        <v>7.5709809999999997</v>
      </c>
      <c r="DA16" s="88">
        <v>8.5817932700000004</v>
      </c>
      <c r="DB16" s="88">
        <v>8.34957189</v>
      </c>
      <c r="DC16" s="88">
        <v>8.3611533300000005</v>
      </c>
      <c r="DD16" s="88">
        <v>9.365476619999999</v>
      </c>
      <c r="DE16" s="88">
        <v>9.2138950000000008</v>
      </c>
      <c r="DF16" s="88">
        <v>9.0839671400000004</v>
      </c>
      <c r="DG16" s="88">
        <v>8.9000070000000004</v>
      </c>
      <c r="DH16" s="88">
        <v>8.23703276</v>
      </c>
      <c r="DI16" s="88">
        <v>13.140961359999999</v>
      </c>
      <c r="DJ16" s="88">
        <f t="shared" si="22"/>
        <v>104.09010326000001</v>
      </c>
      <c r="DK16" s="85">
        <v>103.016147</v>
      </c>
      <c r="DL16" s="85">
        <v>10.930366320000001</v>
      </c>
      <c r="DM16" s="85">
        <v>9.1874477700000003</v>
      </c>
      <c r="DN16" s="85">
        <v>10.35251199</v>
      </c>
      <c r="DO16" s="85">
        <v>10.040954839999999</v>
      </c>
      <c r="DP16" s="85">
        <v>10.881217210000001</v>
      </c>
      <c r="DQ16" s="85">
        <v>10.732240130000001</v>
      </c>
      <c r="DR16" s="85">
        <v>10.730757140000001</v>
      </c>
      <c r="DS16" s="50">
        <v>10.5113489</v>
      </c>
      <c r="DT16" s="85">
        <v>11.1312476</v>
      </c>
      <c r="DU16" s="85">
        <v>11.473217400000001</v>
      </c>
      <c r="DV16" s="85">
        <v>10.62102065</v>
      </c>
      <c r="DW16" s="85">
        <v>10.009367859999999</v>
      </c>
      <c r="DX16" s="88">
        <f t="shared" si="23"/>
        <v>126.60169781</v>
      </c>
      <c r="DY16" s="85">
        <v>127.689999</v>
      </c>
      <c r="DZ16" s="85">
        <v>12.58538401</v>
      </c>
      <c r="EA16" s="85">
        <v>10.63447742</v>
      </c>
      <c r="EB16" s="85">
        <v>9.31292633999999</v>
      </c>
      <c r="EC16" s="85">
        <v>11.897602699999998</v>
      </c>
      <c r="ED16" s="85">
        <v>11.43444964</v>
      </c>
      <c r="EE16" s="85">
        <v>11.99458549</v>
      </c>
      <c r="EF16" s="85">
        <v>12.401335699999999</v>
      </c>
      <c r="EG16" s="85">
        <v>12.063470089999999</v>
      </c>
      <c r="EH16" s="85">
        <v>12.241579710000002</v>
      </c>
      <c r="EI16" s="85">
        <v>11.64727201</v>
      </c>
      <c r="EJ16" s="85">
        <v>11.87693569</v>
      </c>
      <c r="EK16" s="85">
        <v>11.80770519</v>
      </c>
      <c r="EL16" s="88">
        <f t="shared" si="17"/>
        <v>139.89772399</v>
      </c>
      <c r="EM16" s="85">
        <v>139.892886</v>
      </c>
      <c r="EN16" s="85">
        <v>13.570536650000001</v>
      </c>
      <c r="EO16" s="85">
        <v>12.233401580000001</v>
      </c>
      <c r="EP16" s="85">
        <v>11.86671501</v>
      </c>
      <c r="EQ16" s="85">
        <v>13.73128651</v>
      </c>
      <c r="ER16" s="85">
        <v>12.611472699999998</v>
      </c>
      <c r="ES16" s="85">
        <v>12.19338198</v>
      </c>
      <c r="ET16" s="85">
        <v>13.01744751</v>
      </c>
      <c r="EU16" s="85">
        <v>13.08598211</v>
      </c>
      <c r="EV16" s="85">
        <v>12.307637679999999</v>
      </c>
      <c r="EW16" s="85">
        <v>13.08199177</v>
      </c>
      <c r="EX16" s="85">
        <v>12.6352846</v>
      </c>
      <c r="EY16" s="85">
        <v>12.5652352</v>
      </c>
      <c r="EZ16" s="88">
        <f t="shared" si="18"/>
        <v>152.90037329999998</v>
      </c>
      <c r="FA16" s="85">
        <v>153.51948400000001</v>
      </c>
      <c r="FB16" s="85">
        <v>14.733950589999999</v>
      </c>
      <c r="FC16" s="85">
        <v>12.632831230000001</v>
      </c>
      <c r="FD16" s="85">
        <v>12.83006838</v>
      </c>
      <c r="FE16" s="85">
        <v>13.555623039999999</v>
      </c>
      <c r="FF16" s="85">
        <v>13.5022626</v>
      </c>
      <c r="FG16" s="85">
        <v>13.33217089</v>
      </c>
      <c r="FH16" s="85">
        <v>14.51763691</v>
      </c>
      <c r="FI16" s="85">
        <v>14.040802699999999</v>
      </c>
      <c r="FJ16" s="85">
        <v>13.17697731</v>
      </c>
      <c r="FK16" s="85">
        <v>14.373750900000001</v>
      </c>
      <c r="FL16" s="85">
        <v>13.66812691</v>
      </c>
      <c r="FM16" s="85">
        <v>13.378105439999999</v>
      </c>
      <c r="FN16" s="88">
        <f t="shared" si="11"/>
        <v>163.74230690000002</v>
      </c>
      <c r="FO16" s="85">
        <v>15.279134560000001</v>
      </c>
      <c r="FP16" s="85">
        <v>13.2065988</v>
      </c>
      <c r="FQ16" s="85">
        <v>13.21937559</v>
      </c>
      <c r="FR16" s="85">
        <v>14.48103744</v>
      </c>
      <c r="FS16" s="85"/>
      <c r="FT16" s="85"/>
      <c r="FU16" s="85"/>
      <c r="FV16" s="85"/>
      <c r="FW16" s="85"/>
      <c r="FX16" s="85"/>
      <c r="FY16" s="85"/>
      <c r="FZ16" s="85"/>
      <c r="GA16" s="307">
        <f t="shared" si="19"/>
        <v>53.752473000000002</v>
      </c>
      <c r="GB16" s="307">
        <f t="shared" si="20"/>
        <v>56.186146000000001</v>
      </c>
      <c r="GC16" s="308">
        <f t="shared" si="12"/>
        <v>2.4336729999999989</v>
      </c>
      <c r="GD16" s="308">
        <f>GB16/GA16*100-100</f>
        <v>4.5275554112645295</v>
      </c>
    </row>
    <row r="17" spans="1:186" s="12" customFormat="1" ht="20.5">
      <c r="A17" s="70" t="s">
        <v>52</v>
      </c>
      <c r="B17" s="13"/>
      <c r="C17" s="46" t="s">
        <v>53</v>
      </c>
      <c r="D17" s="45">
        <f>D18+D19+D20</f>
        <v>278.75584799999996</v>
      </c>
      <c r="E17" s="50">
        <f>E18+E19+E20</f>
        <v>172.46320900000001</v>
      </c>
      <c r="F17" s="50">
        <f t="shared" ref="F17:M17" si="24">F18+F19+F20</f>
        <v>187.823497</v>
      </c>
      <c r="G17" s="50">
        <f t="shared" si="24"/>
        <v>232.29418600000002</v>
      </c>
      <c r="H17" s="50">
        <f t="shared" si="24"/>
        <v>208.42837600000001</v>
      </c>
      <c r="I17" s="50">
        <f t="shared" si="24"/>
        <v>253.24810899999997</v>
      </c>
      <c r="J17" s="50">
        <f t="shared" si="24"/>
        <v>239.92042744000003</v>
      </c>
      <c r="K17" s="50">
        <f t="shared" si="24"/>
        <v>253.01650400000003</v>
      </c>
      <c r="L17" s="50">
        <f t="shared" si="24"/>
        <v>251.73991851999997</v>
      </c>
      <c r="M17" s="50">
        <f t="shared" si="24"/>
        <v>216.43088697000002</v>
      </c>
      <c r="N17" s="50">
        <f>N18+N19+N20</f>
        <v>239.10376905000001</v>
      </c>
      <c r="O17" s="50">
        <f>O18+O19+O20</f>
        <v>218.57831420000002</v>
      </c>
      <c r="P17" s="85">
        <f t="shared" si="7"/>
        <v>2751.80304518</v>
      </c>
      <c r="Q17" s="85">
        <f>Q18+Q19+Q20</f>
        <v>2751.8030460000004</v>
      </c>
      <c r="R17" s="50">
        <f>R18+R19+R20</f>
        <v>290.00999378999995</v>
      </c>
      <c r="S17" s="50">
        <v>179.82253193</v>
      </c>
      <c r="T17" s="50">
        <v>202.13652640999999</v>
      </c>
      <c r="U17" s="50">
        <v>249.84598847000001</v>
      </c>
      <c r="V17" s="50">
        <v>226.65068798999999</v>
      </c>
      <c r="W17" s="50">
        <v>250.23037192999999</v>
      </c>
      <c r="X17" s="50">
        <v>249.53865149000001</v>
      </c>
      <c r="Y17" s="50">
        <v>260.54540386000002</v>
      </c>
      <c r="Z17" s="50">
        <v>252.15341242000005</v>
      </c>
      <c r="AA17" s="50">
        <v>265.98313226000005</v>
      </c>
      <c r="AB17" s="50">
        <v>260.5217758</v>
      </c>
      <c r="AC17" s="50">
        <v>231.75284026</v>
      </c>
      <c r="AD17" s="85">
        <f t="shared" si="8"/>
        <v>2919.1913166100003</v>
      </c>
      <c r="AE17" s="85">
        <f>AE18+AE19+AE20</f>
        <v>2919.1913159999999</v>
      </c>
      <c r="AF17" s="85">
        <v>275.72890758000005</v>
      </c>
      <c r="AG17" s="85">
        <v>205.09058107000001</v>
      </c>
      <c r="AH17" s="85">
        <v>221.73066345000001</v>
      </c>
      <c r="AI17" s="85">
        <v>252.24583373999997</v>
      </c>
      <c r="AJ17" s="85">
        <v>253.03919775000003</v>
      </c>
      <c r="AK17" s="85">
        <v>268.59610819</v>
      </c>
      <c r="AL17" s="85">
        <v>273.06469105000002</v>
      </c>
      <c r="AM17" s="85">
        <v>262.55225376999999</v>
      </c>
      <c r="AN17" s="85">
        <v>278.09432813000001</v>
      </c>
      <c r="AO17" s="85">
        <v>283.89389231000001</v>
      </c>
      <c r="AP17" s="85">
        <v>264.00428575000001</v>
      </c>
      <c r="AQ17" s="85">
        <v>266.58967433999999</v>
      </c>
      <c r="AR17" s="85">
        <f t="shared" si="9"/>
        <v>3104.6304171299998</v>
      </c>
      <c r="AS17" s="85">
        <f>AS18+AS19+AS20</f>
        <v>3104.6304179999997</v>
      </c>
      <c r="AT17" s="85">
        <v>308.03002240999996</v>
      </c>
      <c r="AU17" s="85">
        <v>199.06006593000001</v>
      </c>
      <c r="AV17" s="85">
        <v>230.57905002999999</v>
      </c>
      <c r="AW17" s="85">
        <v>279.94695899999999</v>
      </c>
      <c r="AX17" s="85">
        <v>262.30422239999996</v>
      </c>
      <c r="AY17" s="85">
        <v>286.55221449000004</v>
      </c>
      <c r="AZ17" s="85">
        <v>283.73599478</v>
      </c>
      <c r="BA17" s="85">
        <v>296.53855365999999</v>
      </c>
      <c r="BB17" s="85">
        <v>304.39618365000001</v>
      </c>
      <c r="BC17" s="85">
        <v>300.42529521000006</v>
      </c>
      <c r="BD17" s="85">
        <v>280.12740073999998</v>
      </c>
      <c r="BE17" s="85">
        <v>301.60478201999996</v>
      </c>
      <c r="BF17" s="85">
        <f t="shared" si="10"/>
        <v>3333.3007443200004</v>
      </c>
      <c r="BG17" s="85">
        <f>BG18+BG19+BG20</f>
        <v>3333.2820460000003</v>
      </c>
      <c r="BH17" s="85">
        <v>313.54847843999983</v>
      </c>
      <c r="BI17" s="85">
        <v>238.27850840999992</v>
      </c>
      <c r="BJ17" s="85">
        <v>254.75982581000011</v>
      </c>
      <c r="BK17" s="85">
        <v>306.87713909000001</v>
      </c>
      <c r="BL17" s="85">
        <v>287.72619432000005</v>
      </c>
      <c r="BM17" s="85">
        <v>319.93557836000014</v>
      </c>
      <c r="BN17" s="85">
        <v>338.25255080999995</v>
      </c>
      <c r="BO17" s="85">
        <v>338.21676145000004</v>
      </c>
      <c r="BP17" s="85">
        <v>344.50808108000001</v>
      </c>
      <c r="BQ17" s="85">
        <v>315.72944667999991</v>
      </c>
      <c r="BR17" s="85">
        <v>321.43064076000002</v>
      </c>
      <c r="BS17" s="85">
        <v>339.48083243000008</v>
      </c>
      <c r="BT17" s="88">
        <f t="shared" si="15"/>
        <v>3718.7440376400004</v>
      </c>
      <c r="BU17" s="85">
        <f>BU18+BU19+BU20</f>
        <v>3718.7440379999998</v>
      </c>
      <c r="BV17" s="85">
        <v>330.50913784999995</v>
      </c>
      <c r="BW17" s="85">
        <v>282.33658352999993</v>
      </c>
      <c r="BX17" s="85">
        <v>281.93751958999997</v>
      </c>
      <c r="BY17" s="85">
        <v>332.56147730999993</v>
      </c>
      <c r="BZ17" s="85">
        <v>308.92621958000007</v>
      </c>
      <c r="CA17" s="85">
        <v>340.09424819000014</v>
      </c>
      <c r="CB17" s="85">
        <v>333.60135622999996</v>
      </c>
      <c r="CC17" s="85">
        <v>336.85531549000001</v>
      </c>
      <c r="CD17" s="85">
        <v>363.22431135000016</v>
      </c>
      <c r="CE17" s="85">
        <v>347.49738600000006</v>
      </c>
      <c r="CF17" s="85">
        <v>323.06794273999998</v>
      </c>
      <c r="CG17" s="85">
        <v>357.77193879000004</v>
      </c>
      <c r="CH17" s="88">
        <f t="shared" si="16"/>
        <v>3938.3834366500005</v>
      </c>
      <c r="CI17" s="85">
        <f>CI18+CI19+CI20</f>
        <v>3938.3834359999996</v>
      </c>
      <c r="CJ17" s="85">
        <v>338.19643449999995</v>
      </c>
      <c r="CK17" s="85">
        <v>294.56403717999996</v>
      </c>
      <c r="CL17" s="85">
        <v>254.58353543000001</v>
      </c>
      <c r="CM17" s="85">
        <v>284.60980422999995</v>
      </c>
      <c r="CN17" s="85">
        <v>254.35426491999999</v>
      </c>
      <c r="CO17" s="85">
        <v>306.98885779000022</v>
      </c>
      <c r="CP17" s="85">
        <v>341.49791217999996</v>
      </c>
      <c r="CQ17" s="185">
        <v>358.12447258000009</v>
      </c>
      <c r="CR17" s="88">
        <v>358.44936065000002</v>
      </c>
      <c r="CS17" s="88">
        <v>358.43981076</v>
      </c>
      <c r="CT17" s="88">
        <v>350.22534357000001</v>
      </c>
      <c r="CU17" s="88">
        <v>334.15310033999998</v>
      </c>
      <c r="CV17" s="88">
        <f t="shared" si="21"/>
        <v>3834.1869341300003</v>
      </c>
      <c r="CW17" s="85">
        <f>CW18+CW19+CW20</f>
        <v>3834.1869340000003</v>
      </c>
      <c r="CX17" s="88">
        <v>331.65799475000023</v>
      </c>
      <c r="CY17" s="88">
        <v>297.94540603999997</v>
      </c>
      <c r="CZ17" s="88">
        <v>262.87844720999999</v>
      </c>
      <c r="DA17" s="88">
        <v>364.6354298</v>
      </c>
      <c r="DB17" s="88">
        <v>332.26023284999997</v>
      </c>
      <c r="DC17" s="88">
        <v>363.24318590000013</v>
      </c>
      <c r="DD17" s="88">
        <v>408.07442636000007</v>
      </c>
      <c r="DE17" s="88">
        <v>390.36981166000021</v>
      </c>
      <c r="DF17" s="88">
        <v>373.75182788999996</v>
      </c>
      <c r="DG17" s="88">
        <v>409.06557903000004</v>
      </c>
      <c r="DH17" s="88">
        <v>348.60056982000009</v>
      </c>
      <c r="DI17" s="88">
        <v>239.35404581999993</v>
      </c>
      <c r="DJ17" s="88">
        <f t="shared" si="22"/>
        <v>4121.8369571300009</v>
      </c>
      <c r="DK17" s="85">
        <f>DK18+DK19+DK20</f>
        <v>4121.8369570000004</v>
      </c>
      <c r="DL17" s="85">
        <v>436.89547409999994</v>
      </c>
      <c r="DM17" s="85">
        <v>343.28456676000008</v>
      </c>
      <c r="DN17" s="85">
        <v>318.62553228000002</v>
      </c>
      <c r="DO17" s="85">
        <v>444.64213990000002</v>
      </c>
      <c r="DP17" s="85">
        <v>353.84274019000003</v>
      </c>
      <c r="DQ17" s="85">
        <v>429.91112923000009</v>
      </c>
      <c r="DR17" s="85">
        <v>450.84646225</v>
      </c>
      <c r="DS17" s="85">
        <v>421.06747898000003</v>
      </c>
      <c r="DT17" s="85">
        <v>404.00319265999997</v>
      </c>
      <c r="DU17" s="85">
        <v>458.55119419000005</v>
      </c>
      <c r="DV17" s="85">
        <v>477.92892660000001</v>
      </c>
      <c r="DW17" s="85">
        <v>449.69893338999998</v>
      </c>
      <c r="DX17" s="88">
        <f t="shared" si="23"/>
        <v>4989.29777053</v>
      </c>
      <c r="DY17" s="85">
        <f>DY18+DY19+DY20</f>
        <v>4989.2977689999998</v>
      </c>
      <c r="DZ17" s="85">
        <v>526.08027885000001</v>
      </c>
      <c r="EA17" s="85">
        <v>404.6139822099999</v>
      </c>
      <c r="EB17" s="85">
        <v>441.05854564999999</v>
      </c>
      <c r="EC17" s="85">
        <v>463.77579973999997</v>
      </c>
      <c r="ED17" s="85">
        <v>401.75729967000001</v>
      </c>
      <c r="EE17" s="85">
        <v>430.67532429000005</v>
      </c>
      <c r="EF17" s="85">
        <v>457.96821406999993</v>
      </c>
      <c r="EG17" s="85">
        <v>432.12222761000004</v>
      </c>
      <c r="EH17" s="85">
        <v>454.60263272999993</v>
      </c>
      <c r="EI17" s="85">
        <v>467.09780219999999</v>
      </c>
      <c r="EJ17" s="85">
        <v>402.58569424999996</v>
      </c>
      <c r="EK17" s="85">
        <v>437.88978357000008</v>
      </c>
      <c r="EL17" s="88">
        <f t="shared" si="17"/>
        <v>5320.2275848399995</v>
      </c>
      <c r="EM17" s="85">
        <f>EM18+EM19+EM20</f>
        <v>5320.227586</v>
      </c>
      <c r="EN17" s="85">
        <v>481.93385056</v>
      </c>
      <c r="EO17" s="85">
        <v>374.18459430000001</v>
      </c>
      <c r="EP17" s="85">
        <v>401.02036353</v>
      </c>
      <c r="EQ17" s="85">
        <v>392.32557656000006</v>
      </c>
      <c r="ER17" s="85">
        <v>428.23288407999996</v>
      </c>
      <c r="ES17" s="85">
        <v>512.73672293999994</v>
      </c>
      <c r="ET17" s="85">
        <v>430.25507226999997</v>
      </c>
      <c r="EU17" s="85">
        <v>461.50572820999997</v>
      </c>
      <c r="EV17" s="85">
        <v>475.68259329</v>
      </c>
      <c r="EW17" s="85">
        <v>467.86032359000006</v>
      </c>
      <c r="EX17" s="85">
        <v>452.39405193000005</v>
      </c>
      <c r="EY17" s="85">
        <v>495.06971055999992</v>
      </c>
      <c r="EZ17" s="88">
        <f t="shared" si="18"/>
        <v>5373.2014718200007</v>
      </c>
      <c r="FA17" s="85">
        <f>FA18+FA19+FA20</f>
        <v>5373.2014730000001</v>
      </c>
      <c r="FB17" s="85">
        <v>471.47759225999994</v>
      </c>
      <c r="FC17" s="85">
        <v>412.29085031999989</v>
      </c>
      <c r="FD17" s="85">
        <v>401.74165784999997</v>
      </c>
      <c r="FE17" s="85">
        <v>463.95485793</v>
      </c>
      <c r="FF17" s="85">
        <v>472.84803924999994</v>
      </c>
      <c r="FG17" s="85">
        <v>473.86270486000001</v>
      </c>
      <c r="FH17" s="85">
        <v>467.55921628000004</v>
      </c>
      <c r="FI17" s="85">
        <v>493.60906688</v>
      </c>
      <c r="FJ17" s="85">
        <v>483.79831576000004</v>
      </c>
      <c r="FK17" s="85">
        <v>509.66623312999991</v>
      </c>
      <c r="FL17" s="85">
        <v>488.84121003000001</v>
      </c>
      <c r="FM17" s="85">
        <v>524.40882712000007</v>
      </c>
      <c r="FN17" s="88">
        <f t="shared" si="11"/>
        <v>5664.0585716699998</v>
      </c>
      <c r="FO17" s="85">
        <v>518.08484423999994</v>
      </c>
      <c r="FP17" s="85">
        <v>447.52058060000002</v>
      </c>
      <c r="FQ17" s="85">
        <v>414.3795437</v>
      </c>
      <c r="FR17" s="85">
        <v>540.22172358</v>
      </c>
      <c r="FS17" s="85"/>
      <c r="FT17" s="85"/>
      <c r="FU17" s="85"/>
      <c r="FV17" s="85"/>
      <c r="FW17" s="85"/>
      <c r="FX17" s="85"/>
      <c r="FY17" s="85"/>
      <c r="FZ17" s="85"/>
      <c r="GA17" s="307">
        <f t="shared" si="19"/>
        <v>1749.464958</v>
      </c>
      <c r="GB17" s="307">
        <f t="shared" si="20"/>
        <v>1920.206692</v>
      </c>
      <c r="GC17" s="308">
        <f t="shared" si="12"/>
        <v>170.74173399999995</v>
      </c>
      <c r="GD17" s="308">
        <f t="shared" si="13"/>
        <v>9.7596544142954968</v>
      </c>
    </row>
    <row r="18" spans="1:186" s="12" customFormat="1" ht="20.5">
      <c r="A18" s="71" t="s">
        <v>54</v>
      </c>
      <c r="B18" s="13" t="s">
        <v>55</v>
      </c>
      <c r="C18" s="47" t="s">
        <v>56</v>
      </c>
      <c r="D18" s="45">
        <v>193.157231</v>
      </c>
      <c r="E18" s="50">
        <v>109.30025500000001</v>
      </c>
      <c r="F18" s="50">
        <v>119.640603</v>
      </c>
      <c r="G18" s="50">
        <v>151.299755</v>
      </c>
      <c r="H18" s="50">
        <v>131.94423900000001</v>
      </c>
      <c r="I18" s="50">
        <v>172.240635</v>
      </c>
      <c r="J18" s="50">
        <v>153.10921862000001</v>
      </c>
      <c r="K18" s="50">
        <v>169.16682900000001</v>
      </c>
      <c r="L18" s="50">
        <v>167.45422997999998</v>
      </c>
      <c r="M18" s="50">
        <v>136.02338406000001</v>
      </c>
      <c r="N18" s="50">
        <v>159.25278201000003</v>
      </c>
      <c r="O18" s="50">
        <v>141.12171398000001</v>
      </c>
      <c r="P18" s="85">
        <f t="shared" si="7"/>
        <v>1803.7108756500002</v>
      </c>
      <c r="Q18" s="44">
        <v>1803.7108760000001</v>
      </c>
      <c r="R18" s="50">
        <v>195.85518510999998</v>
      </c>
      <c r="S18" s="50">
        <v>111.55879289000001</v>
      </c>
      <c r="T18" s="50">
        <v>126.83421593999999</v>
      </c>
      <c r="U18" s="50">
        <v>164.12995512000001</v>
      </c>
      <c r="V18" s="50">
        <v>147.94360851000002</v>
      </c>
      <c r="W18" s="50">
        <v>167.16480282000001</v>
      </c>
      <c r="X18" s="50">
        <v>156.23052010000001</v>
      </c>
      <c r="Y18" s="50">
        <v>174.42611324000001</v>
      </c>
      <c r="Z18" s="50">
        <v>160.71261931000001</v>
      </c>
      <c r="AA18" s="50">
        <v>174.71547671000002</v>
      </c>
      <c r="AB18" s="50">
        <v>177.20929921999999</v>
      </c>
      <c r="AC18" s="50">
        <v>146.79276353</v>
      </c>
      <c r="AD18" s="85">
        <f t="shared" si="8"/>
        <v>1903.5733525000001</v>
      </c>
      <c r="AE18" s="85">
        <v>1903.5733520000001</v>
      </c>
      <c r="AF18" s="85">
        <v>183.31981141000003</v>
      </c>
      <c r="AG18" s="85">
        <v>127.01537313999999</v>
      </c>
      <c r="AH18" s="85">
        <v>143.28984392000001</v>
      </c>
      <c r="AI18" s="85">
        <v>163.24171190999999</v>
      </c>
      <c r="AJ18" s="85">
        <v>164.45248280000001</v>
      </c>
      <c r="AK18" s="85">
        <v>174.86393899999999</v>
      </c>
      <c r="AL18" s="85">
        <v>177.90379772</v>
      </c>
      <c r="AM18" s="85">
        <v>170.19623402000002</v>
      </c>
      <c r="AN18" s="85">
        <v>180.17024107000003</v>
      </c>
      <c r="AO18" s="85">
        <v>183.46651279999998</v>
      </c>
      <c r="AP18" s="85">
        <v>174.33822691000003</v>
      </c>
      <c r="AQ18" s="85">
        <v>176.63724355000002</v>
      </c>
      <c r="AR18" s="85">
        <f t="shared" si="9"/>
        <v>2018.8954182499999</v>
      </c>
      <c r="AS18" s="85">
        <v>2018.8954180000001</v>
      </c>
      <c r="AT18" s="85">
        <v>210.52298981999999</v>
      </c>
      <c r="AU18" s="85">
        <v>118.99255610000002</v>
      </c>
      <c r="AV18" s="85">
        <v>148.10282532999997</v>
      </c>
      <c r="AW18" s="85">
        <v>186.97635074000002</v>
      </c>
      <c r="AX18" s="85">
        <v>170.97870240999998</v>
      </c>
      <c r="AY18" s="85">
        <v>185.83319803000001</v>
      </c>
      <c r="AZ18" s="85">
        <v>180.66670752000002</v>
      </c>
      <c r="BA18" s="85">
        <v>196.71585393999999</v>
      </c>
      <c r="BB18" s="85">
        <v>199.33320000999998</v>
      </c>
      <c r="BC18" s="85">
        <v>201.21672025000001</v>
      </c>
      <c r="BD18" s="85">
        <v>185.54479760999999</v>
      </c>
      <c r="BE18" s="85">
        <v>202.86799911000003</v>
      </c>
      <c r="BF18" s="85">
        <f t="shared" si="10"/>
        <v>2187.7519008700001</v>
      </c>
      <c r="BG18" s="85">
        <v>2187.7519010000001</v>
      </c>
      <c r="BH18" s="85">
        <v>204.37609752</v>
      </c>
      <c r="BI18" s="85">
        <v>149.91155864999999</v>
      </c>
      <c r="BJ18" s="85">
        <v>164.13907448</v>
      </c>
      <c r="BK18" s="85">
        <v>201.08871765000001</v>
      </c>
      <c r="BL18" s="85">
        <v>190.62738694999999</v>
      </c>
      <c r="BM18" s="85">
        <v>207.19511937000001</v>
      </c>
      <c r="BN18" s="85">
        <v>220.72023086999999</v>
      </c>
      <c r="BO18" s="85">
        <v>224.21628387000001</v>
      </c>
      <c r="BP18" s="85">
        <v>230.49635628000001</v>
      </c>
      <c r="BQ18" s="85">
        <v>207.09512849000001</v>
      </c>
      <c r="BR18" s="85">
        <v>215.80597918000001</v>
      </c>
      <c r="BS18" s="85">
        <v>241.29659856000001</v>
      </c>
      <c r="BT18" s="88">
        <f t="shared" si="15"/>
        <v>2456.9685318699999</v>
      </c>
      <c r="BU18" s="85">
        <v>2456.9685319999999</v>
      </c>
      <c r="BV18" s="85">
        <v>214.12216085</v>
      </c>
      <c r="BW18" s="85">
        <v>189.67648955000001</v>
      </c>
      <c r="BX18" s="85">
        <v>182.61135922</v>
      </c>
      <c r="BY18" s="85">
        <v>220.75818766999998</v>
      </c>
      <c r="BZ18" s="85">
        <v>202.56825332</v>
      </c>
      <c r="CA18" s="85">
        <v>228.45286518</v>
      </c>
      <c r="CB18" s="85">
        <v>218.39993038</v>
      </c>
      <c r="CC18" s="85">
        <v>228.15742975000001</v>
      </c>
      <c r="CD18" s="85">
        <v>246.06554786999999</v>
      </c>
      <c r="CE18" s="85">
        <v>234.78656058999999</v>
      </c>
      <c r="CF18" s="85">
        <v>225.72968612</v>
      </c>
      <c r="CG18" s="85">
        <v>257.01818082</v>
      </c>
      <c r="CH18" s="88">
        <f t="shared" si="16"/>
        <v>2648.3466513200005</v>
      </c>
      <c r="CI18" s="85">
        <v>2648.3466509999998</v>
      </c>
      <c r="CJ18" s="85">
        <v>219.17742745999999</v>
      </c>
      <c r="CK18" s="85">
        <v>199.47310185000001</v>
      </c>
      <c r="CL18" s="85">
        <v>163.05346901999999</v>
      </c>
      <c r="CM18" s="85">
        <v>181.28259706</v>
      </c>
      <c r="CN18" s="85">
        <v>161.38010387</v>
      </c>
      <c r="CO18" s="85">
        <v>204.26915094</v>
      </c>
      <c r="CP18" s="85">
        <v>218.83385175000001</v>
      </c>
      <c r="CQ18" s="185">
        <v>238.55673322000001</v>
      </c>
      <c r="CR18" s="88">
        <v>238.99603074000001</v>
      </c>
      <c r="CS18" s="88">
        <v>237.77250714000002</v>
      </c>
      <c r="CT18" s="88">
        <v>248.70658576000002</v>
      </c>
      <c r="CU18" s="88">
        <v>233.15730057999997</v>
      </c>
      <c r="CV18" s="88">
        <f t="shared" si="21"/>
        <v>2544.6588593900001</v>
      </c>
      <c r="CW18" s="88">
        <v>2544.6588590000001</v>
      </c>
      <c r="CX18" s="88">
        <v>218.35477900000006</v>
      </c>
      <c r="CY18" s="88">
        <v>209.04308809</v>
      </c>
      <c r="CZ18" s="88">
        <v>168.040279</v>
      </c>
      <c r="DA18" s="88">
        <v>240.62127121999998</v>
      </c>
      <c r="DB18" s="88">
        <v>233.94073158999998</v>
      </c>
      <c r="DC18" s="88">
        <v>251.11796762</v>
      </c>
      <c r="DD18" s="88">
        <v>272.44773908000002</v>
      </c>
      <c r="DE18" s="88">
        <v>266.64371106999999</v>
      </c>
      <c r="DF18" s="88">
        <v>255.51329713999999</v>
      </c>
      <c r="DG18" s="88">
        <v>281.78393399999999</v>
      </c>
      <c r="DH18" s="88">
        <v>244.09561505000002</v>
      </c>
      <c r="DI18" s="88">
        <v>120.89054773000001</v>
      </c>
      <c r="DJ18" s="88">
        <f t="shared" si="22"/>
        <v>2762.4929605900002</v>
      </c>
      <c r="DK18" s="85">
        <v>2762.4929609999999</v>
      </c>
      <c r="DL18" s="85">
        <v>305.15682826</v>
      </c>
      <c r="DM18" s="85">
        <v>241.22451790999997</v>
      </c>
      <c r="DN18" s="85">
        <v>213.27002125000001</v>
      </c>
      <c r="DO18" s="85">
        <v>317.51033463000005</v>
      </c>
      <c r="DP18" s="85">
        <v>241.87598450999997</v>
      </c>
      <c r="DQ18" s="85">
        <v>307.37908601000004</v>
      </c>
      <c r="DR18" s="85">
        <v>318.39030732999998</v>
      </c>
      <c r="DS18" s="85">
        <v>302.72456161000002</v>
      </c>
      <c r="DT18" s="85">
        <v>275.43128775999998</v>
      </c>
      <c r="DU18" s="85">
        <v>329.14276414</v>
      </c>
      <c r="DV18" s="85">
        <v>364.47679590000001</v>
      </c>
      <c r="DW18" s="85">
        <v>342.08847143999998</v>
      </c>
      <c r="DX18" s="88">
        <f t="shared" si="23"/>
        <v>3558.6709607500002</v>
      </c>
      <c r="DY18" s="85">
        <v>3558.6709599999999</v>
      </c>
      <c r="DZ18" s="85">
        <v>386.10967128999999</v>
      </c>
      <c r="EA18" s="85">
        <v>301.80614191999996</v>
      </c>
      <c r="EB18" s="85">
        <v>325.43222743999996</v>
      </c>
      <c r="EC18" s="85">
        <v>338.49891364999996</v>
      </c>
      <c r="ED18" s="85">
        <v>289.73330856000001</v>
      </c>
      <c r="EE18" s="85">
        <v>305.09090129000003</v>
      </c>
      <c r="EF18" s="85">
        <v>323.28390615999996</v>
      </c>
      <c r="EG18" s="85">
        <v>312.93571600999996</v>
      </c>
      <c r="EH18" s="85">
        <v>329.26568889999999</v>
      </c>
      <c r="EI18" s="85">
        <v>341.81099528999999</v>
      </c>
      <c r="EJ18" s="85">
        <v>294.74851663999999</v>
      </c>
      <c r="EK18" s="85">
        <v>330.79873814000007</v>
      </c>
      <c r="EL18" s="88">
        <f t="shared" si="17"/>
        <v>3879.5147252899997</v>
      </c>
      <c r="EM18" s="85">
        <v>3879.514725</v>
      </c>
      <c r="EN18" s="85">
        <v>342.50642629999999</v>
      </c>
      <c r="EO18" s="85">
        <v>264.23297828</v>
      </c>
      <c r="EP18" s="85">
        <v>295.02499803999996</v>
      </c>
      <c r="EQ18" s="85">
        <v>257.97659249000003</v>
      </c>
      <c r="ER18" s="85">
        <v>311.42055184999998</v>
      </c>
      <c r="ES18" s="85">
        <v>385.26376006999999</v>
      </c>
      <c r="ET18" s="85">
        <v>291.92520031999999</v>
      </c>
      <c r="EU18" s="85">
        <v>335.26407283999998</v>
      </c>
      <c r="EV18" s="85">
        <v>348.50577060999996</v>
      </c>
      <c r="EW18" s="85">
        <v>330.67379256000004</v>
      </c>
      <c r="EX18" s="85">
        <v>336.31847909000004</v>
      </c>
      <c r="EY18" s="85">
        <v>383.24940474000005</v>
      </c>
      <c r="EZ18" s="88">
        <f t="shared" si="18"/>
        <v>3882.3620271900004</v>
      </c>
      <c r="FA18" s="85">
        <v>3882.3620270000001</v>
      </c>
      <c r="FB18" s="85">
        <v>327.39997848999997</v>
      </c>
      <c r="FC18" s="85">
        <v>299.04544184999997</v>
      </c>
      <c r="FD18" s="85">
        <v>286.97640398999999</v>
      </c>
      <c r="FE18" s="85">
        <v>324.08337886999999</v>
      </c>
      <c r="FF18" s="85">
        <v>341.89799519999997</v>
      </c>
      <c r="FG18" s="85">
        <v>353.14339132999999</v>
      </c>
      <c r="FH18" s="85">
        <v>322.24170879000002</v>
      </c>
      <c r="FI18" s="85">
        <v>362.20796027</v>
      </c>
      <c r="FJ18" s="85">
        <v>351.63367726999996</v>
      </c>
      <c r="FK18" s="85">
        <v>365.58698776</v>
      </c>
      <c r="FL18" s="85">
        <v>368.36426121</v>
      </c>
      <c r="FM18" s="85">
        <v>397.15842108000004</v>
      </c>
      <c r="FN18" s="88">
        <f t="shared" si="11"/>
        <v>4099.7396061099998</v>
      </c>
      <c r="FO18" s="85">
        <v>365.46684836999998</v>
      </c>
      <c r="FP18" s="85">
        <v>325.80093109000001</v>
      </c>
      <c r="FQ18" s="85">
        <v>289.94353837999995</v>
      </c>
      <c r="FR18" s="85">
        <v>388.96000047000001</v>
      </c>
      <c r="FS18" s="85"/>
      <c r="FT18" s="85"/>
      <c r="FU18" s="85"/>
      <c r="FV18" s="85"/>
      <c r="FW18" s="85"/>
      <c r="FX18" s="85"/>
      <c r="FY18" s="85"/>
      <c r="FZ18" s="85"/>
      <c r="GA18" s="307">
        <f t="shared" si="19"/>
        <v>1237.5052029999999</v>
      </c>
      <c r="GB18" s="307">
        <f t="shared" si="20"/>
        <v>1370.1713179999999</v>
      </c>
      <c r="GC18" s="308">
        <f t="shared" si="12"/>
        <v>132.66611499999999</v>
      </c>
      <c r="GD18" s="308">
        <f t="shared" si="13"/>
        <v>10.720449067881617</v>
      </c>
    </row>
    <row r="19" spans="1:186" s="12" customFormat="1" ht="20.5">
      <c r="A19" s="71" t="s">
        <v>57</v>
      </c>
      <c r="B19" s="13" t="s">
        <v>58</v>
      </c>
      <c r="C19" s="47" t="s">
        <v>59</v>
      </c>
      <c r="D19" s="45">
        <v>66.739440999999999</v>
      </c>
      <c r="E19" s="50">
        <v>51.166615</v>
      </c>
      <c r="F19" s="50">
        <v>52.370136000000002</v>
      </c>
      <c r="G19" s="50">
        <v>61.024819000000001</v>
      </c>
      <c r="H19" s="50">
        <v>58.913553</v>
      </c>
      <c r="I19" s="50">
        <v>65.518063999999995</v>
      </c>
      <c r="J19" s="50">
        <v>66.494169570000011</v>
      </c>
      <c r="K19" s="50">
        <v>69.305045000000007</v>
      </c>
      <c r="L19" s="50">
        <v>67.349203079999995</v>
      </c>
      <c r="M19" s="50">
        <v>63.97557865000001</v>
      </c>
      <c r="N19" s="50">
        <v>65.340900519999991</v>
      </c>
      <c r="O19" s="50">
        <v>60.398081740000016</v>
      </c>
      <c r="P19" s="85">
        <f t="shared" si="7"/>
        <v>748.59560656000008</v>
      </c>
      <c r="Q19" s="44">
        <v>748.59560699999997</v>
      </c>
      <c r="R19" s="50">
        <v>69.131329479999991</v>
      </c>
      <c r="S19" s="50">
        <v>54.626979419999998</v>
      </c>
      <c r="T19" s="50">
        <v>57.344745349999997</v>
      </c>
      <c r="U19" s="50">
        <v>64.885803249999995</v>
      </c>
      <c r="V19" s="50">
        <v>63.478285879999994</v>
      </c>
      <c r="W19" s="50">
        <v>65.273663380000002</v>
      </c>
      <c r="X19" s="50">
        <v>70.818015249999988</v>
      </c>
      <c r="Y19" s="50">
        <v>71.380233019999991</v>
      </c>
      <c r="Z19" s="50">
        <v>73.942910450000014</v>
      </c>
      <c r="AA19" s="50">
        <v>69.43074301</v>
      </c>
      <c r="AB19" s="50">
        <v>69.296714399999985</v>
      </c>
      <c r="AC19" s="50">
        <v>66.683166159999999</v>
      </c>
      <c r="AD19" s="85">
        <f t="shared" si="8"/>
        <v>796.29258904999995</v>
      </c>
      <c r="AE19" s="85">
        <v>796.29258900000002</v>
      </c>
      <c r="AF19" s="85">
        <v>69.893747950000034</v>
      </c>
      <c r="AG19" s="85">
        <v>62.847186190000009</v>
      </c>
      <c r="AH19" s="85">
        <v>60.453423570000005</v>
      </c>
      <c r="AI19" s="85">
        <v>68.180902589999988</v>
      </c>
      <c r="AJ19" s="85">
        <v>71.182647299999999</v>
      </c>
      <c r="AK19" s="85">
        <v>76.036618309999994</v>
      </c>
      <c r="AL19" s="85">
        <v>74.148619929999981</v>
      </c>
      <c r="AM19" s="85">
        <v>75.798546439999996</v>
      </c>
      <c r="AN19" s="85">
        <v>80.900494660000021</v>
      </c>
      <c r="AO19" s="85">
        <v>74.773888770000028</v>
      </c>
      <c r="AP19" s="85">
        <v>74.775466170000001</v>
      </c>
      <c r="AQ19" s="85">
        <v>72.018300909999994</v>
      </c>
      <c r="AR19" s="85">
        <f t="shared" si="9"/>
        <v>861.00984278999999</v>
      </c>
      <c r="AS19" s="85">
        <v>861.00984300000005</v>
      </c>
      <c r="AT19" s="85">
        <v>73.958544279999998</v>
      </c>
      <c r="AU19" s="85">
        <v>65.000137600000002</v>
      </c>
      <c r="AV19" s="85">
        <v>63.586354440000001</v>
      </c>
      <c r="AW19" s="85">
        <v>70.353395280000001</v>
      </c>
      <c r="AX19" s="85">
        <v>73.76425691</v>
      </c>
      <c r="AY19" s="85">
        <v>81.720163170000006</v>
      </c>
      <c r="AZ19" s="85">
        <v>77.435438270000006</v>
      </c>
      <c r="BA19" s="85">
        <v>81.838067769999995</v>
      </c>
      <c r="BB19" s="85">
        <v>87.040423340000004</v>
      </c>
      <c r="BC19" s="85">
        <v>75.13277656999999</v>
      </c>
      <c r="BD19" s="85">
        <v>78.623796470000002</v>
      </c>
      <c r="BE19" s="85">
        <v>78.567804440000003</v>
      </c>
      <c r="BF19" s="85">
        <f t="shared" si="10"/>
        <v>907.02115853999999</v>
      </c>
      <c r="BG19" s="85">
        <v>907.00246000000004</v>
      </c>
      <c r="BH19" s="85">
        <v>78.380427980000007</v>
      </c>
      <c r="BI19" s="85">
        <v>72.050875470000008</v>
      </c>
      <c r="BJ19" s="85">
        <v>73.067936459999999</v>
      </c>
      <c r="BK19" s="85">
        <v>82.708648690000018</v>
      </c>
      <c r="BL19" s="85">
        <v>80.300244059999983</v>
      </c>
      <c r="BM19" s="85">
        <v>95.330260679999995</v>
      </c>
      <c r="BN19" s="85">
        <v>93.795984349999998</v>
      </c>
      <c r="BO19" s="85">
        <v>97.583045370000008</v>
      </c>
      <c r="BP19" s="85">
        <v>97.29460241999999</v>
      </c>
      <c r="BQ19" s="85">
        <v>85.281813780000007</v>
      </c>
      <c r="BR19" s="85">
        <v>91.143385759999973</v>
      </c>
      <c r="BS19" s="85">
        <v>82.276838420000004</v>
      </c>
      <c r="BT19" s="88">
        <f t="shared" si="15"/>
        <v>1029.21406344</v>
      </c>
      <c r="BU19" s="85">
        <v>1029.2140629999999</v>
      </c>
      <c r="BV19" s="85">
        <v>89.964804270000002</v>
      </c>
      <c r="BW19" s="85">
        <v>78.58715174000001</v>
      </c>
      <c r="BX19" s="85">
        <v>80.675586719999998</v>
      </c>
      <c r="BY19" s="85">
        <v>88.41034741</v>
      </c>
      <c r="BZ19" s="85">
        <v>87.330997550000006</v>
      </c>
      <c r="CA19" s="85">
        <v>95.749043650000004</v>
      </c>
      <c r="CB19" s="85">
        <v>91.565102039999985</v>
      </c>
      <c r="CC19" s="85">
        <v>93.598704659999996</v>
      </c>
      <c r="CD19" s="85">
        <v>99.983932100000004</v>
      </c>
      <c r="CE19" s="85">
        <v>88.173631019999988</v>
      </c>
      <c r="CF19" s="85">
        <v>84.54278137999998</v>
      </c>
      <c r="CG19" s="85">
        <v>85.472943020000017</v>
      </c>
      <c r="CH19" s="88">
        <f t="shared" si="16"/>
        <v>1064.0550255600001</v>
      </c>
      <c r="CI19" s="85">
        <v>1064.0550249999999</v>
      </c>
      <c r="CJ19" s="85">
        <v>91.227132470000001</v>
      </c>
      <c r="CK19" s="85">
        <v>78.474114360000002</v>
      </c>
      <c r="CL19" s="85">
        <v>71.947078020000006</v>
      </c>
      <c r="CM19" s="85">
        <v>80.2903479</v>
      </c>
      <c r="CN19" s="85">
        <v>79.396007060000002</v>
      </c>
      <c r="CO19" s="85">
        <v>87.892598369999988</v>
      </c>
      <c r="CP19" s="85">
        <v>98.363117439999996</v>
      </c>
      <c r="CQ19" s="185">
        <v>102.65536318000002</v>
      </c>
      <c r="CR19" s="88">
        <v>101.34110115999999</v>
      </c>
      <c r="CS19" s="88">
        <v>95.319154620000006</v>
      </c>
      <c r="CT19" s="88">
        <v>87.52151022000001</v>
      </c>
      <c r="CU19" s="88">
        <v>85.256483129999992</v>
      </c>
      <c r="CV19" s="88">
        <f t="shared" si="21"/>
        <v>1059.68400793</v>
      </c>
      <c r="CW19" s="88">
        <v>1059.6840079999999</v>
      </c>
      <c r="CX19" s="88">
        <v>88.145899</v>
      </c>
      <c r="CY19" s="88">
        <v>75.317371249999994</v>
      </c>
      <c r="CZ19" s="88">
        <v>75.639572880000017</v>
      </c>
      <c r="DA19" s="88">
        <v>97.130311410000004</v>
      </c>
      <c r="DB19" s="88">
        <v>82.14008299000001</v>
      </c>
      <c r="DC19" s="88">
        <v>94.391854240000001</v>
      </c>
      <c r="DD19" s="88">
        <v>105.34232808</v>
      </c>
      <c r="DE19" s="88">
        <v>106.11534505000002</v>
      </c>
      <c r="DF19" s="88">
        <v>98.114018129999977</v>
      </c>
      <c r="DG19" s="88">
        <v>96.822309000000004</v>
      </c>
      <c r="DH19" s="88">
        <v>87.558833309999997</v>
      </c>
      <c r="DI19" s="88">
        <v>98.122540729999997</v>
      </c>
      <c r="DJ19" s="88">
        <f t="shared" si="22"/>
        <v>1104.84046607</v>
      </c>
      <c r="DK19" s="85">
        <v>1104.8404660000001</v>
      </c>
      <c r="DL19" s="85">
        <v>94.489587659999998</v>
      </c>
      <c r="DM19" s="85">
        <v>85.432088590000006</v>
      </c>
      <c r="DN19" s="85">
        <v>83.467417219999987</v>
      </c>
      <c r="DO19" s="85">
        <v>94.762113360000015</v>
      </c>
      <c r="DP19" s="85">
        <v>89.708789330000002</v>
      </c>
      <c r="DQ19" s="85">
        <v>99.295791589999993</v>
      </c>
      <c r="DR19" s="85">
        <v>97.606663669999989</v>
      </c>
      <c r="DS19" s="85">
        <v>99.319585369999999</v>
      </c>
      <c r="DT19" s="85">
        <v>108.36951241999998</v>
      </c>
      <c r="DU19" s="85">
        <v>96.951422370000017</v>
      </c>
      <c r="DV19" s="85">
        <v>96.244255089999996</v>
      </c>
      <c r="DW19" s="85">
        <v>85.386054009999995</v>
      </c>
      <c r="DX19" s="88">
        <f t="shared" si="23"/>
        <v>1131.03328068</v>
      </c>
      <c r="DY19" s="85">
        <v>1131.033281</v>
      </c>
      <c r="DZ19" s="85">
        <v>101.65742057</v>
      </c>
      <c r="EA19" s="85">
        <v>85.200088219999998</v>
      </c>
      <c r="EB19" s="85">
        <v>92.239320810000024</v>
      </c>
      <c r="EC19" s="85">
        <v>93.143622550000003</v>
      </c>
      <c r="ED19" s="85">
        <v>94.581915230000007</v>
      </c>
      <c r="EE19" s="85">
        <v>105.70550191999999</v>
      </c>
      <c r="EF19" s="85">
        <v>100.8234592</v>
      </c>
      <c r="EG19" s="85">
        <v>101.00952856000001</v>
      </c>
      <c r="EH19" s="85">
        <v>106.89766510000001</v>
      </c>
      <c r="EI19" s="85">
        <v>91.657523700000013</v>
      </c>
      <c r="EJ19" s="85">
        <v>92.613513190000006</v>
      </c>
      <c r="EK19" s="85">
        <v>89.23925869</v>
      </c>
      <c r="EL19" s="88">
        <f t="shared" si="17"/>
        <v>1154.7688177400003</v>
      </c>
      <c r="EM19" s="85">
        <v>1154.7688189999999</v>
      </c>
      <c r="EN19" s="85">
        <v>100.78356593000001</v>
      </c>
      <c r="EO19" s="85">
        <v>91.032900139999995</v>
      </c>
      <c r="EP19" s="85">
        <v>83.272342719999983</v>
      </c>
      <c r="EQ19" s="85">
        <v>98.178624989999989</v>
      </c>
      <c r="ER19" s="85">
        <v>97.76223573</v>
      </c>
      <c r="ES19" s="85">
        <v>107.28923574</v>
      </c>
      <c r="ET19" s="85">
        <v>101.98135866</v>
      </c>
      <c r="EU19" s="85">
        <v>109.54193059999999</v>
      </c>
      <c r="EV19" s="85">
        <v>107.15859218999999</v>
      </c>
      <c r="EW19" s="85">
        <v>101.29949929</v>
      </c>
      <c r="EX19" s="85">
        <v>100.66668283</v>
      </c>
      <c r="EY19" s="85">
        <v>91.830675939999992</v>
      </c>
      <c r="EZ19" s="88">
        <f t="shared" si="18"/>
        <v>1190.7976447599999</v>
      </c>
      <c r="FA19" s="85">
        <v>1190.797646</v>
      </c>
      <c r="FB19" s="85">
        <v>99.860340059999999</v>
      </c>
      <c r="FC19" s="85">
        <v>95.10325186</v>
      </c>
      <c r="FD19" s="85">
        <v>90.818549629999993</v>
      </c>
      <c r="FE19" s="85">
        <v>104.91310651999999</v>
      </c>
      <c r="FF19" s="85">
        <v>112.31231529999999</v>
      </c>
      <c r="FG19" s="85">
        <v>99.439710959999985</v>
      </c>
      <c r="FH19" s="85">
        <v>107.71003675999999</v>
      </c>
      <c r="FI19" s="85">
        <v>114.57613521</v>
      </c>
      <c r="FJ19" s="85">
        <v>110.13749369000001</v>
      </c>
      <c r="FK19" s="85">
        <v>106.96070463</v>
      </c>
      <c r="FL19" s="85">
        <v>104.06523453</v>
      </c>
      <c r="FM19" s="85">
        <v>98.886429530000015</v>
      </c>
      <c r="FN19" s="88">
        <f t="shared" si="11"/>
        <v>1244.7833086799999</v>
      </c>
      <c r="FO19" s="85">
        <v>107.47964455</v>
      </c>
      <c r="FP19" s="85">
        <v>104.03680531000001</v>
      </c>
      <c r="FQ19" s="85">
        <v>101.19427547000001</v>
      </c>
      <c r="FR19" s="85">
        <v>117.12522049</v>
      </c>
      <c r="FS19" s="85"/>
      <c r="FT19" s="85"/>
      <c r="FU19" s="85"/>
      <c r="FV19" s="85"/>
      <c r="FW19" s="85"/>
      <c r="FX19" s="85"/>
      <c r="FY19" s="85"/>
      <c r="FZ19" s="85"/>
      <c r="GA19" s="307">
        <f t="shared" si="19"/>
        <v>390.69524799999999</v>
      </c>
      <c r="GB19" s="307">
        <f t="shared" si="20"/>
        <v>429.83594599999998</v>
      </c>
      <c r="GC19" s="308">
        <f t="shared" si="12"/>
        <v>39.140697999999986</v>
      </c>
      <c r="GD19" s="308">
        <f t="shared" si="13"/>
        <v>10.018217063136632</v>
      </c>
    </row>
    <row r="20" spans="1:186" s="12" customFormat="1" ht="20.5">
      <c r="A20" s="71" t="s">
        <v>60</v>
      </c>
      <c r="B20" s="13"/>
      <c r="C20" s="47" t="s">
        <v>61</v>
      </c>
      <c r="D20" s="86">
        <f>D21+D22+D23+D24+D25+D26+D27+D28</f>
        <v>18.859175999999998</v>
      </c>
      <c r="E20" s="87">
        <f>E21+E22+E23+E24+E25+E26+E27+E28</f>
        <v>11.996338999999999</v>
      </c>
      <c r="F20" s="87">
        <f t="shared" ref="F20:M20" si="25">F21+F22+F23+F24+F25+F26+F27+F28</f>
        <v>15.812757999999999</v>
      </c>
      <c r="G20" s="87">
        <f t="shared" si="25"/>
        <v>19.969612000000001</v>
      </c>
      <c r="H20" s="87">
        <f t="shared" si="25"/>
        <v>17.570584</v>
      </c>
      <c r="I20" s="87">
        <f t="shared" si="25"/>
        <v>15.489409999999998</v>
      </c>
      <c r="J20" s="87">
        <f t="shared" si="25"/>
        <v>20.317039250000001</v>
      </c>
      <c r="K20" s="87">
        <f t="shared" si="25"/>
        <v>14.544630000000002</v>
      </c>
      <c r="L20" s="87">
        <f t="shared" si="25"/>
        <v>16.93648546</v>
      </c>
      <c r="M20" s="87">
        <f t="shared" si="25"/>
        <v>16.431924259999999</v>
      </c>
      <c r="N20" s="87">
        <f>N21+N22+N23+N24+N25+N26+N27+N28</f>
        <v>14.51008652</v>
      </c>
      <c r="O20" s="87">
        <f>O21+O22+O23+O24+O25+O26+O27+O28</f>
        <v>17.05851848</v>
      </c>
      <c r="P20" s="130">
        <f t="shared" si="7"/>
        <v>199.49656296999999</v>
      </c>
      <c r="Q20" s="130">
        <f>Q21+Q22+Q23+Q24+Q25+Q26+Q27+Q28</f>
        <v>199.49656299999998</v>
      </c>
      <c r="R20" s="87">
        <f>R21+R22+R23+R24+R25+R26+R27+R28</f>
        <v>25.023479199999997</v>
      </c>
      <c r="S20" s="87">
        <v>13.636759619999999</v>
      </c>
      <c r="T20" s="87">
        <v>17.957565119999998</v>
      </c>
      <c r="U20" s="87">
        <v>20.830230100000001</v>
      </c>
      <c r="V20" s="87">
        <v>15.228793599999999</v>
      </c>
      <c r="W20" s="87">
        <v>17.791905729999996</v>
      </c>
      <c r="X20" s="87">
        <v>22.490116139999998</v>
      </c>
      <c r="Y20" s="87">
        <v>14.739057599999999</v>
      </c>
      <c r="Z20" s="87">
        <v>17.497882660000002</v>
      </c>
      <c r="AA20" s="87">
        <v>21.836912540000004</v>
      </c>
      <c r="AB20" s="87">
        <v>14.015762179999999</v>
      </c>
      <c r="AC20" s="87">
        <v>18.276910570000002</v>
      </c>
      <c r="AD20" s="130">
        <f t="shared" si="8"/>
        <v>219.32537506</v>
      </c>
      <c r="AE20" s="130">
        <f>AE21+AE22+AE23+AE24+AE25+AE26+AE27+AE28</f>
        <v>219.32537500000001</v>
      </c>
      <c r="AF20" s="130">
        <v>22.515348219999996</v>
      </c>
      <c r="AG20" s="130">
        <v>15.228021739999999</v>
      </c>
      <c r="AH20" s="130">
        <v>17.987395960000001</v>
      </c>
      <c r="AI20" s="130">
        <v>20.823219239999997</v>
      </c>
      <c r="AJ20" s="130">
        <v>17.404067649999998</v>
      </c>
      <c r="AK20" s="130">
        <v>17.695550879999999</v>
      </c>
      <c r="AL20" s="130">
        <v>21.012273399999998</v>
      </c>
      <c r="AM20" s="130">
        <v>16.557473309999999</v>
      </c>
      <c r="AN20" s="130">
        <v>17.023592399999998</v>
      </c>
      <c r="AO20" s="130">
        <v>25.653490740000002</v>
      </c>
      <c r="AP20" s="130">
        <v>14.89059267</v>
      </c>
      <c r="AQ20" s="130">
        <v>17.93412988</v>
      </c>
      <c r="AR20" s="130">
        <f t="shared" si="9"/>
        <v>224.72515608999998</v>
      </c>
      <c r="AS20" s="130">
        <f>AS21+AS22+AS23+AS24+AS25+AS26+AS27+AS28</f>
        <v>224.725157</v>
      </c>
      <c r="AT20" s="130">
        <v>23.54848831</v>
      </c>
      <c r="AU20" s="130">
        <v>15.06737223</v>
      </c>
      <c r="AV20" s="130">
        <v>18.889870260000002</v>
      </c>
      <c r="AW20" s="130">
        <v>22.617212979999998</v>
      </c>
      <c r="AX20" s="130">
        <v>17.56126308</v>
      </c>
      <c r="AY20" s="130">
        <v>18.99885329</v>
      </c>
      <c r="AZ20" s="130">
        <v>25.633848990000001</v>
      </c>
      <c r="BA20" s="130">
        <v>17.984631950000001</v>
      </c>
      <c r="BB20" s="130">
        <v>18.022560300000002</v>
      </c>
      <c r="BC20" s="130">
        <v>24.075798390000003</v>
      </c>
      <c r="BD20" s="130">
        <v>15.95880666</v>
      </c>
      <c r="BE20" s="130">
        <v>20.168978469999999</v>
      </c>
      <c r="BF20" s="130">
        <f t="shared" si="10"/>
        <v>238.52768491</v>
      </c>
      <c r="BG20" s="130">
        <f>BG21+BG22+BG23+BG24+BG25+BG26+BG27+BG28</f>
        <v>238.52768499999996</v>
      </c>
      <c r="BH20" s="85">
        <v>30.791952940000002</v>
      </c>
      <c r="BI20" s="85">
        <v>16.31607429</v>
      </c>
      <c r="BJ20" s="85">
        <v>17.552814870000002</v>
      </c>
      <c r="BK20" s="85">
        <v>23.079772750000004</v>
      </c>
      <c r="BL20" s="85">
        <v>16.798563309999999</v>
      </c>
      <c r="BM20" s="85">
        <v>17.410198309999998</v>
      </c>
      <c r="BN20" s="85">
        <v>23.736335590000007</v>
      </c>
      <c r="BO20" s="85">
        <v>16.417432209999998</v>
      </c>
      <c r="BP20" s="85">
        <v>16.717122379999999</v>
      </c>
      <c r="BQ20" s="85">
        <v>23.352504409999998</v>
      </c>
      <c r="BR20" s="85">
        <v>14.48127582</v>
      </c>
      <c r="BS20" s="85">
        <v>15.907395449999999</v>
      </c>
      <c r="BT20" s="88">
        <f t="shared" si="15"/>
        <v>232.56144233000001</v>
      </c>
      <c r="BU20" s="130">
        <f>BU21+BU22+BU23+BU24+BU25+BU26+BU27+BU28</f>
        <v>232.56144300000003</v>
      </c>
      <c r="BV20" s="85">
        <v>26.42217273</v>
      </c>
      <c r="BW20" s="85">
        <v>14.072942239999998</v>
      </c>
      <c r="BX20" s="85">
        <v>18.650573649999998</v>
      </c>
      <c r="BY20" s="85">
        <v>23.392942229999999</v>
      </c>
      <c r="BZ20" s="85">
        <v>19.026968710000002</v>
      </c>
      <c r="CA20" s="85">
        <v>15.892339359999998</v>
      </c>
      <c r="CB20" s="85">
        <v>23.636323810000007</v>
      </c>
      <c r="CC20" s="85">
        <v>15.099181079999999</v>
      </c>
      <c r="CD20" s="85">
        <v>17.174831380000001</v>
      </c>
      <c r="CE20" s="85">
        <v>24.537194389999996</v>
      </c>
      <c r="CF20" s="85">
        <v>12.79547524</v>
      </c>
      <c r="CG20" s="85">
        <v>15.280814950000003</v>
      </c>
      <c r="CH20" s="88">
        <f t="shared" si="16"/>
        <v>225.98175977</v>
      </c>
      <c r="CI20" s="130">
        <f>CI21+CI22+CI23+CI24+CI25+CI26+CI27+CI28</f>
        <v>225.98175999999998</v>
      </c>
      <c r="CJ20" s="85">
        <v>27.791874570000004</v>
      </c>
      <c r="CK20" s="85">
        <v>16.616820969999999</v>
      </c>
      <c r="CL20" s="85">
        <v>19.582988390000001</v>
      </c>
      <c r="CM20" s="85">
        <v>23.036859270000004</v>
      </c>
      <c r="CN20" s="85">
        <v>13.578153989999999</v>
      </c>
      <c r="CO20" s="85">
        <v>14.82710848</v>
      </c>
      <c r="CP20" s="85">
        <v>24.300942990000003</v>
      </c>
      <c r="CQ20" s="185">
        <v>16.912376179999999</v>
      </c>
      <c r="CR20" s="88">
        <v>18.11222875</v>
      </c>
      <c r="CS20" s="88">
        <v>25.348148999999999</v>
      </c>
      <c r="CT20" s="88">
        <v>13.997247590000002</v>
      </c>
      <c r="CU20" s="88">
        <v>15.739316629999999</v>
      </c>
      <c r="CV20" s="88">
        <f t="shared" si="21"/>
        <v>229.84406681000004</v>
      </c>
      <c r="CW20" s="130">
        <f>CW21+CW22+CW23+CW24+CW25+CW26+CW27+CW28</f>
        <v>229.844067</v>
      </c>
      <c r="CX20" s="88">
        <v>25.15731675</v>
      </c>
      <c r="CY20" s="88">
        <v>13.5849467</v>
      </c>
      <c r="CZ20" s="88">
        <v>19.19859533</v>
      </c>
      <c r="DA20" s="88">
        <v>26.883847170000003</v>
      </c>
      <c r="DB20" s="88">
        <v>16.179418269999999</v>
      </c>
      <c r="DC20" s="88">
        <v>17.733364039999998</v>
      </c>
      <c r="DD20" s="88">
        <v>30.284359200000001</v>
      </c>
      <c r="DE20" s="88">
        <v>17.61075554</v>
      </c>
      <c r="DF20" s="88">
        <v>20.124512620000001</v>
      </c>
      <c r="DG20" s="88">
        <v>30.459335199999995</v>
      </c>
      <c r="DH20" s="88">
        <v>16.946121460000001</v>
      </c>
      <c r="DI20" s="88">
        <v>20.340957360000001</v>
      </c>
      <c r="DJ20" s="88">
        <f t="shared" si="22"/>
        <v>254.50352964000001</v>
      </c>
      <c r="DK20" s="130">
        <f>DK21+DK22+DK23+DK24+DK25+DK26+DK27+DK28</f>
        <v>254.50353000000004</v>
      </c>
      <c r="DL20" s="85">
        <v>37.249058179999992</v>
      </c>
      <c r="DM20" s="85">
        <v>16.627960259999998</v>
      </c>
      <c r="DN20" s="85">
        <v>21.888093810000008</v>
      </c>
      <c r="DO20" s="85">
        <v>32.369691909999993</v>
      </c>
      <c r="DP20" s="85">
        <v>22.257966349999997</v>
      </c>
      <c r="DQ20" s="85">
        <v>23.236251630000005</v>
      </c>
      <c r="DR20" s="85">
        <v>34.849491250000007</v>
      </c>
      <c r="DS20" s="85">
        <v>19.023332000000003</v>
      </c>
      <c r="DT20" s="85">
        <v>20.202392480000004</v>
      </c>
      <c r="DU20" s="85">
        <v>32.457007680000004</v>
      </c>
      <c r="DV20" s="85">
        <v>17.207875609999995</v>
      </c>
      <c r="DW20" s="85">
        <v>22.224407939999995</v>
      </c>
      <c r="DX20" s="88">
        <f t="shared" si="23"/>
        <v>299.59352909999996</v>
      </c>
      <c r="DY20" s="130">
        <f>DY21+DY22+DY23+DY24+DY25+DY26+DY27+DY28</f>
        <v>299.59352799999999</v>
      </c>
      <c r="DZ20" s="85">
        <v>38.313186990000005</v>
      </c>
      <c r="EA20" s="85">
        <v>17.607752070000004</v>
      </c>
      <c r="EB20" s="85">
        <v>23.386997400000002</v>
      </c>
      <c r="EC20" s="85">
        <v>32.133263539999994</v>
      </c>
      <c r="ED20" s="85">
        <v>17.442075879999997</v>
      </c>
      <c r="EE20" s="85">
        <v>19.878921080000001</v>
      </c>
      <c r="EF20" s="85">
        <v>33.860848710000006</v>
      </c>
      <c r="EG20" s="85">
        <v>18.176983039999996</v>
      </c>
      <c r="EH20" s="85">
        <v>18.439278730000002</v>
      </c>
      <c r="EI20" s="85">
        <v>33.629283209999997</v>
      </c>
      <c r="EJ20" s="85">
        <v>15.22366442</v>
      </c>
      <c r="EK20" s="85">
        <v>17.851786739999998</v>
      </c>
      <c r="EL20" s="88">
        <f t="shared" si="17"/>
        <v>285.94404180999999</v>
      </c>
      <c r="EM20" s="130">
        <f>EM21+EM22+EM23+EM24+EM25+EM26+EM27+EM28</f>
        <v>285.94404200000002</v>
      </c>
      <c r="EN20" s="85">
        <v>38.64385833</v>
      </c>
      <c r="EO20" s="85">
        <v>18.918715880000001</v>
      </c>
      <c r="EP20" s="85">
        <v>22.723022769999993</v>
      </c>
      <c r="EQ20" s="85">
        <v>36.170359079999997</v>
      </c>
      <c r="ER20" s="85">
        <v>19.050096500000002</v>
      </c>
      <c r="ES20" s="85">
        <v>20.183727129999998</v>
      </c>
      <c r="ET20" s="85">
        <v>36.34851329</v>
      </c>
      <c r="EU20" s="85">
        <v>16.699724770000003</v>
      </c>
      <c r="EV20" s="85">
        <v>20.018230490000004</v>
      </c>
      <c r="EW20" s="85">
        <v>35.887031739999998</v>
      </c>
      <c r="EX20" s="85">
        <v>15.408890009999999</v>
      </c>
      <c r="EY20" s="85">
        <v>19.989629879999999</v>
      </c>
      <c r="EZ20" s="88">
        <f t="shared" si="18"/>
        <v>300.04179986999998</v>
      </c>
      <c r="FA20" s="130">
        <f>FA21+FA22+FA23+FA24+FA25+FA26+FA27+FA28</f>
        <v>300.04180000000002</v>
      </c>
      <c r="FB20" s="85">
        <v>44.217273709999994</v>
      </c>
      <c r="FC20" s="85">
        <v>18.142156610000004</v>
      </c>
      <c r="FD20" s="85">
        <v>23.946704229999995</v>
      </c>
      <c r="FE20" s="85">
        <v>34.958372540000013</v>
      </c>
      <c r="FF20" s="85">
        <v>18.637728750000001</v>
      </c>
      <c r="FG20" s="85">
        <v>21.279602570000002</v>
      </c>
      <c r="FH20" s="85">
        <v>37.607470729999996</v>
      </c>
      <c r="FI20" s="85">
        <v>16.824971399999999</v>
      </c>
      <c r="FJ20" s="85">
        <v>22.027144799999995</v>
      </c>
      <c r="FK20" s="85">
        <v>37.11854074</v>
      </c>
      <c r="FL20" s="85">
        <v>16.411714289999999</v>
      </c>
      <c r="FM20" s="85">
        <v>28.363976510000001</v>
      </c>
      <c r="FN20" s="88">
        <f t="shared" si="11"/>
        <v>319.53565688000003</v>
      </c>
      <c r="FO20" s="85">
        <v>45.138351319999998</v>
      </c>
      <c r="FP20" s="85">
        <v>17.682844200000002</v>
      </c>
      <c r="FQ20" s="85">
        <v>23.241729850000006</v>
      </c>
      <c r="FR20" s="85">
        <v>34.136502620000002</v>
      </c>
      <c r="FS20" s="85"/>
      <c r="FT20" s="85"/>
      <c r="FU20" s="85"/>
      <c r="FV20" s="85"/>
      <c r="FW20" s="85"/>
      <c r="FX20" s="85"/>
      <c r="FY20" s="85"/>
      <c r="FZ20" s="85"/>
      <c r="GA20" s="307">
        <f t="shared" si="19"/>
        <v>121.26450699999999</v>
      </c>
      <c r="GB20" s="307">
        <f t="shared" si="20"/>
        <v>120.199428</v>
      </c>
      <c r="GC20" s="309">
        <f t="shared" si="12"/>
        <v>-1.0650789999999972</v>
      </c>
      <c r="GD20" s="309">
        <f t="shared" si="13"/>
        <v>-0.87831058431630993</v>
      </c>
    </row>
    <row r="21" spans="1:186" s="12" customFormat="1" ht="20.5">
      <c r="A21" s="72" t="s">
        <v>62</v>
      </c>
      <c r="B21" s="13" t="s">
        <v>63</v>
      </c>
      <c r="C21" s="77" t="s">
        <v>64</v>
      </c>
      <c r="D21" s="45">
        <v>4.4177860000000004</v>
      </c>
      <c r="E21" s="50">
        <v>-8.6440000000000003E-2</v>
      </c>
      <c r="F21" s="50">
        <v>-0.19642999999999999</v>
      </c>
      <c r="G21" s="50">
        <v>3.3065000000000002</v>
      </c>
      <c r="H21" s="50">
        <v>0.213477</v>
      </c>
      <c r="I21" s="50">
        <v>0.13180500000000001</v>
      </c>
      <c r="J21" s="50">
        <v>2.55569164</v>
      </c>
      <c r="K21" s="50">
        <v>-1.194585</v>
      </c>
      <c r="L21" s="50">
        <v>0.27799345000000003</v>
      </c>
      <c r="M21" s="50">
        <v>1.2915700000000071E-3</v>
      </c>
      <c r="N21" s="50">
        <v>0.33906560999999996</v>
      </c>
      <c r="O21" s="50">
        <v>0.27812045000000002</v>
      </c>
      <c r="P21" s="85">
        <f t="shared" si="7"/>
        <v>10.04427572</v>
      </c>
      <c r="Q21" s="42">
        <v>10.044275000000001</v>
      </c>
      <c r="R21" s="50">
        <v>5.2625767100000003</v>
      </c>
      <c r="S21" s="50">
        <v>-2.3531755700000003</v>
      </c>
      <c r="T21" s="50">
        <v>0.13428249</v>
      </c>
      <c r="U21" s="50">
        <v>3.7828635199999998</v>
      </c>
      <c r="V21" s="50">
        <v>-1.5221914800000003</v>
      </c>
      <c r="W21" s="50">
        <v>0.32435016999999999</v>
      </c>
      <c r="X21" s="50">
        <v>4.3997084299999996</v>
      </c>
      <c r="Y21" s="50">
        <v>-1.57051432</v>
      </c>
      <c r="Z21" s="50">
        <v>0.22572956</v>
      </c>
      <c r="AA21" s="50">
        <v>4.4393341600000005</v>
      </c>
      <c r="AB21" s="50">
        <v>-2.0289561300000001</v>
      </c>
      <c r="AC21" s="50">
        <v>0.34006252000000003</v>
      </c>
      <c r="AD21" s="85">
        <f t="shared" si="8"/>
        <v>11.434070059999996</v>
      </c>
      <c r="AE21" s="85">
        <v>11.43407</v>
      </c>
      <c r="AF21" s="85">
        <v>4.7399357800000006</v>
      </c>
      <c r="AG21" s="85">
        <v>-1.8023149700000001</v>
      </c>
      <c r="AH21" s="85">
        <v>0.24376579999999998</v>
      </c>
      <c r="AI21" s="85">
        <v>3.1163457499999998</v>
      </c>
      <c r="AJ21" s="85">
        <v>-1.0772724899999999</v>
      </c>
      <c r="AK21" s="85">
        <v>0.24668946999999999</v>
      </c>
      <c r="AL21" s="85">
        <v>3.4443665499999998</v>
      </c>
      <c r="AM21" s="85">
        <v>-1.6071904600000002</v>
      </c>
      <c r="AN21" s="85">
        <v>0.30034575000000002</v>
      </c>
      <c r="AO21" s="85">
        <v>3.6154020199999999</v>
      </c>
      <c r="AP21" s="85">
        <v>-1.7561342899999999</v>
      </c>
      <c r="AQ21" s="85">
        <v>0.35132799999999997</v>
      </c>
      <c r="AR21" s="85">
        <f t="shared" si="9"/>
        <v>9.8152669099999983</v>
      </c>
      <c r="AS21" s="85">
        <v>9.8152670000000004</v>
      </c>
      <c r="AT21" s="85">
        <v>4.2821553699999999</v>
      </c>
      <c r="AU21" s="85">
        <v>-1.5832393199999999</v>
      </c>
      <c r="AV21" s="85">
        <v>0.36673520999999998</v>
      </c>
      <c r="AW21" s="85">
        <v>5.4322675599999997</v>
      </c>
      <c r="AX21" s="85">
        <v>-1.32690548</v>
      </c>
      <c r="AY21" s="85">
        <v>0.41886071000000008</v>
      </c>
      <c r="AZ21" s="85">
        <v>5.9943001499999999</v>
      </c>
      <c r="BA21" s="85">
        <v>-1.6504093399999999</v>
      </c>
      <c r="BB21" s="85">
        <v>0.34065957000000002</v>
      </c>
      <c r="BC21" s="85">
        <v>5.6207902800000005</v>
      </c>
      <c r="BD21" s="85">
        <v>-1.6878847699999999</v>
      </c>
      <c r="BE21" s="85">
        <v>0.43804920999999997</v>
      </c>
      <c r="BF21" s="85">
        <f t="shared" si="10"/>
        <v>16.64537915</v>
      </c>
      <c r="BG21" s="85">
        <v>16.645378999999998</v>
      </c>
      <c r="BH21" s="85">
        <v>8.0372797299999998</v>
      </c>
      <c r="BI21" s="85">
        <v>-2.5431130499999997</v>
      </c>
      <c r="BJ21" s="85">
        <v>0.29462558</v>
      </c>
      <c r="BK21" s="85">
        <v>5.9139779800000003</v>
      </c>
      <c r="BL21" s="85">
        <v>-1.56677972</v>
      </c>
      <c r="BM21" s="85">
        <v>0.31851378999999991</v>
      </c>
      <c r="BN21" s="85">
        <v>6.3102488900000004</v>
      </c>
      <c r="BO21" s="85">
        <v>-1.7936043400000001</v>
      </c>
      <c r="BP21" s="85">
        <v>0.34034881000000006</v>
      </c>
      <c r="BQ21" s="85">
        <v>5.1740194500000003</v>
      </c>
      <c r="BR21" s="85">
        <v>-2.0743138000000001</v>
      </c>
      <c r="BS21" s="85">
        <v>0.35230646999999998</v>
      </c>
      <c r="BT21" s="88">
        <f t="shared" si="15"/>
        <v>18.763509790000001</v>
      </c>
      <c r="BU21" s="85">
        <v>18.76351</v>
      </c>
      <c r="BV21" s="85">
        <v>6.6248823400000001</v>
      </c>
      <c r="BW21" s="85">
        <v>-2.6813204699999997</v>
      </c>
      <c r="BX21" s="85">
        <v>0.36313689000000005</v>
      </c>
      <c r="BY21" s="85">
        <v>5.4458154299999997</v>
      </c>
      <c r="BZ21" s="85">
        <v>-1.0111526899999999</v>
      </c>
      <c r="CA21" s="85">
        <v>0.34976589000000002</v>
      </c>
      <c r="CB21" s="85">
        <v>6.2634605900000002</v>
      </c>
      <c r="CC21" s="85">
        <v>-2.1024753299999999</v>
      </c>
      <c r="CD21" s="85">
        <v>0.49722879000000003</v>
      </c>
      <c r="CE21" s="85">
        <v>6.3999080600000005</v>
      </c>
      <c r="CF21" s="85">
        <v>-2.6558197999999997</v>
      </c>
      <c r="CG21" s="85">
        <v>9.7021049999999984E-2</v>
      </c>
      <c r="CH21" s="88">
        <f t="shared" si="16"/>
        <v>17.590450749999999</v>
      </c>
      <c r="CI21" s="85">
        <v>17.590451000000002</v>
      </c>
      <c r="CJ21" s="85">
        <v>7.1398055600000001</v>
      </c>
      <c r="CK21" s="85">
        <v>-1.9503630499999998</v>
      </c>
      <c r="CL21" s="85">
        <v>0.33784378999999998</v>
      </c>
      <c r="CM21" s="85">
        <v>7.4132658300000003</v>
      </c>
      <c r="CN21" s="85">
        <v>-0.82594946999999996</v>
      </c>
      <c r="CO21" s="85">
        <v>0.41699642999999997</v>
      </c>
      <c r="CP21" s="85">
        <v>7.0220473200000004</v>
      </c>
      <c r="CQ21" s="185">
        <v>-0.74256704000000007</v>
      </c>
      <c r="CR21" s="88">
        <v>0.51143798000000007</v>
      </c>
      <c r="CS21" s="88">
        <v>7.4115789899999989</v>
      </c>
      <c r="CT21" s="88">
        <v>-1.0569351299999998</v>
      </c>
      <c r="CU21" s="88">
        <v>0.79556311999999996</v>
      </c>
      <c r="CV21" s="88">
        <f t="shared" si="21"/>
        <v>26.472724329999998</v>
      </c>
      <c r="CW21" s="88">
        <v>26.472723999999999</v>
      </c>
      <c r="CX21" s="88">
        <v>7.7728837000000004</v>
      </c>
      <c r="CY21" s="88">
        <v>-0.94323964999999999</v>
      </c>
      <c r="CZ21" s="88">
        <v>1.1016128500000002</v>
      </c>
      <c r="DA21" s="88">
        <v>8.777343440000001</v>
      </c>
      <c r="DB21" s="88">
        <v>-0.41164245999999999</v>
      </c>
      <c r="DC21" s="88">
        <v>0.42733345</v>
      </c>
      <c r="DD21" s="88">
        <v>11.538093999999999</v>
      </c>
      <c r="DE21" s="88">
        <v>-1.8273900000000001</v>
      </c>
      <c r="DF21" s="88">
        <v>0.41803526000000002</v>
      </c>
      <c r="DG21" s="88">
        <v>10.233542</v>
      </c>
      <c r="DH21" s="88">
        <v>-1.62457798</v>
      </c>
      <c r="DI21" s="88">
        <v>0.81924886999999991</v>
      </c>
      <c r="DJ21" s="88">
        <f t="shared" si="22"/>
        <v>36.281243480000008</v>
      </c>
      <c r="DK21" s="85">
        <v>36.281243000000003</v>
      </c>
      <c r="DL21" s="85">
        <v>12.311961719999999</v>
      </c>
      <c r="DM21" s="85">
        <v>-1.27417319</v>
      </c>
      <c r="DN21" s="85">
        <v>0.45107066999999995</v>
      </c>
      <c r="DO21" s="85">
        <v>11.21992784</v>
      </c>
      <c r="DP21" s="85">
        <v>-1.4670345500000002</v>
      </c>
      <c r="DQ21" s="85">
        <v>0.32202741000000007</v>
      </c>
      <c r="DR21" s="85">
        <v>13.464576020000001</v>
      </c>
      <c r="DS21" s="85">
        <v>-2.03863021</v>
      </c>
      <c r="DT21" s="85">
        <v>0.32493687999999993</v>
      </c>
      <c r="DU21" s="85">
        <v>13.167801909999998</v>
      </c>
      <c r="DV21" s="85">
        <v>-2.3529704200000001</v>
      </c>
      <c r="DW21" s="85">
        <v>0.19531230000000002</v>
      </c>
      <c r="DX21" s="88">
        <f t="shared" si="23"/>
        <v>44.324806380000005</v>
      </c>
      <c r="DY21" s="85">
        <v>44.324807</v>
      </c>
      <c r="DZ21" s="85">
        <v>14.642445390000001</v>
      </c>
      <c r="EA21" s="85">
        <v>-1.7541752400000004</v>
      </c>
      <c r="EB21" s="85">
        <v>0.23423492000000001</v>
      </c>
      <c r="EC21" s="85">
        <v>14.105309309999999</v>
      </c>
      <c r="ED21" s="85">
        <v>-1.9767875099999999</v>
      </c>
      <c r="EE21" s="85">
        <v>0.37069960000000002</v>
      </c>
      <c r="EF21" s="85">
        <v>14.341495570000001</v>
      </c>
      <c r="EG21" s="85">
        <v>-2.4643908100000003</v>
      </c>
      <c r="EH21" s="85">
        <v>0.32278379999999995</v>
      </c>
      <c r="EI21" s="85">
        <v>14.281098910000001</v>
      </c>
      <c r="EJ21" s="85">
        <v>-2.6288067399999995</v>
      </c>
      <c r="EK21" s="85">
        <v>0.36178299999999997</v>
      </c>
      <c r="EL21" s="88">
        <f t="shared" si="17"/>
        <v>49.835690200000002</v>
      </c>
      <c r="EM21" s="85">
        <v>49.835690999999997</v>
      </c>
      <c r="EN21" s="85">
        <v>15.474755779999999</v>
      </c>
      <c r="EO21" s="85">
        <v>-1.6159047800000006</v>
      </c>
      <c r="EP21" s="85">
        <v>0.67809754</v>
      </c>
      <c r="EQ21" s="85">
        <v>13.935405849999999</v>
      </c>
      <c r="ER21" s="85">
        <v>-2.3126857499999995</v>
      </c>
      <c r="ES21" s="85">
        <v>0.57125124999999999</v>
      </c>
      <c r="ET21" s="85">
        <v>14.332861339999999</v>
      </c>
      <c r="EU21" s="85">
        <v>-3.2539792500000004</v>
      </c>
      <c r="EV21" s="85">
        <v>0.64161565999999992</v>
      </c>
      <c r="EW21" s="85">
        <v>14.1320614</v>
      </c>
      <c r="EX21" s="85">
        <v>-4.05727013</v>
      </c>
      <c r="EY21" s="85">
        <v>0.56326843999999998</v>
      </c>
      <c r="EZ21" s="88">
        <f t="shared" si="18"/>
        <v>49.089477349999996</v>
      </c>
      <c r="FA21" s="85">
        <v>49.089478</v>
      </c>
      <c r="FB21" s="85">
        <v>14.509894489999999</v>
      </c>
      <c r="FC21" s="85">
        <v>-3.1018273000000001</v>
      </c>
      <c r="FD21" s="85">
        <v>0.92508538000000018</v>
      </c>
      <c r="FE21" s="85">
        <v>11.64463276</v>
      </c>
      <c r="FF21" s="85">
        <v>-3.2263214099999997</v>
      </c>
      <c r="FG21" s="85">
        <v>0.64019007000000006</v>
      </c>
      <c r="FH21" s="85">
        <v>12.928481250000001</v>
      </c>
      <c r="FI21" s="85">
        <v>-3.8679617999999998</v>
      </c>
      <c r="FJ21" s="85">
        <v>0.66357655999999998</v>
      </c>
      <c r="FK21" s="85">
        <v>14.89708559</v>
      </c>
      <c r="FL21" s="85">
        <v>-4.4048975000000006</v>
      </c>
      <c r="FM21" s="85">
        <v>0.50622490999999992</v>
      </c>
      <c r="FN21" s="88">
        <f t="shared" si="11"/>
        <v>42.114162999999991</v>
      </c>
      <c r="FO21" s="85">
        <v>15.067167590000002</v>
      </c>
      <c r="FP21" s="85">
        <v>-4.2027785899999994</v>
      </c>
      <c r="FQ21" s="85">
        <v>0.64766780000000002</v>
      </c>
      <c r="FR21" s="85">
        <v>10.909546240000001</v>
      </c>
      <c r="FS21" s="85"/>
      <c r="FT21" s="85"/>
      <c r="FU21" s="85"/>
      <c r="FV21" s="85"/>
      <c r="FW21" s="85"/>
      <c r="FX21" s="85"/>
      <c r="FY21" s="85"/>
      <c r="FZ21" s="85"/>
      <c r="GA21" s="307">
        <f t="shared" si="19"/>
        <v>23.977785000000001</v>
      </c>
      <c r="GB21" s="307">
        <f t="shared" si="20"/>
        <v>22.421603000000001</v>
      </c>
      <c r="GC21" s="308">
        <f t="shared" si="12"/>
        <v>-1.5561819999999997</v>
      </c>
      <c r="GD21" s="308">
        <f t="shared" si="13"/>
        <v>-6.4900990646133465</v>
      </c>
    </row>
    <row r="22" spans="1:186" s="12" customFormat="1" ht="20.5">
      <c r="A22" s="325" t="s">
        <v>65</v>
      </c>
      <c r="B22" s="13" t="s">
        <v>66</v>
      </c>
      <c r="C22" s="314" t="s">
        <v>257</v>
      </c>
      <c r="D22" s="45">
        <v>1.9080010000000001</v>
      </c>
      <c r="E22" s="50">
        <v>1.9009670000000001</v>
      </c>
      <c r="F22" s="50">
        <v>1.8734379999999999</v>
      </c>
      <c r="G22" s="50">
        <v>1.920309</v>
      </c>
      <c r="H22" s="50">
        <v>2.7944439999999999</v>
      </c>
      <c r="I22" s="50">
        <v>1.423424</v>
      </c>
      <c r="J22" s="50">
        <v>1.5476847199999999</v>
      </c>
      <c r="K22" s="50">
        <v>1.9434560000000001</v>
      </c>
      <c r="L22" s="50">
        <v>1.9535947499999999</v>
      </c>
      <c r="M22" s="50">
        <v>1.9553128200000001</v>
      </c>
      <c r="N22" s="50">
        <v>1.9827270100000003</v>
      </c>
      <c r="O22" s="50">
        <v>1.9884799200000001</v>
      </c>
      <c r="P22" s="85">
        <f t="shared" si="7"/>
        <v>23.191838220000001</v>
      </c>
      <c r="Q22" s="42">
        <f>21.061904+2.129934</f>
        <v>23.191837999999997</v>
      </c>
      <c r="R22" s="50">
        <v>2.0154242099999999</v>
      </c>
      <c r="S22" s="50">
        <v>2.0046467099999998</v>
      </c>
      <c r="T22" s="50">
        <v>1.97405652</v>
      </c>
      <c r="U22" s="50">
        <v>1.98831153</v>
      </c>
      <c r="V22" s="50">
        <v>2.00442155</v>
      </c>
      <c r="W22" s="50">
        <v>2.0555592699999998</v>
      </c>
      <c r="X22" s="50">
        <v>1.99528269</v>
      </c>
      <c r="Y22" s="50">
        <v>2.0107218899999997</v>
      </c>
      <c r="Z22" s="50">
        <v>2.0321979199999998</v>
      </c>
      <c r="AA22" s="50">
        <v>2.0817319599999999</v>
      </c>
      <c r="AB22" s="50">
        <v>2.0875225300000002</v>
      </c>
      <c r="AC22" s="50">
        <v>2.1541290000000002</v>
      </c>
      <c r="AD22" s="85">
        <f t="shared" si="8"/>
        <v>24.404005780000002</v>
      </c>
      <c r="AE22" s="85">
        <f>2.410503+21.993503</f>
        <v>24.404005999999999</v>
      </c>
      <c r="AF22" s="85">
        <v>2.1615460099999999</v>
      </c>
      <c r="AG22" s="85">
        <v>2.1887050600000002</v>
      </c>
      <c r="AH22" s="85">
        <v>2.1660352500000002</v>
      </c>
      <c r="AI22" s="85">
        <v>2.2219547500000001</v>
      </c>
      <c r="AJ22" s="85">
        <v>2.19888219</v>
      </c>
      <c r="AK22" s="85">
        <v>2.1796292800000003</v>
      </c>
      <c r="AL22" s="85">
        <v>2.2178935600000003</v>
      </c>
      <c r="AM22" s="85">
        <v>2.2230927899999999</v>
      </c>
      <c r="AN22" s="85">
        <v>2.2226479599999998</v>
      </c>
      <c r="AO22" s="85">
        <v>2.2443880299999996</v>
      </c>
      <c r="AP22" s="85">
        <v>2.33862397</v>
      </c>
      <c r="AQ22" s="85">
        <v>2.1565012800000001</v>
      </c>
      <c r="AR22" s="85">
        <f t="shared" si="9"/>
        <v>26.51990013</v>
      </c>
      <c r="AS22" s="85">
        <v>26.5199</v>
      </c>
      <c r="AT22" s="85">
        <v>2.3725216099999997</v>
      </c>
      <c r="AU22" s="85">
        <v>2.3343247699999998</v>
      </c>
      <c r="AV22" s="85">
        <v>2.2995924700000003</v>
      </c>
      <c r="AW22" s="85">
        <v>2.3736972999999999</v>
      </c>
      <c r="AX22" s="85">
        <v>2.3244687400000004</v>
      </c>
      <c r="AY22" s="85">
        <v>2.3335228099999998</v>
      </c>
      <c r="AZ22" s="85">
        <v>2.2966624900000001</v>
      </c>
      <c r="BA22" s="85">
        <v>2.3101290099999998</v>
      </c>
      <c r="BB22" s="85">
        <v>2.3325806600000001</v>
      </c>
      <c r="BC22" s="85">
        <v>2.3444512500000001</v>
      </c>
      <c r="BD22" s="85">
        <v>2.3750836800000004</v>
      </c>
      <c r="BE22" s="85">
        <v>2.3714077199999997</v>
      </c>
      <c r="BF22" s="85">
        <f t="shared" si="10"/>
        <v>28.068442510000001</v>
      </c>
      <c r="BG22" s="85">
        <f>24.837575+3.230867</f>
        <v>28.068442000000001</v>
      </c>
      <c r="BH22" s="85">
        <v>2.45800733</v>
      </c>
      <c r="BI22" s="85">
        <v>2.9463069899999996</v>
      </c>
      <c r="BJ22" s="85">
        <v>2.83869529</v>
      </c>
      <c r="BK22" s="85">
        <v>2.9996442600000002</v>
      </c>
      <c r="BL22" s="85">
        <v>2.8981698300000001</v>
      </c>
      <c r="BM22" s="85">
        <v>2.9180104999999998</v>
      </c>
      <c r="BN22" s="85">
        <v>2.9501149899999999</v>
      </c>
      <c r="BO22" s="85">
        <v>2.9527538</v>
      </c>
      <c r="BP22" s="85">
        <v>2.9487968100000002</v>
      </c>
      <c r="BQ22" s="85">
        <v>2.9352257100000001</v>
      </c>
      <c r="BR22" s="85">
        <v>3.0697557200000003</v>
      </c>
      <c r="BS22" s="85">
        <v>3.04348967</v>
      </c>
      <c r="BT22" s="88">
        <f t="shared" si="15"/>
        <v>34.958970900000004</v>
      </c>
      <c r="BU22" s="85">
        <f>31.962198+2.996773</f>
        <v>34.958970999999998</v>
      </c>
      <c r="BV22" s="85">
        <v>3.0837958400000001</v>
      </c>
      <c r="BW22" s="85">
        <v>3.2525818599999998</v>
      </c>
      <c r="BX22" s="85">
        <v>3.0282611199999998</v>
      </c>
      <c r="BY22" s="85">
        <v>3.0840931600000001</v>
      </c>
      <c r="BZ22" s="85">
        <v>5.3145508600000007</v>
      </c>
      <c r="CA22" s="85">
        <v>2.2846968499999996</v>
      </c>
      <c r="CB22" s="85">
        <v>1.9034113500000001</v>
      </c>
      <c r="CC22" s="85">
        <v>2.83071027</v>
      </c>
      <c r="CD22" s="85">
        <v>2.9689414000000003</v>
      </c>
      <c r="CE22" s="85">
        <v>3.1014153700000002</v>
      </c>
      <c r="CF22" s="85">
        <v>3.2099051700000003</v>
      </c>
      <c r="CG22" s="85">
        <v>3.2281670299999998</v>
      </c>
      <c r="CH22" s="88">
        <f t="shared" si="16"/>
        <v>37.290530280000006</v>
      </c>
      <c r="CI22" s="85">
        <f>34.192568+3.097962</f>
        <v>37.290530000000004</v>
      </c>
      <c r="CJ22" s="85">
        <v>3.2373437000000003</v>
      </c>
      <c r="CK22" s="85">
        <v>4.5042030199999994</v>
      </c>
      <c r="CL22" s="85">
        <v>4.2969932100000001</v>
      </c>
      <c r="CM22" s="85">
        <v>2.3521282400000003</v>
      </c>
      <c r="CN22" s="85">
        <v>0.40899111999999999</v>
      </c>
      <c r="CO22" s="85">
        <v>0.30137730000000001</v>
      </c>
      <c r="CP22" s="85">
        <v>1.48863356</v>
      </c>
      <c r="CQ22" s="185">
        <v>3.8499309100000003</v>
      </c>
      <c r="CR22" s="88">
        <v>3.7693826800000001</v>
      </c>
      <c r="CS22" s="88">
        <v>3.6620659900000003</v>
      </c>
      <c r="CT22" s="88">
        <v>2.4950607000000002</v>
      </c>
      <c r="CU22" s="88">
        <v>1.2704168200000001</v>
      </c>
      <c r="CV22" s="88">
        <f t="shared" si="21"/>
        <v>31.636527250000004</v>
      </c>
      <c r="CW22" s="88">
        <v>31.636527000000001</v>
      </c>
      <c r="CX22" s="88">
        <v>1.16969992</v>
      </c>
      <c r="CY22" s="88">
        <v>0.93958945999999999</v>
      </c>
      <c r="CZ22" s="88">
        <v>1.04082963</v>
      </c>
      <c r="DA22" s="88">
        <v>1.2711788500000001</v>
      </c>
      <c r="DB22" s="88">
        <v>1.1316505299999999</v>
      </c>
      <c r="DC22" s="88">
        <v>1.4734425999999998</v>
      </c>
      <c r="DD22" s="88">
        <v>1.2467674900000001</v>
      </c>
      <c r="DE22" s="88">
        <v>2.4986949900000002</v>
      </c>
      <c r="DF22" s="88">
        <v>3.0609552</v>
      </c>
      <c r="DG22" s="88">
        <v>2.7464050000000002</v>
      </c>
      <c r="DH22" s="88">
        <v>1.89970963</v>
      </c>
      <c r="DI22" s="88">
        <v>1.45210777</v>
      </c>
      <c r="DJ22" s="88">
        <f t="shared" si="22"/>
        <v>19.931031070000003</v>
      </c>
      <c r="DK22" s="85">
        <f>16.276905+3.654127</f>
        <v>19.931031999999998</v>
      </c>
      <c r="DL22" s="85">
        <v>1.38740058</v>
      </c>
      <c r="DM22" s="85">
        <v>1.4302328600000001</v>
      </c>
      <c r="DN22" s="85">
        <v>1.60543718</v>
      </c>
      <c r="DO22" s="85">
        <v>3.4170199500000003</v>
      </c>
      <c r="DP22" s="85">
        <v>3.6941522600000001</v>
      </c>
      <c r="DQ22" s="85">
        <v>3.8704764599999999</v>
      </c>
      <c r="DR22" s="85">
        <v>3.6912420399999997</v>
      </c>
      <c r="DS22" s="85">
        <v>3.8218254799999998</v>
      </c>
      <c r="DT22" s="85">
        <v>3.7806965299999997</v>
      </c>
      <c r="DU22" s="85">
        <v>3.7782542100000001</v>
      </c>
      <c r="DV22" s="85">
        <v>4.0195576099999997</v>
      </c>
      <c r="DW22" s="85">
        <v>4.0191933799999999</v>
      </c>
      <c r="DX22" s="88">
        <f t="shared" si="23"/>
        <v>38.51548854</v>
      </c>
      <c r="DY22" s="85">
        <f>34.246556+4.268933</f>
        <v>38.515488999999995</v>
      </c>
      <c r="DZ22" s="85">
        <v>4.01550399</v>
      </c>
      <c r="EA22" s="85">
        <v>3.9873497599999994</v>
      </c>
      <c r="EB22" s="85">
        <v>4.27239945</v>
      </c>
      <c r="EC22" s="85">
        <v>3.9839400000000005</v>
      </c>
      <c r="ED22" s="85">
        <v>3.8542229400000001</v>
      </c>
      <c r="EE22" s="85">
        <v>3.6382235600000001</v>
      </c>
      <c r="EF22" s="85">
        <v>3.7175256399999999</v>
      </c>
      <c r="EG22" s="85">
        <v>3.91134395</v>
      </c>
      <c r="EH22" s="85">
        <v>3.8403563099999998</v>
      </c>
      <c r="EI22" s="85">
        <v>3.8946503499999996</v>
      </c>
      <c r="EJ22" s="85">
        <v>3.67068371</v>
      </c>
      <c r="EK22" s="85">
        <v>3.64251251</v>
      </c>
      <c r="EL22" s="88">
        <f t="shared" si="17"/>
        <v>46.428712169999997</v>
      </c>
      <c r="EM22" s="85">
        <f>41.81897+4.609743</f>
        <v>46.428713000000002</v>
      </c>
      <c r="EN22" s="85">
        <v>4.2385041899999996</v>
      </c>
      <c r="EO22" s="85">
        <v>4.4987883500000008</v>
      </c>
      <c r="EP22" s="85">
        <v>4.3208153099999995</v>
      </c>
      <c r="EQ22" s="85">
        <v>4.4976907099999996</v>
      </c>
      <c r="ER22" s="85">
        <v>4.5176877599999994</v>
      </c>
      <c r="ES22" s="85">
        <v>4.5320917200000004</v>
      </c>
      <c r="ET22" s="85">
        <v>4.5340605700000003</v>
      </c>
      <c r="EU22" s="85">
        <v>4.2088040600000003</v>
      </c>
      <c r="EV22" s="85">
        <v>4.2461534200000006</v>
      </c>
      <c r="EW22" s="85">
        <v>4.4870528800000002</v>
      </c>
      <c r="EX22" s="85">
        <v>4.2986727499999997</v>
      </c>
      <c r="EY22" s="85">
        <v>4.5411490099999998</v>
      </c>
      <c r="EZ22" s="88">
        <f t="shared" si="18"/>
        <v>52.921470730000003</v>
      </c>
      <c r="FA22" s="88">
        <f>47.99648+4.92499</f>
        <v>52.921469999999999</v>
      </c>
      <c r="FB22" s="85">
        <v>4.51163911</v>
      </c>
      <c r="FC22" s="85">
        <v>4.2499566499999997</v>
      </c>
      <c r="FD22" s="85">
        <v>4.34599504</v>
      </c>
      <c r="FE22" s="85">
        <v>4.7350130200000002</v>
      </c>
      <c r="FF22" s="85">
        <v>4.64949426</v>
      </c>
      <c r="FG22" s="85">
        <v>4.4915832599999996</v>
      </c>
      <c r="FH22" s="85">
        <v>4.4055563600000003</v>
      </c>
      <c r="FI22" s="85">
        <v>4.3489226799999994</v>
      </c>
      <c r="FJ22" s="85">
        <v>4.5264193800000001</v>
      </c>
      <c r="FK22" s="85">
        <v>4.4234758100000002</v>
      </c>
      <c r="FL22" s="85">
        <v>4.6740611100000002</v>
      </c>
      <c r="FM22" s="85">
        <v>4.4045069699999999</v>
      </c>
      <c r="FN22" s="88">
        <f>FB22+FC22+FD22+FE22+FF22+FG22+FH22+FI22+FJ22+FK22+FL22+FM22</f>
        <v>53.76662365</v>
      </c>
      <c r="FO22" s="85">
        <v>4.7728005200000005</v>
      </c>
      <c r="FP22" s="85">
        <v>5.2663269099999992</v>
      </c>
      <c r="FQ22" s="85">
        <v>5.1128513599999996</v>
      </c>
      <c r="FR22" s="85">
        <v>5.4285691900000002</v>
      </c>
      <c r="FS22" s="85"/>
      <c r="FT22" s="85"/>
      <c r="FU22" s="85"/>
      <c r="FV22" s="85"/>
      <c r="FW22" s="85"/>
      <c r="FX22" s="85"/>
      <c r="FY22" s="85"/>
      <c r="FZ22" s="85"/>
      <c r="GA22" s="307">
        <f t="shared" si="19"/>
        <v>17.842604000000001</v>
      </c>
      <c r="GB22" s="307">
        <f t="shared" si="20"/>
        <v>20.580548</v>
      </c>
      <c r="GC22" s="308">
        <f t="shared" si="12"/>
        <v>2.7379439999999988</v>
      </c>
      <c r="GD22" s="308">
        <f t="shared" si="13"/>
        <v>15.344979914366746</v>
      </c>
    </row>
    <row r="23" spans="1:186" s="12" customFormat="1" ht="20.25" hidden="1" customHeight="1">
      <c r="A23" s="72" t="s">
        <v>68</v>
      </c>
      <c r="B23" s="13" t="s">
        <v>69</v>
      </c>
      <c r="C23" s="77" t="s">
        <v>68</v>
      </c>
      <c r="D23" s="45">
        <v>0.69928999999999997</v>
      </c>
      <c r="E23" s="50">
        <v>0.72264700000000004</v>
      </c>
      <c r="F23" s="50">
        <v>0.92163099999999998</v>
      </c>
      <c r="G23" s="50">
        <v>0.98409100000000005</v>
      </c>
      <c r="H23" s="50">
        <v>0.97295100000000001</v>
      </c>
      <c r="I23" s="50">
        <v>0.99145700000000003</v>
      </c>
      <c r="J23" s="50">
        <v>1.16400729</v>
      </c>
      <c r="K23" s="50">
        <v>0.98631800000000003</v>
      </c>
      <c r="L23" s="50">
        <v>0.96786104000000006</v>
      </c>
      <c r="M23" s="50">
        <v>1.0265438200000001</v>
      </c>
      <c r="N23" s="50">
        <v>0.82294382999999993</v>
      </c>
      <c r="O23" s="50">
        <v>0.93182390000000004</v>
      </c>
      <c r="P23" s="85">
        <f t="shared" si="7"/>
        <v>11.19156488</v>
      </c>
      <c r="Q23" s="44">
        <v>11.191565000000001</v>
      </c>
      <c r="R23" s="50">
        <v>0.7239972899999999</v>
      </c>
      <c r="S23" s="50">
        <v>0.74302170000000012</v>
      </c>
      <c r="T23" s="50">
        <v>0.99863394000000005</v>
      </c>
      <c r="U23" s="50">
        <v>1.0419659300000002</v>
      </c>
      <c r="V23" s="50">
        <v>0.91815195000000005</v>
      </c>
      <c r="W23" s="50">
        <v>1.0235093399999999</v>
      </c>
      <c r="X23" s="50">
        <v>1.09747639</v>
      </c>
      <c r="Y23" s="50">
        <v>0.92979621999999995</v>
      </c>
      <c r="Z23" s="50">
        <v>0.96096888999999985</v>
      </c>
      <c r="AA23" s="50">
        <v>0.93171246000000008</v>
      </c>
      <c r="AB23" s="50">
        <v>0.8316029800000001</v>
      </c>
      <c r="AC23" s="50">
        <v>0.92978822999999999</v>
      </c>
      <c r="AD23" s="85">
        <f t="shared" si="8"/>
        <v>11.130625319999998</v>
      </c>
      <c r="AE23" s="85">
        <v>11.130625</v>
      </c>
      <c r="AF23" s="85">
        <v>0.59223873000000005</v>
      </c>
      <c r="AG23" s="85">
        <v>0.74804486999999997</v>
      </c>
      <c r="AH23" s="85">
        <v>0.94893927</v>
      </c>
      <c r="AI23" s="85">
        <v>0.98671889000000002</v>
      </c>
      <c r="AJ23" s="85">
        <v>0.97716755</v>
      </c>
      <c r="AK23" s="85">
        <v>0.90408171000000004</v>
      </c>
      <c r="AL23" s="85">
        <v>0.9302156800000001</v>
      </c>
      <c r="AM23" s="85">
        <v>0.99075803000000007</v>
      </c>
      <c r="AN23" s="85">
        <v>0.8952010600000001</v>
      </c>
      <c r="AO23" s="85">
        <v>0.84837675000000001</v>
      </c>
      <c r="AP23" s="85">
        <v>0.79488958999999992</v>
      </c>
      <c r="AQ23" s="85">
        <v>0.69270268000000002</v>
      </c>
      <c r="AR23" s="85">
        <f t="shared" si="9"/>
        <v>10.309334810000001</v>
      </c>
      <c r="AS23" s="85">
        <v>10.309335000000001</v>
      </c>
      <c r="AT23" s="85">
        <v>2.3781819999999999E-2</v>
      </c>
      <c r="AU23" s="85">
        <v>3.9500000000000001E-4</v>
      </c>
      <c r="AV23" s="85">
        <v>-4.2574399999999995E-3</v>
      </c>
      <c r="AW23" s="85">
        <v>-3.1353400000000003E-3</v>
      </c>
      <c r="AX23" s="85">
        <v>-3.2129400000000001E-3</v>
      </c>
      <c r="AY23" s="85">
        <v>-1.47211E-3</v>
      </c>
      <c r="AZ23" s="85">
        <v>3.0692000000000002E-4</v>
      </c>
      <c r="BA23" s="85">
        <v>-1.0279000000000001E-4</v>
      </c>
      <c r="BB23" s="85">
        <v>-1.35542E-3</v>
      </c>
      <c r="BC23" s="85">
        <v>-3.0782999999999999E-4</v>
      </c>
      <c r="BD23" s="85">
        <v>-1.16E-4</v>
      </c>
      <c r="BE23" s="85">
        <v>-4.0989999999999999E-5</v>
      </c>
      <c r="BF23" s="85">
        <f t="shared" si="10"/>
        <v>1.048288E-2</v>
      </c>
      <c r="BG23" s="85">
        <v>1.0482999999999999E-2</v>
      </c>
      <c r="BH23" s="85">
        <v>1.0399999999999999E-4</v>
      </c>
      <c r="BI23" s="85">
        <v>1.0399999999999999E-4</v>
      </c>
      <c r="BJ23" s="85">
        <v>1.0399999999999999E-4</v>
      </c>
      <c r="BK23" s="85">
        <v>1.0399999999999999E-4</v>
      </c>
      <c r="BL23" s="85">
        <v>1.0399999999999999E-4</v>
      </c>
      <c r="BM23" s="85">
        <v>1.0399999999999999E-4</v>
      </c>
      <c r="BN23" s="85">
        <v>4.2299999999999998E-4</v>
      </c>
      <c r="BO23" s="85">
        <v>1.0399999999999999E-4</v>
      </c>
      <c r="BP23" s="85">
        <v>1.0399999999999999E-4</v>
      </c>
      <c r="BQ23" s="85">
        <v>4.2299999999999998E-4</v>
      </c>
      <c r="BR23" s="85">
        <v>3.0699999999999998E-4</v>
      </c>
      <c r="BS23" s="85">
        <v>7.9998999999999999E-4</v>
      </c>
      <c r="BT23" s="88">
        <f t="shared" si="15"/>
        <v>2.7849899999999998E-3</v>
      </c>
      <c r="BU23" s="85">
        <v>2.7850000000000001E-3</v>
      </c>
      <c r="BV23" s="85">
        <v>0</v>
      </c>
      <c r="BW23" s="85">
        <v>0</v>
      </c>
      <c r="BX23" s="85">
        <v>0</v>
      </c>
      <c r="BY23" s="85">
        <v>0</v>
      </c>
      <c r="BZ23" s="85">
        <v>0</v>
      </c>
      <c r="CA23" s="85">
        <v>0</v>
      </c>
      <c r="CB23" s="85">
        <v>0</v>
      </c>
      <c r="CC23" s="85">
        <v>0</v>
      </c>
      <c r="CD23" s="85">
        <v>0</v>
      </c>
      <c r="CE23" s="85">
        <v>0</v>
      </c>
      <c r="CF23" s="85">
        <v>0</v>
      </c>
      <c r="CG23" s="85">
        <v>0</v>
      </c>
      <c r="CH23" s="88">
        <f t="shared" si="16"/>
        <v>0</v>
      </c>
      <c r="CI23" s="85"/>
      <c r="CJ23" s="85">
        <v>0</v>
      </c>
      <c r="CK23" s="85">
        <v>0</v>
      </c>
      <c r="CL23" s="85">
        <v>0</v>
      </c>
      <c r="CM23" s="85"/>
      <c r="CN23" s="85">
        <v>0</v>
      </c>
      <c r="CO23" s="85"/>
      <c r="CP23" s="85"/>
      <c r="CQ23" s="185"/>
      <c r="CR23" s="88">
        <v>0</v>
      </c>
      <c r="CS23" s="88">
        <v>0</v>
      </c>
      <c r="CT23" s="88">
        <v>0</v>
      </c>
      <c r="CU23" s="88">
        <v>0</v>
      </c>
      <c r="CV23" s="88">
        <f t="shared" si="21"/>
        <v>0</v>
      </c>
      <c r="CW23" s="88"/>
      <c r="CX23" s="88">
        <v>0</v>
      </c>
      <c r="CY23" s="88">
        <v>0</v>
      </c>
      <c r="CZ23" s="88">
        <v>0</v>
      </c>
      <c r="DA23" s="88">
        <v>0</v>
      </c>
      <c r="DB23" s="88">
        <v>0</v>
      </c>
      <c r="DC23" s="88">
        <v>0</v>
      </c>
      <c r="DD23" s="88">
        <v>0</v>
      </c>
      <c r="DE23" s="88">
        <v>0</v>
      </c>
      <c r="DF23" s="88">
        <v>0</v>
      </c>
      <c r="DG23" s="88">
        <v>0</v>
      </c>
      <c r="DH23" s="88"/>
      <c r="DI23" s="88"/>
      <c r="DJ23" s="88">
        <f t="shared" si="22"/>
        <v>0</v>
      </c>
      <c r="DK23" s="85"/>
      <c r="DL23" s="85"/>
      <c r="DM23" s="85"/>
      <c r="DN23" s="85"/>
      <c r="DO23" s="85"/>
      <c r="DP23" s="85"/>
      <c r="DR23" s="85"/>
      <c r="DS23" s="85"/>
      <c r="DT23" s="85"/>
      <c r="DU23" s="85"/>
      <c r="DV23" s="85"/>
      <c r="DW23" s="85"/>
      <c r="DX23" s="88">
        <f t="shared" si="23"/>
        <v>0</v>
      </c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8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8">
        <f t="shared" si="18"/>
        <v>0</v>
      </c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  <c r="FL23" s="85"/>
      <c r="FM23" s="85"/>
      <c r="FN23" s="88">
        <f t="shared" si="11"/>
        <v>0</v>
      </c>
      <c r="FO23" s="85"/>
      <c r="FP23" s="85"/>
      <c r="FQ23" s="85">
        <v>5.1128513599999996</v>
      </c>
      <c r="FR23" s="85"/>
      <c r="FS23" s="85"/>
      <c r="FT23" s="85"/>
      <c r="FU23" s="85"/>
      <c r="FV23" s="85"/>
      <c r="FW23" s="85"/>
      <c r="FX23" s="85"/>
      <c r="FY23" s="85"/>
      <c r="FZ23" s="85"/>
      <c r="GA23" s="307">
        <f t="shared" si="19"/>
        <v>0</v>
      </c>
      <c r="GB23" s="307">
        <f t="shared" si="20"/>
        <v>5.112851</v>
      </c>
      <c r="GC23" s="308">
        <f t="shared" si="12"/>
        <v>5.112851</v>
      </c>
      <c r="GD23" s="308"/>
    </row>
    <row r="24" spans="1:186" s="12" customFormat="1" ht="20.5">
      <c r="A24" s="72" t="s">
        <v>71</v>
      </c>
      <c r="B24" s="13" t="s">
        <v>72</v>
      </c>
      <c r="C24" s="77" t="s">
        <v>73</v>
      </c>
      <c r="D24" s="45">
        <v>7.7209199999999996</v>
      </c>
      <c r="E24" s="50">
        <v>5.3837869999999999</v>
      </c>
      <c r="F24" s="50">
        <v>5.9707749999999997</v>
      </c>
      <c r="G24" s="50">
        <v>6.3405370000000003</v>
      </c>
      <c r="H24" s="50">
        <v>6.7012299999999998</v>
      </c>
      <c r="I24" s="50">
        <v>6.3851550000000001</v>
      </c>
      <c r="J24" s="50">
        <v>7.3181250999999996</v>
      </c>
      <c r="K24" s="50">
        <v>6.0627509999999996</v>
      </c>
      <c r="L24" s="50">
        <v>6.1593288799999995</v>
      </c>
      <c r="M24" s="50">
        <v>5.9734575799999998</v>
      </c>
      <c r="N24" s="50">
        <v>4.47831549</v>
      </c>
      <c r="O24" s="50">
        <v>5.00969189</v>
      </c>
      <c r="P24" s="85">
        <f t="shared" si="7"/>
        <v>73.504073939999998</v>
      </c>
      <c r="Q24" s="44">
        <v>73.504071999999994</v>
      </c>
      <c r="R24" s="50">
        <v>8.9998730299999998</v>
      </c>
      <c r="S24" s="50">
        <v>5.8480398600000001</v>
      </c>
      <c r="T24" s="50">
        <v>6.8154553100000008</v>
      </c>
      <c r="U24" s="50">
        <v>6.6337985700000006</v>
      </c>
      <c r="V24" s="50">
        <v>6.7456630799999999</v>
      </c>
      <c r="W24" s="50">
        <v>6.8664564399999994</v>
      </c>
      <c r="X24" s="50">
        <v>7.2347767999999997</v>
      </c>
      <c r="Y24" s="50">
        <v>6.3162678799999998</v>
      </c>
      <c r="Z24" s="50">
        <v>6.20234679</v>
      </c>
      <c r="AA24" s="50">
        <v>6.3470968599999997</v>
      </c>
      <c r="AB24" s="50">
        <v>5.3886693399999999</v>
      </c>
      <c r="AC24" s="50">
        <v>5.9861039099999998</v>
      </c>
      <c r="AD24" s="85">
        <f t="shared" si="8"/>
        <v>79.384547870000006</v>
      </c>
      <c r="AE24" s="85">
        <v>79.384547999999995</v>
      </c>
      <c r="AF24" s="85">
        <v>8.2673971399999999</v>
      </c>
      <c r="AG24" s="85">
        <v>6.4367554800000004</v>
      </c>
      <c r="AH24" s="85">
        <v>6.8213365600000007</v>
      </c>
      <c r="AI24" s="85">
        <v>7.0754652499999997</v>
      </c>
      <c r="AJ24" s="85">
        <v>7.9538630299999991</v>
      </c>
      <c r="AK24" s="85">
        <v>7.1191935299999995</v>
      </c>
      <c r="AL24" s="85">
        <v>7.3891406500000008</v>
      </c>
      <c r="AM24" s="85">
        <v>7.4822211699999999</v>
      </c>
      <c r="AN24" s="85">
        <v>6.2067744800000009</v>
      </c>
      <c r="AO24" s="85">
        <v>6.4850332800000006</v>
      </c>
      <c r="AP24" s="85">
        <v>6.0175674299999997</v>
      </c>
      <c r="AQ24" s="85">
        <v>6.4588300399999996</v>
      </c>
      <c r="AR24" s="85">
        <f t="shared" si="9"/>
        <v>83.713578040000002</v>
      </c>
      <c r="AS24" s="85">
        <v>83.713577999999998</v>
      </c>
      <c r="AT24" s="85">
        <v>9.6037743399999993</v>
      </c>
      <c r="AU24" s="85">
        <v>6.3459881900000008</v>
      </c>
      <c r="AV24" s="85">
        <v>7.8712047699999994</v>
      </c>
      <c r="AW24" s="85">
        <v>7.1082731700000004</v>
      </c>
      <c r="AX24" s="85">
        <v>8.4954813199999997</v>
      </c>
      <c r="AY24" s="85">
        <v>8.1261642500000004</v>
      </c>
      <c r="AZ24" s="85">
        <v>8.4876839299999993</v>
      </c>
      <c r="BA24" s="85">
        <v>8.3203297599999999</v>
      </c>
      <c r="BB24" s="85">
        <v>6.7761977400000006</v>
      </c>
      <c r="BC24" s="85">
        <v>7.0654540199999998</v>
      </c>
      <c r="BD24" s="85">
        <v>6.4246461699999999</v>
      </c>
      <c r="BE24" s="85">
        <v>6.3923863399999998</v>
      </c>
      <c r="BF24" s="85">
        <f t="shared" si="10"/>
        <v>91.017583999999999</v>
      </c>
      <c r="BG24" s="85">
        <v>91.017583999999999</v>
      </c>
      <c r="BH24" s="85">
        <v>10.891072339999999</v>
      </c>
      <c r="BI24" s="85">
        <v>7.3980420000000002</v>
      </c>
      <c r="BJ24" s="85">
        <v>7.7811672900000008</v>
      </c>
      <c r="BK24" s="85">
        <v>8.15032508</v>
      </c>
      <c r="BL24" s="85">
        <v>8.8403837899999989</v>
      </c>
      <c r="BM24" s="85">
        <v>8.4143292100000018</v>
      </c>
      <c r="BN24" s="85">
        <v>8.6341466400000009</v>
      </c>
      <c r="BO24" s="85">
        <v>7.941980130000001</v>
      </c>
      <c r="BP24" s="85">
        <v>6.7211733499999999</v>
      </c>
      <c r="BQ24" s="85">
        <v>7.6233613</v>
      </c>
      <c r="BR24" s="85">
        <v>6.3384984199999996</v>
      </c>
      <c r="BS24" s="85">
        <v>5.5662266499999999</v>
      </c>
      <c r="BT24" s="88">
        <f t="shared" si="15"/>
        <v>94.300706199999993</v>
      </c>
      <c r="BU24" s="85">
        <v>94.300706000000005</v>
      </c>
      <c r="BV24" s="85">
        <v>10.174811419999999</v>
      </c>
      <c r="BW24" s="85">
        <v>7.5096290999999997</v>
      </c>
      <c r="BX24" s="85">
        <v>8.8483956299999988</v>
      </c>
      <c r="BY24" s="85">
        <v>8.4541108700000009</v>
      </c>
      <c r="BZ24" s="85">
        <v>8.4132070099999989</v>
      </c>
      <c r="CA24" s="85">
        <v>7.7257525399999993</v>
      </c>
      <c r="CB24" s="85">
        <v>9.0754060899999995</v>
      </c>
      <c r="CC24" s="85">
        <v>8.054383210000001</v>
      </c>
      <c r="CD24" s="85">
        <v>7.4493456899999995</v>
      </c>
      <c r="CE24" s="85">
        <v>7.9363437699999997</v>
      </c>
      <c r="CF24" s="85">
        <v>6.0775305700000004</v>
      </c>
      <c r="CG24" s="85">
        <v>5.5800379299999996</v>
      </c>
      <c r="CH24" s="88">
        <f t="shared" si="16"/>
        <v>95.298953830000016</v>
      </c>
      <c r="CI24" s="85">
        <v>95.298953999999995</v>
      </c>
      <c r="CJ24" s="85">
        <v>10.821935570000001</v>
      </c>
      <c r="CK24" s="85">
        <v>7.8094413200000004</v>
      </c>
      <c r="CL24" s="85">
        <v>8.3805289500000004</v>
      </c>
      <c r="CM24" s="85">
        <v>7.5729200600000004</v>
      </c>
      <c r="CN24" s="85">
        <v>8.13636056</v>
      </c>
      <c r="CO24" s="85">
        <v>8.1171277000000011</v>
      </c>
      <c r="CP24" s="85">
        <v>9.7340493299999995</v>
      </c>
      <c r="CQ24" s="185">
        <v>7.9889552899999998</v>
      </c>
      <c r="CR24" s="88">
        <v>7.94003733</v>
      </c>
      <c r="CS24" s="88">
        <v>7.5684057400000002</v>
      </c>
      <c r="CT24" s="88">
        <v>6.6801850200000006</v>
      </c>
      <c r="CU24" s="88">
        <v>6.696460029999999</v>
      </c>
      <c r="CV24" s="88">
        <f t="shared" si="21"/>
        <v>97.446406899999999</v>
      </c>
      <c r="CW24" s="88">
        <v>97.446406999999994</v>
      </c>
      <c r="CX24" s="88">
        <v>9.7757996899999995</v>
      </c>
      <c r="CY24" s="88">
        <v>7.6553680299999991</v>
      </c>
      <c r="CZ24" s="88">
        <v>9.9519380300000009</v>
      </c>
      <c r="DA24" s="88">
        <v>8.8235363499999995</v>
      </c>
      <c r="DB24" s="88">
        <v>8.4036477899999991</v>
      </c>
      <c r="DC24" s="88">
        <v>8.4375343399999991</v>
      </c>
      <c r="DD24" s="88">
        <v>9.3987283700000006</v>
      </c>
      <c r="DE24" s="88">
        <v>8.7589773700001121</v>
      </c>
      <c r="DF24" s="88">
        <v>7.9278119500000015</v>
      </c>
      <c r="DG24" s="88">
        <v>7.4875334399999991</v>
      </c>
      <c r="DH24" s="88">
        <v>6.7729282300000007</v>
      </c>
      <c r="DI24" s="88">
        <v>6.5992597499999999</v>
      </c>
      <c r="DJ24" s="88">
        <f t="shared" si="22"/>
        <v>99.99306334000012</v>
      </c>
      <c r="DK24" s="85">
        <v>99.992936</v>
      </c>
      <c r="DL24" s="85">
        <v>11.201256769999999</v>
      </c>
      <c r="DM24" s="85">
        <v>8.1970305999999997</v>
      </c>
      <c r="DN24" s="85">
        <v>9.829315170000001</v>
      </c>
      <c r="DO24" s="85">
        <v>8.0720415900000013</v>
      </c>
      <c r="DP24" s="85">
        <v>9.1310759199999989</v>
      </c>
      <c r="DQ24" s="85">
        <v>8.4013734499999995</v>
      </c>
      <c r="DR24" s="85">
        <v>8.9128371499999997</v>
      </c>
      <c r="DS24" s="85">
        <v>9.0753390500000002</v>
      </c>
      <c r="DT24" s="85">
        <v>7.8482544500000007</v>
      </c>
      <c r="DU24" s="85">
        <v>7.5056207100000005</v>
      </c>
      <c r="DV24" s="85">
        <v>6.98839875</v>
      </c>
      <c r="DW24" s="85">
        <v>6.298886669999999</v>
      </c>
      <c r="DX24" s="88">
        <f t="shared" si="23"/>
        <v>101.46143028000002</v>
      </c>
      <c r="DY24" s="85">
        <v>101.46143000000001</v>
      </c>
      <c r="DZ24" s="85">
        <v>11.72114891</v>
      </c>
      <c r="EA24" s="85">
        <v>8.1808069000000003</v>
      </c>
      <c r="EB24" s="85">
        <v>9.9148641300000016</v>
      </c>
      <c r="EC24" s="85">
        <v>8.1541350499999989</v>
      </c>
      <c r="ED24" s="85">
        <v>9.2046899</v>
      </c>
      <c r="EE24" s="85">
        <v>8.9229247899999997</v>
      </c>
      <c r="EF24" s="85">
        <v>8.9798910999999997</v>
      </c>
      <c r="EG24" s="85">
        <v>9.0953692699999991</v>
      </c>
      <c r="EH24" s="85">
        <v>7.6266981999999999</v>
      </c>
      <c r="EI24" s="85">
        <v>7.8464128800000008</v>
      </c>
      <c r="EJ24" s="85">
        <v>6.8528797799999994</v>
      </c>
      <c r="EK24" s="85">
        <v>6.0338129700000005</v>
      </c>
      <c r="EL24" s="88">
        <f t="shared" si="17"/>
        <v>102.53363387999998</v>
      </c>
      <c r="EM24" s="85">
        <v>102.53363299999999</v>
      </c>
      <c r="EN24" s="85">
        <v>11.531470430000001</v>
      </c>
      <c r="EO24" s="85">
        <v>8.576314309999999</v>
      </c>
      <c r="EP24" s="85">
        <v>8.9440178800000005</v>
      </c>
      <c r="EQ24" s="85">
        <v>9.16692134</v>
      </c>
      <c r="ER24" s="85">
        <v>8.9714888800000008</v>
      </c>
      <c r="ES24" s="85">
        <v>8.1102570299999996</v>
      </c>
      <c r="ET24" s="85">
        <v>9.6214650900000009</v>
      </c>
      <c r="EU24" s="85">
        <v>8.4275544700000005</v>
      </c>
      <c r="EV24" s="85">
        <v>7.8474719699999991</v>
      </c>
      <c r="EW24" s="85">
        <v>8.3407920600000001</v>
      </c>
      <c r="EX24" s="85">
        <v>6.8199880499999992</v>
      </c>
      <c r="EY24" s="85">
        <v>5.96442155</v>
      </c>
      <c r="EZ24" s="88">
        <f t="shared" si="18"/>
        <v>102.32216306000001</v>
      </c>
      <c r="FA24" s="85">
        <v>102.322163</v>
      </c>
      <c r="FB24" s="85">
        <v>13.814018779999998</v>
      </c>
      <c r="FC24" s="85">
        <v>8.8957136400000003</v>
      </c>
      <c r="FD24" s="85">
        <v>10.286344570000001</v>
      </c>
      <c r="FE24" s="85">
        <v>9.5147276200000004</v>
      </c>
      <c r="FF24" s="85">
        <v>9.421090809999999</v>
      </c>
      <c r="FG24" s="85">
        <v>8.966416670000001</v>
      </c>
      <c r="FH24" s="85">
        <v>10.90712529</v>
      </c>
      <c r="FI24" s="85">
        <v>9.4933171400000003</v>
      </c>
      <c r="FJ24" s="85">
        <v>9.3090895299999996</v>
      </c>
      <c r="FK24" s="85">
        <v>9.2210889399999996</v>
      </c>
      <c r="FL24" s="85">
        <v>7.05665794</v>
      </c>
      <c r="FM24" s="85">
        <v>6.5373961699999992</v>
      </c>
      <c r="FN24" s="88">
        <f t="shared" si="11"/>
        <v>113.42298709999999</v>
      </c>
      <c r="FO24" s="85">
        <v>15.937897449999999</v>
      </c>
      <c r="FP24" s="85">
        <v>8.4379887299999989</v>
      </c>
      <c r="FQ24" s="85">
        <v>10.403929209999999</v>
      </c>
      <c r="FR24" s="85">
        <v>9.2540353399999997</v>
      </c>
      <c r="FS24" s="85"/>
      <c r="FT24" s="85"/>
      <c r="FU24" s="85"/>
      <c r="FV24" s="85"/>
      <c r="FW24" s="85"/>
      <c r="FX24" s="85"/>
      <c r="FY24" s="85"/>
      <c r="FZ24" s="85"/>
      <c r="GA24" s="307">
        <f t="shared" si="19"/>
        <v>42.510804999999998</v>
      </c>
      <c r="GB24" s="307">
        <f t="shared" si="20"/>
        <v>44.033850999999999</v>
      </c>
      <c r="GC24" s="308">
        <f>GB24-GA24</f>
        <v>1.5230460000000008</v>
      </c>
      <c r="GD24" s="308">
        <f t="shared" si="13"/>
        <v>3.5827267914592511</v>
      </c>
    </row>
    <row r="25" spans="1:186" s="12" customFormat="1" ht="20.5">
      <c r="A25" s="72" t="s">
        <v>74</v>
      </c>
      <c r="B25" s="13" t="s">
        <v>75</v>
      </c>
      <c r="C25" s="77" t="s">
        <v>76</v>
      </c>
      <c r="D25" s="45">
        <v>1.464642</v>
      </c>
      <c r="E25" s="50">
        <v>1.345288</v>
      </c>
      <c r="F25" s="50">
        <v>1.3303910000000001</v>
      </c>
      <c r="G25" s="50">
        <v>1.6748670000000001</v>
      </c>
      <c r="H25" s="50">
        <v>1.2231590000000001</v>
      </c>
      <c r="I25" s="50">
        <v>1.4581200000000001</v>
      </c>
      <c r="J25" s="50">
        <v>1.66621822</v>
      </c>
      <c r="K25" s="50">
        <v>1.4971730000000001</v>
      </c>
      <c r="L25" s="50">
        <v>1.62653895</v>
      </c>
      <c r="M25" s="50">
        <v>1.75303637</v>
      </c>
      <c r="N25" s="50">
        <v>1.4071057</v>
      </c>
      <c r="O25" s="50">
        <v>2.7657597000000003</v>
      </c>
      <c r="P25" s="85">
        <f t="shared" si="7"/>
        <v>19.21229894</v>
      </c>
      <c r="Q25" s="44">
        <v>19.212299999999999</v>
      </c>
      <c r="R25" s="50">
        <v>1.8142865100000001</v>
      </c>
      <c r="S25" s="50">
        <v>1.3916383600000002</v>
      </c>
      <c r="T25" s="50">
        <v>1.4980413100000001</v>
      </c>
      <c r="U25" s="50">
        <v>1.5695227300000001</v>
      </c>
      <c r="V25" s="50">
        <v>1.53773837</v>
      </c>
      <c r="W25" s="50">
        <v>1.5208728300000001</v>
      </c>
      <c r="X25" s="50">
        <v>1.59108925</v>
      </c>
      <c r="Y25" s="50">
        <v>1.4485865</v>
      </c>
      <c r="Z25" s="50">
        <v>1.71963691</v>
      </c>
      <c r="AA25" s="50">
        <v>1.78507628</v>
      </c>
      <c r="AB25" s="50">
        <v>1.6070051699999999</v>
      </c>
      <c r="AC25" s="50">
        <v>2.85881585</v>
      </c>
      <c r="AD25" s="85">
        <f t="shared" si="8"/>
        <v>20.34231007</v>
      </c>
      <c r="AE25" s="85">
        <v>20.342310000000001</v>
      </c>
      <c r="AF25" s="85">
        <v>1.7430713600000001</v>
      </c>
      <c r="AG25" s="85">
        <v>1.48429214</v>
      </c>
      <c r="AH25" s="85">
        <v>1.5434508300000001</v>
      </c>
      <c r="AI25" s="85">
        <v>1.5279576699999999</v>
      </c>
      <c r="AJ25" s="85">
        <v>1.7700201200000001</v>
      </c>
      <c r="AK25" s="85">
        <v>1.6915508700000002</v>
      </c>
      <c r="AL25" s="85">
        <v>1.7506129099999999</v>
      </c>
      <c r="AM25" s="85">
        <v>1.74493163</v>
      </c>
      <c r="AN25" s="85">
        <v>1.6418075700000001</v>
      </c>
      <c r="AO25" s="85">
        <v>1.83067592</v>
      </c>
      <c r="AP25" s="85">
        <v>1.91663731</v>
      </c>
      <c r="AQ25" s="85">
        <v>2.9907668900000002</v>
      </c>
      <c r="AR25" s="85">
        <f t="shared" si="9"/>
        <v>21.635775219999999</v>
      </c>
      <c r="AS25" s="85">
        <v>21.635774999999999</v>
      </c>
      <c r="AT25" s="85">
        <v>1.80924391</v>
      </c>
      <c r="AU25" s="85">
        <v>1.4417031</v>
      </c>
      <c r="AV25" s="85">
        <v>1.6973851100000001</v>
      </c>
      <c r="AW25" s="85">
        <v>1.6195672400000001</v>
      </c>
      <c r="AX25" s="85">
        <v>1.7821058600000002</v>
      </c>
      <c r="AY25" s="85">
        <v>1.8181615</v>
      </c>
      <c r="AZ25" s="85">
        <v>1.88930091</v>
      </c>
      <c r="BA25" s="85">
        <v>1.8553165900000002</v>
      </c>
      <c r="BB25" s="85">
        <v>1.5840045600000001</v>
      </c>
      <c r="BC25" s="85">
        <v>1.8613401299999999</v>
      </c>
      <c r="BD25" s="85">
        <v>1.74089951</v>
      </c>
      <c r="BE25" s="85">
        <v>2.7196116200000002</v>
      </c>
      <c r="BF25" s="85">
        <f t="shared" si="10"/>
        <v>21.818640039999998</v>
      </c>
      <c r="BG25" s="85">
        <v>21.818639999999998</v>
      </c>
      <c r="BH25" s="85">
        <v>1.74803526</v>
      </c>
      <c r="BI25" s="85">
        <v>1.4805035900000001</v>
      </c>
      <c r="BJ25" s="85">
        <v>1.6933663999999999</v>
      </c>
      <c r="BK25" s="85">
        <v>1.7318391399999999</v>
      </c>
      <c r="BL25" s="85">
        <v>1.85241992</v>
      </c>
      <c r="BM25" s="85">
        <v>1.7117259899999999</v>
      </c>
      <c r="BN25" s="85">
        <v>1.81262576</v>
      </c>
      <c r="BO25" s="85">
        <v>1.7631438799999999</v>
      </c>
      <c r="BP25" s="85">
        <v>1.6085973200000001</v>
      </c>
      <c r="BQ25" s="85">
        <v>1.9155354</v>
      </c>
      <c r="BR25" s="85">
        <v>1.7026931599999999</v>
      </c>
      <c r="BS25" s="85">
        <v>2.4751543300000001</v>
      </c>
      <c r="BT25" s="88">
        <f t="shared" si="15"/>
        <v>21.495640149999996</v>
      </c>
      <c r="BU25" s="85">
        <v>21.495640000000002</v>
      </c>
      <c r="BV25" s="85">
        <v>1.6517012099999999</v>
      </c>
      <c r="BW25" s="85">
        <v>1.4942178400000001</v>
      </c>
      <c r="BX25" s="85">
        <v>1.74553772</v>
      </c>
      <c r="BY25" s="85">
        <v>1.65960591</v>
      </c>
      <c r="BZ25" s="85">
        <v>1.6570928</v>
      </c>
      <c r="CA25" s="85">
        <v>1.6059766200000001</v>
      </c>
      <c r="CB25" s="85">
        <v>1.8292282600000001</v>
      </c>
      <c r="CC25" s="85">
        <v>1.6812087600000001</v>
      </c>
      <c r="CD25" s="85">
        <v>1.7183914199999999</v>
      </c>
      <c r="CE25" s="85">
        <v>1.9248375900000001</v>
      </c>
      <c r="CF25" s="85">
        <v>1.6414489800000001</v>
      </c>
      <c r="CG25" s="85">
        <v>2.5044418900000003</v>
      </c>
      <c r="CH25" s="88">
        <f t="shared" si="16"/>
        <v>21.113688999999997</v>
      </c>
      <c r="CI25" s="85">
        <v>21.113689000000001</v>
      </c>
      <c r="CJ25" s="85">
        <v>1.8291967600000001</v>
      </c>
      <c r="CK25" s="85">
        <v>1.60002589</v>
      </c>
      <c r="CL25" s="85">
        <v>1.7223714699999999</v>
      </c>
      <c r="CM25" s="85">
        <v>1.60502297</v>
      </c>
      <c r="CN25" s="85">
        <v>1.6835539399999999</v>
      </c>
      <c r="CO25" s="85">
        <v>1.7110373000000001</v>
      </c>
      <c r="CP25" s="85">
        <v>1.93351903</v>
      </c>
      <c r="CQ25" s="185">
        <v>1.67678393</v>
      </c>
      <c r="CR25" s="88">
        <v>1.7669434900000001</v>
      </c>
      <c r="CS25" s="88">
        <v>1.7988426899999999</v>
      </c>
      <c r="CT25" s="88">
        <v>1.6819513100000001</v>
      </c>
      <c r="CU25" s="88">
        <v>2.7605061699999998</v>
      </c>
      <c r="CV25" s="88">
        <f t="shared" si="21"/>
        <v>21.769754949999996</v>
      </c>
      <c r="CW25" s="88">
        <v>21.769755</v>
      </c>
      <c r="CX25" s="88">
        <v>1.51910397</v>
      </c>
      <c r="CY25" s="88">
        <v>1.59155183</v>
      </c>
      <c r="CZ25" s="88">
        <v>2.0258117599999999</v>
      </c>
      <c r="DA25" s="88">
        <v>1.7385583500000001</v>
      </c>
      <c r="DB25" s="88">
        <v>1.6534264999999999</v>
      </c>
      <c r="DC25" s="88">
        <v>1.7993940100000001</v>
      </c>
      <c r="DD25" s="88">
        <v>1.97089212</v>
      </c>
      <c r="DE25" s="88">
        <v>1.9286020100000001</v>
      </c>
      <c r="DF25" s="88">
        <v>1.8826303899999999</v>
      </c>
      <c r="DG25" s="88">
        <v>1.9856059699999999</v>
      </c>
      <c r="DH25" s="88">
        <v>1.6997702299999999</v>
      </c>
      <c r="DI25" s="88">
        <v>2.7275345400000002</v>
      </c>
      <c r="DJ25" s="88">
        <f t="shared" si="22"/>
        <v>22.522881679999998</v>
      </c>
      <c r="DK25" s="85">
        <v>22.522881000000002</v>
      </c>
      <c r="DL25" s="85">
        <v>1.6737566000000001</v>
      </c>
      <c r="DM25" s="85">
        <v>1.7770114699999999</v>
      </c>
      <c r="DN25" s="85">
        <v>1.95462969</v>
      </c>
      <c r="DO25" s="85">
        <v>1.60430856</v>
      </c>
      <c r="DP25" s="85">
        <v>1.7040713200000002</v>
      </c>
      <c r="DQ25" s="85">
        <v>1.79308928</v>
      </c>
      <c r="DR25" s="85">
        <v>1.8735011399999999</v>
      </c>
      <c r="DS25" s="85">
        <v>1.9456206200000001</v>
      </c>
      <c r="DT25" s="85">
        <v>1.96630156</v>
      </c>
      <c r="DU25" s="85">
        <v>1.83570385</v>
      </c>
      <c r="DV25" s="85">
        <v>1.86413915</v>
      </c>
      <c r="DW25" s="85">
        <v>2.4556930499999998</v>
      </c>
      <c r="DX25" s="88">
        <f t="shared" si="23"/>
        <v>22.447826290000002</v>
      </c>
      <c r="DY25" s="85">
        <v>22.447825999999999</v>
      </c>
      <c r="DZ25" s="85">
        <v>1.8721875800000001</v>
      </c>
      <c r="EA25" s="85">
        <v>1.7593479599999999</v>
      </c>
      <c r="EB25" s="85">
        <v>2.1674899999999999</v>
      </c>
      <c r="EC25" s="85">
        <v>1.7793641899999999</v>
      </c>
      <c r="ED25" s="85">
        <v>1.9541126499999999</v>
      </c>
      <c r="EE25" s="85">
        <v>2.1627993500000002</v>
      </c>
      <c r="EF25" s="85">
        <v>2.17109481</v>
      </c>
      <c r="EG25" s="85">
        <v>2.3352397999999996</v>
      </c>
      <c r="EH25" s="85">
        <v>2.0904618999999998</v>
      </c>
      <c r="EI25" s="85">
        <v>2.1287293700000003</v>
      </c>
      <c r="EJ25" s="85">
        <v>2.0351366799999999</v>
      </c>
      <c r="EK25" s="85">
        <v>2.8864420800000001</v>
      </c>
      <c r="EL25" s="88">
        <f t="shared" si="17"/>
        <v>25.342406370000006</v>
      </c>
      <c r="EM25" s="85">
        <v>25.342406</v>
      </c>
      <c r="EN25" s="85">
        <v>2.3733082400000001</v>
      </c>
      <c r="EO25" s="85">
        <v>2.1929507999999998</v>
      </c>
      <c r="EP25" s="85">
        <v>2.1970225099999996</v>
      </c>
      <c r="EQ25" s="85">
        <v>2.3204088599999997</v>
      </c>
      <c r="ER25" s="85">
        <v>2.2439511899999998</v>
      </c>
      <c r="ES25" s="85">
        <v>2.1908277200000001</v>
      </c>
      <c r="ET25" s="85">
        <v>2.6556222599999999</v>
      </c>
      <c r="EU25" s="85">
        <v>2.3621316800000001</v>
      </c>
      <c r="EV25" s="85">
        <v>2.3450780400000002</v>
      </c>
      <c r="EW25" s="85">
        <v>2.46555875</v>
      </c>
      <c r="EX25" s="85">
        <v>2.2187987400000004</v>
      </c>
      <c r="EY25" s="85">
        <v>2.9367358299999999</v>
      </c>
      <c r="EZ25" s="88">
        <f t="shared" si="18"/>
        <v>28.50239462</v>
      </c>
      <c r="FA25" s="85">
        <v>28.502395</v>
      </c>
      <c r="FB25" s="85">
        <v>2.5845109700000002</v>
      </c>
      <c r="FC25" s="85">
        <v>2.2717374000000001</v>
      </c>
      <c r="FD25" s="85">
        <v>2.7039917599999996</v>
      </c>
      <c r="FE25" s="85">
        <v>2.0821107300000001</v>
      </c>
      <c r="FF25" s="85">
        <v>2.2978995099999997</v>
      </c>
      <c r="FG25" s="85">
        <v>2.2689142100000002</v>
      </c>
      <c r="FH25" s="85">
        <v>2.7275595799999999</v>
      </c>
      <c r="FI25" s="85">
        <v>2.3731192599999997</v>
      </c>
      <c r="FJ25" s="85">
        <v>2.34369234</v>
      </c>
      <c r="FK25" s="85">
        <v>2.7215479999999999</v>
      </c>
      <c r="FL25" s="85">
        <v>2.1656499900000004</v>
      </c>
      <c r="FM25" s="85">
        <v>2.9930278800000001</v>
      </c>
      <c r="FN25" s="88">
        <f t="shared" si="11"/>
        <v>29.533761630000001</v>
      </c>
      <c r="FO25" s="85">
        <v>2.7364943999999998</v>
      </c>
      <c r="FP25" s="85">
        <v>1.5915488500000001</v>
      </c>
      <c r="FQ25" s="85">
        <v>1.82105983</v>
      </c>
      <c r="FR25" s="85">
        <v>1.8403899399999999</v>
      </c>
      <c r="FS25" s="85"/>
      <c r="FT25" s="85"/>
      <c r="FU25" s="85"/>
      <c r="FV25" s="85"/>
      <c r="FW25" s="85"/>
      <c r="FX25" s="85"/>
      <c r="FY25" s="85"/>
      <c r="FZ25" s="85"/>
      <c r="GA25" s="307">
        <f t="shared" si="19"/>
        <v>9.6423509999999997</v>
      </c>
      <c r="GB25" s="307">
        <f t="shared" si="20"/>
        <v>7.9894930000000004</v>
      </c>
      <c r="GC25" s="308">
        <f t="shared" si="12"/>
        <v>-1.6528579999999993</v>
      </c>
      <c r="GD25" s="308">
        <f t="shared" si="13"/>
        <v>-17.141649375759087</v>
      </c>
    </row>
    <row r="26" spans="1:186" s="12" customFormat="1" ht="20.5">
      <c r="A26" s="72" t="s">
        <v>77</v>
      </c>
      <c r="B26" s="13" t="s">
        <v>78</v>
      </c>
      <c r="C26" s="77" t="s">
        <v>79</v>
      </c>
      <c r="D26" s="45">
        <v>6.6705E-2</v>
      </c>
      <c r="E26" s="50">
        <v>2.3619999999999999E-2</v>
      </c>
      <c r="F26" s="50">
        <v>4.3038E-2</v>
      </c>
      <c r="G26" s="50">
        <v>2.4420000000000001E-2</v>
      </c>
      <c r="H26" s="50">
        <v>0.211364</v>
      </c>
      <c r="I26" s="50">
        <v>0.18964900000000001</v>
      </c>
      <c r="J26" s="50">
        <v>0.22175163000000001</v>
      </c>
      <c r="K26" s="50">
        <v>0.20466200000000001</v>
      </c>
      <c r="L26" s="50">
        <v>0.22221407999999998</v>
      </c>
      <c r="M26" s="50">
        <v>0.21447126</v>
      </c>
      <c r="N26" s="50">
        <v>0.16290441</v>
      </c>
      <c r="O26" s="50">
        <v>0.15400082999999998</v>
      </c>
      <c r="P26" s="85">
        <f t="shared" si="7"/>
        <v>1.7388002100000002</v>
      </c>
      <c r="Q26" s="44">
        <v>1.738801</v>
      </c>
      <c r="R26" s="50">
        <v>0.16869942999999998</v>
      </c>
      <c r="S26" s="50">
        <v>0.19443963</v>
      </c>
      <c r="T26" s="50">
        <v>0.15385182</v>
      </c>
      <c r="U26" s="50">
        <v>2.757457E-2</v>
      </c>
      <c r="V26" s="50">
        <v>5.0280699999999999E-3</v>
      </c>
      <c r="W26" s="50">
        <v>8.4306829999999999E-2</v>
      </c>
      <c r="X26" s="50">
        <v>0.14750929999999998</v>
      </c>
      <c r="Y26" s="50">
        <v>0.19285376999999998</v>
      </c>
      <c r="Z26" s="50">
        <v>0.20462588000000001</v>
      </c>
      <c r="AA26" s="50">
        <v>0.19998973</v>
      </c>
      <c r="AB26" s="50">
        <v>0.14162060000000001</v>
      </c>
      <c r="AC26" s="50">
        <v>0.11406895</v>
      </c>
      <c r="AD26" s="85">
        <f t="shared" si="8"/>
        <v>1.63456858</v>
      </c>
      <c r="AE26" s="85">
        <v>1.6345689999999999</v>
      </c>
      <c r="AF26" s="85">
        <v>6.8695560000000003E-2</v>
      </c>
      <c r="AG26" s="85">
        <v>4.6174180000000002E-2</v>
      </c>
      <c r="AH26" s="85">
        <v>0.10861564</v>
      </c>
      <c r="AI26" s="85">
        <v>3.3916250000000002E-2</v>
      </c>
      <c r="AJ26" s="85">
        <v>3.33563E-3</v>
      </c>
      <c r="AK26" s="85">
        <v>2.7762389999999998E-2</v>
      </c>
      <c r="AL26" s="85">
        <v>0.11658578</v>
      </c>
      <c r="AM26" s="85">
        <v>0.13697257999999998</v>
      </c>
      <c r="AN26" s="85">
        <v>0.12242217999999999</v>
      </c>
      <c r="AO26" s="85">
        <v>0.16283581</v>
      </c>
      <c r="AP26" s="85">
        <v>6.2574470000000007E-2</v>
      </c>
      <c r="AQ26" s="85">
        <v>2.9742319999999999E-2</v>
      </c>
      <c r="AR26" s="85">
        <f t="shared" si="9"/>
        <v>0.91963278999999998</v>
      </c>
      <c r="AS26" s="85">
        <v>0.91963300000000003</v>
      </c>
      <c r="AT26" s="85">
        <v>1.858566E-2</v>
      </c>
      <c r="AU26" s="85">
        <v>0.43289674</v>
      </c>
      <c r="AV26" s="85">
        <v>0.49514332</v>
      </c>
      <c r="AW26" s="85">
        <v>0.42495002000000004</v>
      </c>
      <c r="AX26" s="85">
        <v>0.41550138000000003</v>
      </c>
      <c r="AY26" s="85">
        <v>0.40288032000000001</v>
      </c>
      <c r="AZ26" s="85">
        <v>0.36476267000000001</v>
      </c>
      <c r="BA26" s="85">
        <v>0.37962915999999997</v>
      </c>
      <c r="BB26" s="85">
        <v>0.38807791999999997</v>
      </c>
      <c r="BC26" s="85">
        <v>0.40013477000000003</v>
      </c>
      <c r="BD26" s="85">
        <v>0.43024863000000002</v>
      </c>
      <c r="BE26" s="85">
        <v>0.44948110999999996</v>
      </c>
      <c r="BF26" s="85">
        <f t="shared" si="10"/>
        <v>4.6022917000000003</v>
      </c>
      <c r="BG26" s="85">
        <v>4.6022920000000003</v>
      </c>
      <c r="BH26" s="85">
        <v>0.44239989000000002</v>
      </c>
      <c r="BI26" s="85">
        <v>0.46416684999999996</v>
      </c>
      <c r="BJ26" s="85">
        <v>0.41675265</v>
      </c>
      <c r="BK26" s="85">
        <v>0.48329960999999999</v>
      </c>
      <c r="BL26" s="85">
        <v>0.40844915999999998</v>
      </c>
      <c r="BM26" s="85">
        <v>0.40579187</v>
      </c>
      <c r="BN26" s="85">
        <v>0.39265522999999997</v>
      </c>
      <c r="BO26" s="85">
        <v>0.39961334999999998</v>
      </c>
      <c r="BP26" s="85">
        <v>0.41481840000000003</v>
      </c>
      <c r="BQ26" s="85">
        <v>0.36774628999999998</v>
      </c>
      <c r="BR26" s="85">
        <v>0.46139432000000002</v>
      </c>
      <c r="BS26" s="85">
        <v>0.34032835</v>
      </c>
      <c r="BT26" s="88">
        <f t="shared" si="15"/>
        <v>4.9974159700000005</v>
      </c>
      <c r="BU26" s="85">
        <v>4.9974160000000003</v>
      </c>
      <c r="BV26" s="85">
        <v>0.50939407999999997</v>
      </c>
      <c r="BW26" s="85">
        <v>0.46078637</v>
      </c>
      <c r="BX26" s="85">
        <v>0.41662242999999999</v>
      </c>
      <c r="BY26" s="85">
        <v>0.41325856</v>
      </c>
      <c r="BZ26" s="85">
        <v>0.38620088000000002</v>
      </c>
      <c r="CA26" s="85">
        <v>0.39408859000000002</v>
      </c>
      <c r="CB26" s="85">
        <v>0.37789851000000002</v>
      </c>
      <c r="CC26" s="85">
        <v>0.37604850000000001</v>
      </c>
      <c r="CD26" s="85">
        <v>0.48612346999999995</v>
      </c>
      <c r="CE26" s="85">
        <v>0.37778828999999997</v>
      </c>
      <c r="CF26" s="85">
        <v>0.41355782000000002</v>
      </c>
      <c r="CG26" s="85">
        <v>0.40563924000000001</v>
      </c>
      <c r="CH26" s="88">
        <f t="shared" si="16"/>
        <v>5.0174067400000002</v>
      </c>
      <c r="CI26" s="85">
        <v>5.0174070000000004</v>
      </c>
      <c r="CJ26" s="85">
        <v>0.43697147999999997</v>
      </c>
      <c r="CK26" s="85">
        <v>0.40816726000000003</v>
      </c>
      <c r="CL26" s="85">
        <v>0.42361599</v>
      </c>
      <c r="CM26" s="85">
        <v>0.42842878000000001</v>
      </c>
      <c r="CN26" s="85">
        <v>0.38668428000000005</v>
      </c>
      <c r="CO26" s="85">
        <v>0.36669816</v>
      </c>
      <c r="CP26" s="85">
        <v>0.35803962</v>
      </c>
      <c r="CQ26" s="185">
        <v>0.38183102000000002</v>
      </c>
      <c r="CR26" s="88">
        <v>0.39422942999999999</v>
      </c>
      <c r="CS26" s="88">
        <v>0.39566220000000002</v>
      </c>
      <c r="CT26" s="88">
        <v>0.42206077000000003</v>
      </c>
      <c r="CU26" s="88">
        <v>0.39674380999999997</v>
      </c>
      <c r="CV26" s="88">
        <f t="shared" si="21"/>
        <v>4.7991327999999998</v>
      </c>
      <c r="CW26" s="88">
        <v>4.7991330000000003</v>
      </c>
      <c r="CX26" s="88">
        <v>0.42642672999999998</v>
      </c>
      <c r="CY26" s="88">
        <v>0.44595979999999996</v>
      </c>
      <c r="CZ26" s="88">
        <v>0.41806119000000003</v>
      </c>
      <c r="DA26" s="88">
        <v>0.46918213000000003</v>
      </c>
      <c r="DB26" s="88">
        <v>0.39525737999999999</v>
      </c>
      <c r="DC26" s="88">
        <v>0.39833542999999999</v>
      </c>
      <c r="DD26" s="88">
        <v>0.37680681999999999</v>
      </c>
      <c r="DE26" s="88">
        <v>0.43373690999999998</v>
      </c>
      <c r="DF26" s="88">
        <v>0.41095847999999996</v>
      </c>
      <c r="DG26" s="88">
        <v>0.39814100000000002</v>
      </c>
      <c r="DH26" s="88">
        <v>0.44900727000000001</v>
      </c>
      <c r="DI26" s="88">
        <v>0.42087928000000002</v>
      </c>
      <c r="DJ26" s="88">
        <f t="shared" si="22"/>
        <v>5.0427524200000002</v>
      </c>
      <c r="DK26" s="85">
        <v>5.0427520000000001</v>
      </c>
      <c r="DL26" s="85">
        <v>0.48379061000000001</v>
      </c>
      <c r="DM26" s="85">
        <v>0.41561244000000003</v>
      </c>
      <c r="DN26" s="85">
        <v>0.42839981999999999</v>
      </c>
      <c r="DO26" s="85">
        <v>0.44967048999999998</v>
      </c>
      <c r="DP26" s="85">
        <v>0.41378862999999999</v>
      </c>
      <c r="DQ26" s="85">
        <v>0.40190478999999996</v>
      </c>
      <c r="DR26" s="85">
        <v>0.38874878999999996</v>
      </c>
      <c r="DS26" s="85">
        <v>0.38741755999999999</v>
      </c>
      <c r="DT26" s="85">
        <v>0.41408634999999999</v>
      </c>
      <c r="DU26" s="85">
        <v>0.36916569999999999</v>
      </c>
      <c r="DV26" s="85">
        <v>0.40093808000000003</v>
      </c>
      <c r="DW26" s="85">
        <v>0.43040110999999998</v>
      </c>
      <c r="DX26" s="88">
        <f t="shared" si="23"/>
        <v>4.9839243700000004</v>
      </c>
      <c r="DY26" s="85">
        <v>4.983924</v>
      </c>
      <c r="DZ26" s="85">
        <v>0.43421607000000001</v>
      </c>
      <c r="EA26" s="85">
        <v>0.46753906000000001</v>
      </c>
      <c r="EB26" s="85">
        <v>0.41399075000000002</v>
      </c>
      <c r="EC26" s="85">
        <v>0.43584993999999999</v>
      </c>
      <c r="ED26" s="85">
        <v>0.38106150999999999</v>
      </c>
      <c r="EE26" s="85">
        <v>0.38488783000000004</v>
      </c>
      <c r="EF26" s="85">
        <v>0.37138394000000002</v>
      </c>
      <c r="EG26" s="85">
        <v>0.36922944000000002</v>
      </c>
      <c r="EH26" s="85">
        <v>0.41312624999999997</v>
      </c>
      <c r="EI26" s="85">
        <v>0.38548478000000003</v>
      </c>
      <c r="EJ26" s="85">
        <v>0.42069011000000001</v>
      </c>
      <c r="EK26" s="85">
        <v>0.43678093000000001</v>
      </c>
      <c r="EL26" s="88">
        <f t="shared" si="17"/>
        <v>4.9142406100000002</v>
      </c>
      <c r="EM26" s="85">
        <v>4.9142409999999996</v>
      </c>
      <c r="EN26" s="85">
        <v>0.44794128000000005</v>
      </c>
      <c r="EO26" s="85">
        <v>0.44912417999999998</v>
      </c>
      <c r="EP26" s="85">
        <v>0.42597166999999997</v>
      </c>
      <c r="EQ26" s="85">
        <v>0.41666689000000001</v>
      </c>
      <c r="ER26" s="85">
        <v>0.42158015000000004</v>
      </c>
      <c r="ES26" s="85">
        <v>0.38142877000000003</v>
      </c>
      <c r="ET26" s="85">
        <v>0.36693796999999995</v>
      </c>
      <c r="EU26" s="85">
        <v>0.39519710999999996</v>
      </c>
      <c r="EV26" s="85">
        <v>0.39463628000000001</v>
      </c>
      <c r="EW26" s="85">
        <v>0.39258134</v>
      </c>
      <c r="EX26" s="85">
        <v>0.43092978999999998</v>
      </c>
      <c r="EY26" s="85">
        <v>0.42922378999999999</v>
      </c>
      <c r="EZ26" s="88">
        <f t="shared" si="18"/>
        <v>4.9522192199999999</v>
      </c>
      <c r="FA26" s="85">
        <v>4.9522190000000004</v>
      </c>
      <c r="FB26" s="85">
        <v>0.43988663</v>
      </c>
      <c r="FC26" s="85">
        <v>0.44684942</v>
      </c>
      <c r="FD26" s="85">
        <v>0.44636003000000002</v>
      </c>
      <c r="FE26" s="85">
        <v>0.45297375000000001</v>
      </c>
      <c r="FF26" s="85">
        <v>0.40747541999999998</v>
      </c>
      <c r="FG26" s="85">
        <v>0.40443572</v>
      </c>
      <c r="FH26" s="85">
        <v>0.37364520000000001</v>
      </c>
      <c r="FI26" s="85">
        <v>0.42002305000000001</v>
      </c>
      <c r="FJ26" s="85">
        <v>0.40909305000000001</v>
      </c>
      <c r="FK26" s="85">
        <v>0.39578288</v>
      </c>
      <c r="FL26" s="85">
        <v>0.45376630000000001</v>
      </c>
      <c r="FM26" s="85">
        <v>0.45968819</v>
      </c>
      <c r="FN26" s="88">
        <f t="shared" si="11"/>
        <v>5.1099796399999997</v>
      </c>
      <c r="FO26" s="85">
        <v>0.46304208000000002</v>
      </c>
      <c r="FP26" s="85">
        <v>0.51569337000000004</v>
      </c>
      <c r="FQ26" s="85">
        <v>0.47922179999999998</v>
      </c>
      <c r="FR26" s="85">
        <v>0.47356788</v>
      </c>
      <c r="FS26" s="85"/>
      <c r="FT26" s="85"/>
      <c r="FU26" s="85"/>
      <c r="FV26" s="85"/>
      <c r="FW26" s="85"/>
      <c r="FX26" s="85"/>
      <c r="FY26" s="85"/>
      <c r="FZ26" s="85"/>
      <c r="GA26" s="307">
        <f t="shared" si="19"/>
        <v>1.78607</v>
      </c>
      <c r="GB26" s="307">
        <f t="shared" si="20"/>
        <v>1.9315249999999999</v>
      </c>
      <c r="GC26" s="308">
        <f t="shared" si="12"/>
        <v>0.14545499999999989</v>
      </c>
      <c r="GD26" s="308">
        <f t="shared" si="13"/>
        <v>8.143857743537481</v>
      </c>
    </row>
    <row r="27" spans="1:186" s="12" customFormat="1" ht="20.5">
      <c r="A27" s="72" t="s">
        <v>80</v>
      </c>
      <c r="B27" s="13" t="s">
        <v>81</v>
      </c>
      <c r="C27" s="77" t="s">
        <v>82</v>
      </c>
      <c r="D27" s="45">
        <v>2.5818319999999999</v>
      </c>
      <c r="E27" s="50">
        <v>2.7064699999999999</v>
      </c>
      <c r="F27" s="50">
        <v>3.0772089999999999</v>
      </c>
      <c r="G27" s="50">
        <v>3.149095</v>
      </c>
      <c r="H27" s="50">
        <v>2.7078829999999998</v>
      </c>
      <c r="I27" s="50">
        <v>2.3678279999999998</v>
      </c>
      <c r="J27" s="50">
        <v>3.2836984000000005</v>
      </c>
      <c r="K27" s="50">
        <v>2.7371530000000002</v>
      </c>
      <c r="L27" s="50">
        <v>3.4026588900000001</v>
      </c>
      <c r="M27" s="50">
        <v>3.2477963599999997</v>
      </c>
      <c r="N27" s="50">
        <v>3.0349518199999999</v>
      </c>
      <c r="O27" s="50">
        <v>3.3406056399999997</v>
      </c>
      <c r="P27" s="85">
        <f t="shared" si="7"/>
        <v>35.637181109999993</v>
      </c>
      <c r="Q27" s="44">
        <v>35.637182000000003</v>
      </c>
      <c r="R27" s="50">
        <v>3.3807308100000002</v>
      </c>
      <c r="S27" s="50">
        <v>3.1421966600000002</v>
      </c>
      <c r="T27" s="50">
        <v>3.5649939099999997</v>
      </c>
      <c r="U27" s="50">
        <v>2.9964210599999999</v>
      </c>
      <c r="V27" s="50">
        <v>2.75141569</v>
      </c>
      <c r="W27" s="50">
        <v>3.21092171</v>
      </c>
      <c r="X27" s="50">
        <v>3.4151947499999999</v>
      </c>
      <c r="Y27" s="50">
        <v>3.0491496699999998</v>
      </c>
      <c r="Z27" s="50">
        <v>3.6395499</v>
      </c>
      <c r="AA27" s="50">
        <v>3.7936569700000002</v>
      </c>
      <c r="AB27" s="50">
        <v>3.5700300600000001</v>
      </c>
      <c r="AC27" s="50">
        <v>3.4507070299999998</v>
      </c>
      <c r="AD27" s="85">
        <f t="shared" si="8"/>
        <v>39.964968219999996</v>
      </c>
      <c r="AE27" s="85">
        <v>39.964967999999999</v>
      </c>
      <c r="AF27" s="85">
        <v>2.4417675599999997</v>
      </c>
      <c r="AG27" s="85">
        <v>3.4051756800000001</v>
      </c>
      <c r="AH27" s="85">
        <v>3.5195546799999997</v>
      </c>
      <c r="AI27" s="85">
        <v>3.2439843700000002</v>
      </c>
      <c r="AJ27" s="85">
        <v>2.9133125400000002</v>
      </c>
      <c r="AK27" s="85">
        <v>3.0777749999999999</v>
      </c>
      <c r="AL27" s="85">
        <v>2.8963613599999998</v>
      </c>
      <c r="AM27" s="85">
        <v>3.3246597100000002</v>
      </c>
      <c r="AN27" s="85">
        <v>3.4395158299999999</v>
      </c>
      <c r="AO27" s="85">
        <v>8.0694992800000005</v>
      </c>
      <c r="AP27" s="85">
        <v>3.24249871</v>
      </c>
      <c r="AQ27" s="85">
        <v>3.0021208200000005</v>
      </c>
      <c r="AR27" s="85">
        <f t="shared" si="9"/>
        <v>42.576225540000003</v>
      </c>
      <c r="AS27" s="85">
        <v>42.576225999999998</v>
      </c>
      <c r="AT27" s="85">
        <v>2.8427924499999997</v>
      </c>
      <c r="AU27" s="85">
        <v>3.3802950200000002</v>
      </c>
      <c r="AV27" s="85">
        <v>3.5343195400000003</v>
      </c>
      <c r="AW27" s="85">
        <v>3.04495425</v>
      </c>
      <c r="AX27" s="85">
        <v>3.1052594300000003</v>
      </c>
      <c r="AY27" s="85">
        <v>3.2643814399999997</v>
      </c>
      <c r="AZ27" s="85">
        <v>4.0476725800000004</v>
      </c>
      <c r="BA27" s="85">
        <v>4.2239830899999999</v>
      </c>
      <c r="BB27" s="85">
        <v>4.19127998</v>
      </c>
      <c r="BC27" s="85">
        <v>4.3505973600000001</v>
      </c>
      <c r="BD27" s="85">
        <v>4.2197754600000001</v>
      </c>
      <c r="BE27" s="85">
        <v>5.0959252300000006</v>
      </c>
      <c r="BF27" s="85">
        <f t="shared" si="10"/>
        <v>45.301235830000003</v>
      </c>
      <c r="BG27" s="85">
        <v>45.301236000000003</v>
      </c>
      <c r="BH27" s="85">
        <v>4.5730551799999999</v>
      </c>
      <c r="BI27" s="85">
        <v>3.9441526500000004</v>
      </c>
      <c r="BJ27" s="85">
        <v>4.5281036600000002</v>
      </c>
      <c r="BK27" s="85">
        <v>3.8105974099999997</v>
      </c>
      <c r="BL27" s="85">
        <v>4.3658163300000004</v>
      </c>
      <c r="BM27" s="85">
        <v>3.6417229499999997</v>
      </c>
      <c r="BN27" s="85">
        <v>3.6361210800000001</v>
      </c>
      <c r="BO27" s="85">
        <v>5.1534413899999993</v>
      </c>
      <c r="BP27" s="85">
        <v>4.6832836899999997</v>
      </c>
      <c r="BQ27" s="85">
        <v>5.3361932599999999</v>
      </c>
      <c r="BR27" s="85">
        <v>4.9829410000000003</v>
      </c>
      <c r="BS27" s="85">
        <v>4.1290899900000007</v>
      </c>
      <c r="BT27" s="88">
        <f t="shared" si="15"/>
        <v>52.78451858999999</v>
      </c>
      <c r="BU27" s="85">
        <v>52.784519000000003</v>
      </c>
      <c r="BV27" s="85">
        <v>4.3775878399999995</v>
      </c>
      <c r="BW27" s="85">
        <v>4.0370475399999997</v>
      </c>
      <c r="BX27" s="85">
        <v>4.2486198600000007</v>
      </c>
      <c r="BY27" s="85">
        <v>4.3360582999999995</v>
      </c>
      <c r="BZ27" s="85">
        <v>4.2670698499999995</v>
      </c>
      <c r="CA27" s="85">
        <v>3.5320588700000002</v>
      </c>
      <c r="CB27" s="85">
        <v>4.1869190099999996</v>
      </c>
      <c r="CC27" s="85">
        <v>4.2593056699999998</v>
      </c>
      <c r="CD27" s="85">
        <v>4.05480061</v>
      </c>
      <c r="CE27" s="85">
        <v>4.7969013100000009</v>
      </c>
      <c r="CF27" s="85">
        <v>4.1088525000000002</v>
      </c>
      <c r="CG27" s="85">
        <v>3.4655078100000001</v>
      </c>
      <c r="CH27" s="88">
        <f t="shared" si="16"/>
        <v>49.670729170000001</v>
      </c>
      <c r="CI27" s="85">
        <v>49.670729000000001</v>
      </c>
      <c r="CJ27" s="85">
        <v>4.3266214999999999</v>
      </c>
      <c r="CK27" s="85">
        <v>4.24534653</v>
      </c>
      <c r="CL27" s="85">
        <v>4.4216349800000003</v>
      </c>
      <c r="CM27" s="85">
        <v>3.66509339</v>
      </c>
      <c r="CN27" s="85">
        <v>3.7885135600000002</v>
      </c>
      <c r="CO27" s="85">
        <v>3.9138715899999998</v>
      </c>
      <c r="CP27" s="85">
        <v>3.7646541299999998</v>
      </c>
      <c r="CQ27" s="185">
        <v>3.7574420699999997</v>
      </c>
      <c r="CR27" s="88">
        <v>3.7301978399999998</v>
      </c>
      <c r="CS27" s="88">
        <v>4.5115933900000007</v>
      </c>
      <c r="CT27" s="88">
        <v>3.7749249200000006</v>
      </c>
      <c r="CU27" s="88">
        <v>3.8196266800000003</v>
      </c>
      <c r="CV27" s="88">
        <f t="shared" si="21"/>
        <v>47.719520580000008</v>
      </c>
      <c r="CW27" s="88">
        <v>47.719521</v>
      </c>
      <c r="CX27" s="88">
        <v>4.4934027400000005</v>
      </c>
      <c r="CY27" s="88">
        <v>3.8957172299999998</v>
      </c>
      <c r="CZ27" s="88">
        <v>4.6603418699999999</v>
      </c>
      <c r="DA27" s="88">
        <v>5.8040480499999996</v>
      </c>
      <c r="DB27" s="88">
        <v>5.0070785300000002</v>
      </c>
      <c r="DC27" s="88">
        <v>5.1973242099999997</v>
      </c>
      <c r="DD27" s="88">
        <v>5.7530703999999995</v>
      </c>
      <c r="DE27" s="88">
        <v>5.8182619999999998</v>
      </c>
      <c r="DF27" s="88">
        <v>6.4241213400000001</v>
      </c>
      <c r="DG27" s="88">
        <v>7.6081083599999992</v>
      </c>
      <c r="DH27" s="88">
        <v>7.7492840799999998</v>
      </c>
      <c r="DI27" s="88">
        <v>8.3219279099999994</v>
      </c>
      <c r="DJ27" s="88">
        <f t="shared" si="22"/>
        <v>70.732686720000004</v>
      </c>
      <c r="DK27" s="85">
        <v>70.732686000000001</v>
      </c>
      <c r="DL27" s="85">
        <v>10.190891899999999</v>
      </c>
      <c r="DM27" s="85">
        <v>6.08224608</v>
      </c>
      <c r="DN27" s="85">
        <v>7.6192412799999998</v>
      </c>
      <c r="DO27" s="85">
        <v>7.6067234799999994</v>
      </c>
      <c r="DP27" s="85">
        <v>8.7819127699999999</v>
      </c>
      <c r="DQ27" s="85">
        <v>8.4473802400000011</v>
      </c>
      <c r="DR27" s="85">
        <v>6.5185861099999993</v>
      </c>
      <c r="DS27" s="85">
        <v>5.8317595000000004</v>
      </c>
      <c r="DT27" s="85">
        <v>5.8681167099999998</v>
      </c>
      <c r="DU27" s="85">
        <v>5.8004613000000003</v>
      </c>
      <c r="DV27" s="85">
        <v>6.2878124399999997</v>
      </c>
      <c r="DW27" s="85">
        <v>8.8249214300000016</v>
      </c>
      <c r="DX27" s="88">
        <f t="shared" si="23"/>
        <v>87.860053239999985</v>
      </c>
      <c r="DY27" s="85">
        <v>87.860051999999996</v>
      </c>
      <c r="DZ27" s="85">
        <v>5.6276850499999993</v>
      </c>
      <c r="EA27" s="85">
        <v>4.9668836300000008</v>
      </c>
      <c r="EB27" s="85">
        <v>6.3840181500000011</v>
      </c>
      <c r="EC27" s="85">
        <v>3.6746650500000002</v>
      </c>
      <c r="ED27" s="85">
        <v>4.0247763900000004</v>
      </c>
      <c r="EE27" s="85">
        <v>4.399385950000001</v>
      </c>
      <c r="EF27" s="85">
        <v>4.2794576500000003</v>
      </c>
      <c r="EG27" s="85">
        <v>4.9301913899999992</v>
      </c>
      <c r="EH27" s="85">
        <v>4.1458522699999998</v>
      </c>
      <c r="EI27" s="85">
        <v>5.0929069199999999</v>
      </c>
      <c r="EJ27" s="85">
        <v>4.8730808799999998</v>
      </c>
      <c r="EK27" s="85">
        <v>4.4904552500000001</v>
      </c>
      <c r="EL27" s="88">
        <f t="shared" si="17"/>
        <v>56.889358579999993</v>
      </c>
      <c r="EM27" s="85">
        <v>56.889358000000001</v>
      </c>
      <c r="EN27" s="85">
        <v>4.5778784099999994</v>
      </c>
      <c r="EO27" s="85">
        <v>4.8174430199999998</v>
      </c>
      <c r="EP27" s="85">
        <v>6.1570978599999995</v>
      </c>
      <c r="EQ27" s="85">
        <v>5.83326543</v>
      </c>
      <c r="ER27" s="85">
        <v>5.20807427</v>
      </c>
      <c r="ES27" s="85">
        <v>4.3978706399999998</v>
      </c>
      <c r="ET27" s="85">
        <v>4.8375660600000003</v>
      </c>
      <c r="EU27" s="85">
        <v>4.5600166999999994</v>
      </c>
      <c r="EV27" s="85">
        <v>4.5432751200000006</v>
      </c>
      <c r="EW27" s="85">
        <v>6.0689853099999995</v>
      </c>
      <c r="EX27" s="85">
        <v>5.6977708099999989</v>
      </c>
      <c r="EY27" s="85">
        <v>5.5548312600000003</v>
      </c>
      <c r="EZ27" s="88">
        <f t="shared" si="18"/>
        <v>62.254074890000005</v>
      </c>
      <c r="FA27" s="85">
        <v>62.254075</v>
      </c>
      <c r="FB27" s="85">
        <v>8.3573237300000009</v>
      </c>
      <c r="FC27" s="85">
        <v>5.3797267999999994</v>
      </c>
      <c r="FD27" s="85">
        <v>5.2389274500000003</v>
      </c>
      <c r="FE27" s="85">
        <v>6.5289146599999999</v>
      </c>
      <c r="FF27" s="85">
        <v>5.0880901600000001</v>
      </c>
      <c r="FG27" s="85">
        <v>4.5080626400000003</v>
      </c>
      <c r="FH27" s="85">
        <v>6.2651030500000005</v>
      </c>
      <c r="FI27" s="85">
        <v>4.0575510699999997</v>
      </c>
      <c r="FJ27" s="85">
        <v>4.7752739399999999</v>
      </c>
      <c r="FK27" s="85">
        <v>5.45955952</v>
      </c>
      <c r="FL27" s="85">
        <v>6.46647645</v>
      </c>
      <c r="FM27" s="85">
        <v>13.46313239</v>
      </c>
      <c r="FN27" s="88">
        <f t="shared" si="11"/>
        <v>75.588141860000007</v>
      </c>
      <c r="FO27" s="85">
        <v>6.1609492799999996</v>
      </c>
      <c r="FP27" s="85">
        <v>6.0740649300000005</v>
      </c>
      <c r="FQ27" s="85">
        <v>4.7769998500000002</v>
      </c>
      <c r="FR27" s="85">
        <v>6.2303940300000002</v>
      </c>
      <c r="FS27" s="85"/>
      <c r="FT27" s="85"/>
      <c r="FU27" s="85"/>
      <c r="FV27" s="85"/>
      <c r="FW27" s="85"/>
      <c r="FX27" s="85"/>
      <c r="FY27" s="85"/>
      <c r="FZ27" s="85"/>
      <c r="GA27" s="307">
        <f t="shared" si="19"/>
        <v>25.504892999999999</v>
      </c>
      <c r="GB27" s="307">
        <f t="shared" si="20"/>
        <v>23.242408000000001</v>
      </c>
      <c r="GC27" s="308">
        <f t="shared" si="12"/>
        <v>-2.2624849999999981</v>
      </c>
      <c r="GD27" s="308">
        <f t="shared" si="13"/>
        <v>-8.870788048395255</v>
      </c>
    </row>
    <row r="28" spans="1:186" s="12" customFormat="1" ht="20.25" hidden="1" customHeight="1">
      <c r="A28" s="72" t="s">
        <v>258</v>
      </c>
      <c r="B28" s="13"/>
      <c r="C28" s="77" t="s">
        <v>258</v>
      </c>
      <c r="D28" s="45"/>
      <c r="E28" s="50"/>
      <c r="F28" s="50">
        <v>2.7927059999999999</v>
      </c>
      <c r="G28" s="50">
        <v>2.5697930000000002</v>
      </c>
      <c r="H28" s="50">
        <v>2.746076</v>
      </c>
      <c r="I28" s="50">
        <v>2.5419719999999999</v>
      </c>
      <c r="J28" s="50">
        <v>2.5598622500000001</v>
      </c>
      <c r="K28" s="50">
        <v>2.3077019999999999</v>
      </c>
      <c r="L28" s="50">
        <v>2.3262954200000001</v>
      </c>
      <c r="M28" s="50">
        <v>2.2600144800000002</v>
      </c>
      <c r="N28" s="50">
        <v>2.2820726499999999</v>
      </c>
      <c r="O28" s="50">
        <v>2.59003615</v>
      </c>
      <c r="P28" s="85">
        <f t="shared" si="7"/>
        <v>24.97652995</v>
      </c>
      <c r="Q28" s="44">
        <v>24.97653</v>
      </c>
      <c r="R28" s="50">
        <v>2.6578912099999998</v>
      </c>
      <c r="S28" s="50">
        <v>2.66595227</v>
      </c>
      <c r="T28" s="50">
        <v>2.8182498199999997</v>
      </c>
      <c r="U28" s="50">
        <v>2.7897721899999999</v>
      </c>
      <c r="V28" s="50">
        <v>2.7885663700000003</v>
      </c>
      <c r="W28" s="50">
        <v>2.7059291400000003</v>
      </c>
      <c r="X28" s="50">
        <v>2.6090785299999997</v>
      </c>
      <c r="Y28" s="50">
        <v>2.36219599</v>
      </c>
      <c r="Z28" s="50">
        <v>2.51282681</v>
      </c>
      <c r="AA28" s="50">
        <v>2.2583141200000001</v>
      </c>
      <c r="AB28" s="50">
        <v>2.4182676299999999</v>
      </c>
      <c r="AC28" s="50">
        <v>2.44323508</v>
      </c>
      <c r="AD28" s="85">
        <f t="shared" si="8"/>
        <v>31.030279159999999</v>
      </c>
      <c r="AE28" s="85">
        <v>31.030279</v>
      </c>
      <c r="AF28" s="85">
        <v>2.50069608</v>
      </c>
      <c r="AG28" s="85">
        <v>2.7211892999999998</v>
      </c>
      <c r="AH28" s="85">
        <v>2.6356979300000001</v>
      </c>
      <c r="AI28" s="85">
        <v>2.6168763099999999</v>
      </c>
      <c r="AJ28" s="85">
        <v>2.6647590800000001</v>
      </c>
      <c r="AK28" s="85">
        <v>2.4488686299999998</v>
      </c>
      <c r="AL28" s="85">
        <v>2.2670969100000002</v>
      </c>
      <c r="AM28" s="85">
        <v>2.2620278599999999</v>
      </c>
      <c r="AN28" s="85">
        <v>2.1948775699999996</v>
      </c>
      <c r="AO28" s="85">
        <v>2.3972796499999998</v>
      </c>
      <c r="AP28" s="85">
        <v>2.27393548</v>
      </c>
      <c r="AQ28" s="85">
        <v>2.25213785</v>
      </c>
      <c r="AR28" s="85">
        <f t="shared" si="9"/>
        <v>29.23544265</v>
      </c>
      <c r="AS28" s="85">
        <v>29.235443</v>
      </c>
      <c r="AT28" s="85">
        <v>2.5956331499999998</v>
      </c>
      <c r="AU28" s="85">
        <v>2.7150087300000001</v>
      </c>
      <c r="AV28" s="85">
        <v>2.6297472799999997</v>
      </c>
      <c r="AW28" s="85">
        <v>2.6166387799999997</v>
      </c>
      <c r="AX28" s="85">
        <v>2.7685647700000002</v>
      </c>
      <c r="AY28" s="85">
        <v>2.6363543700000003</v>
      </c>
      <c r="AZ28" s="85">
        <v>2.5531593399999997</v>
      </c>
      <c r="BA28" s="85">
        <v>2.5457564700000002</v>
      </c>
      <c r="BB28" s="85">
        <v>2.4111152900000001</v>
      </c>
      <c r="BC28" s="85">
        <v>2.4333384100000002</v>
      </c>
      <c r="BD28" s="85">
        <v>2.4561539799999998</v>
      </c>
      <c r="BE28" s="85">
        <v>2.7021582299999998</v>
      </c>
      <c r="BF28" s="85">
        <f t="shared" si="10"/>
        <v>31.063628800000004</v>
      </c>
      <c r="BG28" s="85">
        <v>31.063628999999999</v>
      </c>
      <c r="BH28" s="85">
        <v>2.6419992099999998</v>
      </c>
      <c r="BI28" s="85">
        <v>2.6259112599999996</v>
      </c>
      <c r="BJ28" s="85">
        <v>0</v>
      </c>
      <c r="BK28" s="85">
        <v>-1.0014729999999999E-2</v>
      </c>
      <c r="BL28" s="85">
        <v>0</v>
      </c>
      <c r="BM28" s="85">
        <v>0</v>
      </c>
      <c r="BN28" s="85">
        <v>0</v>
      </c>
      <c r="BO28" s="85">
        <v>0</v>
      </c>
      <c r="BP28" s="85">
        <v>0</v>
      </c>
      <c r="BQ28" s="85">
        <v>0</v>
      </c>
      <c r="BR28" s="85">
        <v>0</v>
      </c>
      <c r="BS28" s="85">
        <v>0</v>
      </c>
      <c r="BT28" s="88">
        <f t="shared" si="15"/>
        <v>5.2578957399999995</v>
      </c>
      <c r="BU28" s="85">
        <v>5.2578959999999997</v>
      </c>
      <c r="BV28" s="85">
        <v>0</v>
      </c>
      <c r="BW28" s="85">
        <v>0</v>
      </c>
      <c r="BX28" s="85">
        <v>0</v>
      </c>
      <c r="BY28" s="85">
        <v>0</v>
      </c>
      <c r="BZ28" s="85">
        <v>0</v>
      </c>
      <c r="CA28" s="85">
        <v>0</v>
      </c>
      <c r="CB28" s="85">
        <v>0</v>
      </c>
      <c r="CC28" s="85">
        <v>0</v>
      </c>
      <c r="CD28" s="85">
        <v>0</v>
      </c>
      <c r="CE28" s="85">
        <v>0</v>
      </c>
      <c r="CF28" s="85">
        <v>0</v>
      </c>
      <c r="CG28" s="85">
        <v>0</v>
      </c>
      <c r="CH28" s="88">
        <f t="shared" si="16"/>
        <v>0</v>
      </c>
      <c r="CI28" s="85"/>
      <c r="CJ28" s="85">
        <v>0</v>
      </c>
      <c r="CK28" s="85">
        <v>0</v>
      </c>
      <c r="CL28" s="85">
        <v>0</v>
      </c>
      <c r="CM28" s="85"/>
      <c r="CN28" s="85">
        <v>0</v>
      </c>
      <c r="CO28" s="85"/>
      <c r="CP28" s="85"/>
      <c r="CQ28" s="185"/>
      <c r="CR28" s="88">
        <v>0</v>
      </c>
      <c r="CS28" s="88">
        <v>0</v>
      </c>
      <c r="CT28" s="88">
        <v>0</v>
      </c>
      <c r="CU28" s="88">
        <v>0</v>
      </c>
      <c r="CV28" s="88">
        <f t="shared" si="21"/>
        <v>0</v>
      </c>
      <c r="CW28" s="88"/>
      <c r="CX28" s="88">
        <v>0</v>
      </c>
      <c r="CY28" s="88">
        <v>0</v>
      </c>
      <c r="CZ28" s="88">
        <v>0</v>
      </c>
      <c r="DA28" s="88">
        <v>0</v>
      </c>
      <c r="DB28" s="88">
        <v>0</v>
      </c>
      <c r="DC28" s="88">
        <v>0</v>
      </c>
      <c r="DD28" s="88">
        <v>0</v>
      </c>
      <c r="DE28" s="88">
        <v>0</v>
      </c>
      <c r="DF28" s="88">
        <v>0</v>
      </c>
      <c r="DG28" s="88">
        <v>0</v>
      </c>
      <c r="DH28" s="88"/>
      <c r="DI28" s="88"/>
      <c r="DJ28" s="88">
        <f t="shared" si="22"/>
        <v>0</v>
      </c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8">
        <f t="shared" si="23"/>
        <v>0</v>
      </c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8">
        <f t="shared" si="17"/>
        <v>0</v>
      </c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8">
        <f t="shared" si="18"/>
        <v>0</v>
      </c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8">
        <f t="shared" si="11"/>
        <v>0</v>
      </c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307">
        <f t="shared" si="19"/>
        <v>0</v>
      </c>
      <c r="GB28" s="307">
        <f t="shared" si="20"/>
        <v>0</v>
      </c>
      <c r="GC28" s="308">
        <f t="shared" si="12"/>
        <v>0</v>
      </c>
      <c r="GD28" s="308"/>
    </row>
    <row r="29" spans="1:186" s="12" customFormat="1" ht="20.5">
      <c r="A29" s="70" t="s">
        <v>85</v>
      </c>
      <c r="B29" s="13" t="s">
        <v>86</v>
      </c>
      <c r="C29" s="46" t="s">
        <v>87</v>
      </c>
      <c r="D29" s="45">
        <v>2.4652609999999999</v>
      </c>
      <c r="E29" s="50">
        <v>1.7009380000000001</v>
      </c>
      <c r="F29" s="50">
        <v>1.1983740000000001</v>
      </c>
      <c r="G29" s="50">
        <v>-3.148946</v>
      </c>
      <c r="H29" s="50">
        <v>1.6613119999999999</v>
      </c>
      <c r="I29" s="50">
        <v>1.1012470000000001</v>
      </c>
      <c r="J29" s="50">
        <v>-2.7156100500000004</v>
      </c>
      <c r="K29" s="50">
        <v>1.8125830000000001</v>
      </c>
      <c r="L29" s="50">
        <v>1.2380702399999997</v>
      </c>
      <c r="M29" s="50">
        <v>-2.9264369300000004</v>
      </c>
      <c r="N29" s="50">
        <v>1.9053963800000002</v>
      </c>
      <c r="O29" s="50">
        <v>-4.291625569999999</v>
      </c>
      <c r="P29" s="85">
        <f t="shared" si="7"/>
        <v>5.6307000000010987E-4</v>
      </c>
      <c r="Q29" s="44">
        <v>5.6300000000000002E-4</v>
      </c>
      <c r="R29" s="50">
        <v>2.4580776600000003</v>
      </c>
      <c r="S29" s="50">
        <v>2.2537743999999997</v>
      </c>
      <c r="T29" s="50">
        <v>1.5245784199999999</v>
      </c>
      <c r="U29" s="50">
        <v>-5.4997201799999997</v>
      </c>
      <c r="V29" s="50">
        <v>8.3633853699999996</v>
      </c>
      <c r="W29" s="50">
        <v>2.3706220199999999</v>
      </c>
      <c r="X29" s="50">
        <v>-8.7054396000000001</v>
      </c>
      <c r="Y29" s="50">
        <v>2.1949138200000005</v>
      </c>
      <c r="Z29" s="50">
        <v>1.4693522700000001</v>
      </c>
      <c r="AA29" s="50">
        <v>-4.1264802000000005</v>
      </c>
      <c r="AB29" s="50">
        <v>2.3148835499999998</v>
      </c>
      <c r="AC29" s="50">
        <v>-4.6155962400000003</v>
      </c>
      <c r="AD29" s="85">
        <f t="shared" si="8"/>
        <v>2.3512900000000059E-3</v>
      </c>
      <c r="AE29" s="85">
        <v>2.3519999999999999E-3</v>
      </c>
      <c r="AF29" s="85">
        <v>2.3891937200000002</v>
      </c>
      <c r="AG29" s="85">
        <v>2.4790009400000002</v>
      </c>
      <c r="AH29" s="85">
        <v>1.4882863299999998</v>
      </c>
      <c r="AI29" s="85">
        <v>-4.4924985199999998</v>
      </c>
      <c r="AJ29" s="85">
        <v>2.3320667899999998</v>
      </c>
      <c r="AK29" s="85">
        <v>1.4362413999999999</v>
      </c>
      <c r="AL29" s="85">
        <v>-3.52442645</v>
      </c>
      <c r="AM29" s="85">
        <v>2.4384935400000001</v>
      </c>
      <c r="AN29" s="85">
        <v>1.5017888300000002</v>
      </c>
      <c r="AO29" s="85">
        <v>-3.8398782000000002</v>
      </c>
      <c r="AP29" s="85">
        <v>2.4829898399999997</v>
      </c>
      <c r="AQ29" s="85">
        <v>-4.6933903700000004</v>
      </c>
      <c r="AR29" s="85">
        <f t="shared" si="9"/>
        <v>-2.1321500000004434E-3</v>
      </c>
      <c r="AS29" s="85">
        <v>-2.1320000000000002E-3</v>
      </c>
      <c r="AT29" s="85">
        <v>2.5015902099999998</v>
      </c>
      <c r="AU29" s="85">
        <v>2.6406221399999996</v>
      </c>
      <c r="AV29" s="85">
        <v>1.92169141</v>
      </c>
      <c r="AW29" s="85">
        <v>-3.6705595999999998</v>
      </c>
      <c r="AX29" s="85">
        <v>3.2846009000000005</v>
      </c>
      <c r="AY29" s="85">
        <v>2.0482035500000002</v>
      </c>
      <c r="AZ29" s="85">
        <v>-5.6699492199999995</v>
      </c>
      <c r="BA29" s="85">
        <v>3.4801058</v>
      </c>
      <c r="BB29" s="85">
        <v>2.1819820600000002</v>
      </c>
      <c r="BC29" s="85">
        <v>-5.7197377300000003</v>
      </c>
      <c r="BD29" s="85">
        <v>3.39876304</v>
      </c>
      <c r="BE29" s="85">
        <v>-6.3972662399999995</v>
      </c>
      <c r="BF29" s="85">
        <f t="shared" si="10"/>
        <v>4.6320000003596817E-5</v>
      </c>
      <c r="BG29" s="85">
        <v>4.6E-5</v>
      </c>
      <c r="BH29" s="85">
        <v>3.7753718200000002</v>
      </c>
      <c r="BI29" s="85">
        <v>3.6055820300000003</v>
      </c>
      <c r="BJ29" s="85">
        <v>2.3114003599999999</v>
      </c>
      <c r="BK29" s="85">
        <v>-7.2582298300000003</v>
      </c>
      <c r="BL29" s="85">
        <v>3.3282697999999997</v>
      </c>
      <c r="BM29" s="85">
        <v>2.2327938999999999</v>
      </c>
      <c r="BN29" s="85">
        <v>-5.2313562999999998</v>
      </c>
      <c r="BO29" s="85">
        <v>3.4598137599999998</v>
      </c>
      <c r="BP29" s="85">
        <v>2.19141875</v>
      </c>
      <c r="BQ29" s="85">
        <v>-5.3201735899999996</v>
      </c>
      <c r="BR29" s="85">
        <v>3.5010428200000003</v>
      </c>
      <c r="BS29" s="85">
        <v>-6.5910152000000002</v>
      </c>
      <c r="BT29" s="88">
        <f>BH29+BI29+BJ29+BK29+BL29+BM29+BN29+BO29+BP29+BQ29+BR29+BS29</f>
        <v>4.918320000002474E-3</v>
      </c>
      <c r="BU29" s="85">
        <v>4.9179999999999996E-3</v>
      </c>
      <c r="BV29" s="85">
        <v>4.3315611500000006</v>
      </c>
      <c r="BW29" s="85">
        <v>3.3821438600000002</v>
      </c>
      <c r="BX29" s="85">
        <v>2.3051744599999999</v>
      </c>
      <c r="BY29" s="85">
        <v>-6.7302654500000001</v>
      </c>
      <c r="BZ29" s="85">
        <v>3.1781012400000002</v>
      </c>
      <c r="CA29" s="85">
        <v>2.2583292099999999</v>
      </c>
      <c r="CB29" s="85">
        <v>-6.3695969399999992</v>
      </c>
      <c r="CC29" s="85">
        <v>2.9182235900000002</v>
      </c>
      <c r="CD29" s="85">
        <v>2.2505934299999999</v>
      </c>
      <c r="CE29" s="85">
        <v>-4.4158282199999999</v>
      </c>
      <c r="CF29" s="85">
        <v>2.9119962600000004</v>
      </c>
      <c r="CG29" s="85">
        <v>-6.0248081300000003</v>
      </c>
      <c r="CH29" s="88">
        <f>BV29+BW29+BX29+BY29+BZ29+CA29+CB29+CC29+CD29+CE29+CF29+CG29</f>
        <v>-4.3755399999962918E-3</v>
      </c>
      <c r="CI29" s="85">
        <v>-4.3750000000000004E-3</v>
      </c>
      <c r="CJ29" s="85">
        <v>3.1906939100000002</v>
      </c>
      <c r="CK29" s="85">
        <v>2.7969236500000001</v>
      </c>
      <c r="CL29" s="85">
        <v>1.8809337599999998</v>
      </c>
      <c r="CM29" s="85">
        <v>-5.6012135800000005</v>
      </c>
      <c r="CN29" s="85">
        <v>2.1095652999999999</v>
      </c>
      <c r="CO29" s="85">
        <v>1.6402025999999998</v>
      </c>
      <c r="CP29" s="85">
        <v>-3.7947025200000004</v>
      </c>
      <c r="CQ29" s="185">
        <v>2.1702610899999999</v>
      </c>
      <c r="CR29" s="88">
        <v>1.92732971</v>
      </c>
      <c r="CS29" s="88">
        <v>-4.12643264</v>
      </c>
      <c r="CT29" s="88">
        <v>2.6533739600000001</v>
      </c>
      <c r="CU29" s="88">
        <v>-4.8474626799999996</v>
      </c>
      <c r="CV29" s="88">
        <f t="shared" si="21"/>
        <v>-5.2744000000082281E-4</v>
      </c>
      <c r="CW29" s="88">
        <v>-5.2700000000000002E-4</v>
      </c>
      <c r="CX29" s="88">
        <v>8.1142869999999992E-2</v>
      </c>
      <c r="CY29" s="88">
        <v>-6.5845680000000004E-2</v>
      </c>
      <c r="CZ29" s="88">
        <v>-4.3249349999999999E-2</v>
      </c>
      <c r="DA29" s="88">
        <v>-3.5170299999999995E-3</v>
      </c>
      <c r="DB29" s="88">
        <v>-6.9920000000000008E-4</v>
      </c>
      <c r="DC29" s="88">
        <v>2.5249000000000002E-4</v>
      </c>
      <c r="DD29" s="88">
        <v>-9.7064999999999999E-4</v>
      </c>
      <c r="DE29" s="88">
        <v>-4.9182660000000003E-2</v>
      </c>
      <c r="DF29" s="88">
        <v>-5.91677E-3</v>
      </c>
      <c r="DG29" s="88">
        <v>-2.588E-3</v>
      </c>
      <c r="DH29" s="88">
        <v>-3.3500500002477951E-3</v>
      </c>
      <c r="DI29" s="88">
        <v>1.8079040000000001E-2</v>
      </c>
      <c r="DJ29" s="88">
        <f t="shared" si="22"/>
        <v>-7.5844990000247789E-2</v>
      </c>
      <c r="DK29" s="85">
        <v>-7.6009999999999994E-2</v>
      </c>
      <c r="DL29" s="85">
        <v>2.1775099999999997E-3</v>
      </c>
      <c r="DM29" s="85">
        <v>1.2406199999999998E-3</v>
      </c>
      <c r="DN29" s="85">
        <v>6.9286E-4</v>
      </c>
      <c r="DO29" s="85">
        <v>0.12301068</v>
      </c>
      <c r="DP29" s="85">
        <v>-0.12159968000000002</v>
      </c>
      <c r="DQ29" s="85">
        <v>1.4570000000000002E-4</v>
      </c>
      <c r="DR29" s="85">
        <v>-2.5219999999999999E-5</v>
      </c>
      <c r="DS29" s="85">
        <v>2.7604000000000002E-4</v>
      </c>
      <c r="DT29" s="45">
        <f>0.00037485-0.000014</f>
        <v>3.6084999999999996E-4</v>
      </c>
      <c r="DU29" s="85">
        <v>2.1312000000000002E-4</v>
      </c>
      <c r="DV29" s="85">
        <v>2.2640999999999998E-3</v>
      </c>
      <c r="DW29" s="85">
        <v>4.4005599999999995E-3</v>
      </c>
      <c r="DX29" s="88">
        <f>DL29+DM29+DN29+DO29+DP29+DQ29+DR29+DS29+DT29+DU29+DV29+DW29</f>
        <v>1.3157139999999975E-2</v>
      </c>
      <c r="DY29" s="85">
        <f>0.013171-0.000015</f>
        <v>1.3156000000000001E-2</v>
      </c>
      <c r="DZ29" s="85">
        <v>8.5182599999999997E-3</v>
      </c>
      <c r="EA29" s="85">
        <v>1.3332699999999999E-3</v>
      </c>
      <c r="EB29" s="85">
        <v>9.077E-4</v>
      </c>
      <c r="EC29" s="85">
        <v>2.9379999999999999E-4</v>
      </c>
      <c r="ED29" s="85">
        <v>7.1229999999999994E-5</v>
      </c>
      <c r="EE29" s="85">
        <v>-9.6949999999999998E-5</v>
      </c>
      <c r="EF29" s="85">
        <v>2.4283E-4</v>
      </c>
      <c r="EG29" s="85">
        <v>1.6200000000000001E-4</v>
      </c>
      <c r="EH29" s="85">
        <v>2.04E-4</v>
      </c>
      <c r="EI29" s="85">
        <v>6.0621999999999998E-4</v>
      </c>
      <c r="EJ29" s="85">
        <v>1.717E-3</v>
      </c>
      <c r="EK29" s="85">
        <v>9.4570399999999999E-3</v>
      </c>
      <c r="EL29" s="88">
        <f t="shared" si="17"/>
        <v>2.3416399999999997E-2</v>
      </c>
      <c r="EM29" s="85">
        <v>2.3415999999999999E-2</v>
      </c>
      <c r="EN29" s="85">
        <v>2.7195100000000001E-3</v>
      </c>
      <c r="EO29" s="85">
        <v>1.4986400000000001E-3</v>
      </c>
      <c r="EP29" s="85">
        <v>9.9201999999999992E-4</v>
      </c>
      <c r="EQ29" s="85">
        <v>2.865403E-2</v>
      </c>
      <c r="ER29" s="85">
        <v>5.2400000000000005E-4</v>
      </c>
      <c r="ES29" s="85">
        <v>-4.9392450000000004E-2</v>
      </c>
      <c r="ET29" s="85">
        <v>5.2171290000000002E-2</v>
      </c>
      <c r="EU29" s="85">
        <v>1.5300000000000001E-4</v>
      </c>
      <c r="EV29" s="85">
        <v>3.2713000000000002E-4</v>
      </c>
      <c r="EW29" s="85">
        <v>2.8801E-4</v>
      </c>
      <c r="EX29" s="85">
        <v>1.97051E-3</v>
      </c>
      <c r="EY29" s="85">
        <v>9.7623400000000013E-3</v>
      </c>
      <c r="EZ29" s="88">
        <f t="shared" si="18"/>
        <v>4.9668029999999995E-2</v>
      </c>
      <c r="FA29" s="85">
        <f>0.020532+0.029136</f>
        <v>4.9668000000000004E-2</v>
      </c>
      <c r="FB29" s="85">
        <v>2.60377E-3</v>
      </c>
      <c r="FC29" s="85">
        <v>8.0212999999999997E-4</v>
      </c>
      <c r="FD29" s="85">
        <v>8.2401000000000002E-4</v>
      </c>
      <c r="FE29" s="85">
        <v>4.6599E-4</v>
      </c>
      <c r="FF29" s="85">
        <v>-1E-8</v>
      </c>
      <c r="FG29" s="85">
        <v>6.4099999999999997E-4</v>
      </c>
      <c r="FH29" s="85">
        <v>4.1102000000000001E-4</v>
      </c>
      <c r="FI29" s="85">
        <v>2.9498000000000003E-4</v>
      </c>
      <c r="FJ29" s="85">
        <v>-5.1960000000000004E-5</v>
      </c>
      <c r="FK29" s="85">
        <v>7.6502000000000004E-4</v>
      </c>
      <c r="FL29" s="85">
        <v>1.8338199999999999E-3</v>
      </c>
      <c r="FM29" s="85">
        <v>8.9922300000000004E-3</v>
      </c>
      <c r="FN29" s="88">
        <f t="shared" si="11"/>
        <v>1.7582E-2</v>
      </c>
      <c r="FO29" s="85">
        <v>-3.1729799999999997E-3</v>
      </c>
      <c r="FP29" s="85">
        <v>6.3619899999999997E-3</v>
      </c>
      <c r="FQ29" s="85">
        <v>5.7701000000000009E-4</v>
      </c>
      <c r="FR29" s="85">
        <v>4.4598000000000001E-4</v>
      </c>
      <c r="FS29" s="85"/>
      <c r="FT29" s="85"/>
      <c r="FU29" s="85"/>
      <c r="FV29" s="85"/>
      <c r="FW29" s="85"/>
      <c r="FX29" s="85"/>
      <c r="FY29" s="85"/>
      <c r="FZ29" s="85"/>
      <c r="GA29" s="307">
        <f t="shared" si="19"/>
        <v>4.6959999999999997E-3</v>
      </c>
      <c r="GB29" s="307">
        <f t="shared" si="20"/>
        <v>4.2119999999999996E-3</v>
      </c>
      <c r="GC29" s="308">
        <f t="shared" si="12"/>
        <v>-4.8400000000000006E-4</v>
      </c>
      <c r="GD29" s="308">
        <f t="shared" si="13"/>
        <v>-10.306643952299837</v>
      </c>
    </row>
    <row r="30" spans="1:186" s="12" customFormat="1" ht="20.5">
      <c r="A30" s="314" t="s">
        <v>88</v>
      </c>
      <c r="B30" s="13"/>
      <c r="C30" s="314" t="s">
        <v>89</v>
      </c>
      <c r="D30" s="84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50"/>
      <c r="R30" s="85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8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8"/>
      <c r="CI30" s="85"/>
      <c r="CJ30" s="85"/>
      <c r="CK30" s="85"/>
      <c r="CL30" s="85"/>
      <c r="CM30" s="85"/>
      <c r="CN30" s="85"/>
      <c r="CO30" s="85"/>
      <c r="CP30" s="85"/>
      <c r="CQ30" s="185"/>
      <c r="CR30" s="88"/>
      <c r="CS30" s="88"/>
      <c r="CT30" s="88"/>
      <c r="CU30" s="88"/>
      <c r="CV30" s="88">
        <f t="shared" si="21"/>
        <v>0</v>
      </c>
      <c r="CW30" s="88"/>
      <c r="CX30" s="88">
        <v>108.444799</v>
      </c>
      <c r="CY30" s="88">
        <v>16.010897029999999</v>
      </c>
      <c r="CZ30" s="88">
        <v>46.653340319999998</v>
      </c>
      <c r="DA30" s="88">
        <v>57.285141270000004</v>
      </c>
      <c r="DB30" s="88">
        <v>74.044946999999993</v>
      </c>
      <c r="DC30" s="88">
        <v>-38.021982999999999</v>
      </c>
      <c r="DD30" s="88">
        <v>6.8669710000000004</v>
      </c>
      <c r="DE30" s="88">
        <v>4.1647904499999999</v>
      </c>
      <c r="DF30" s="88">
        <v>15.1746669</v>
      </c>
      <c r="DG30" s="88">
        <v>-78.061942999999999</v>
      </c>
      <c r="DH30" s="88">
        <v>43.919421</v>
      </c>
      <c r="DI30" s="88">
        <v>89.553413580000012</v>
      </c>
      <c r="DJ30" s="88">
        <f t="shared" si="22"/>
        <v>346.03446154999995</v>
      </c>
      <c r="DK30" s="85">
        <v>346.03446100000002</v>
      </c>
      <c r="DL30" s="85">
        <v>-100.50582699999997</v>
      </c>
      <c r="DM30" s="85">
        <v>9.4563140000000004E-2</v>
      </c>
      <c r="DN30" s="85">
        <v>39.035239429999997</v>
      </c>
      <c r="DO30" s="85">
        <v>4.7994269200000002</v>
      </c>
      <c r="DP30" s="85">
        <v>59.771283740000001</v>
      </c>
      <c r="DQ30" s="85">
        <v>-106.98573773000001</v>
      </c>
      <c r="DR30" s="85">
        <v>10.1221838</v>
      </c>
      <c r="DS30" s="85">
        <v>-22.73803946</v>
      </c>
      <c r="DT30" s="85">
        <v>16.212695960000001</v>
      </c>
      <c r="DU30" s="85">
        <v>-26.931324750000002</v>
      </c>
      <c r="DV30" s="85">
        <v>5.1394456399999999</v>
      </c>
      <c r="DW30" s="85">
        <v>139.84237862000001</v>
      </c>
      <c r="DX30" s="88">
        <f t="shared" si="23"/>
        <v>17.856288310000039</v>
      </c>
      <c r="DY30" s="85">
        <v>17.856287999999999</v>
      </c>
      <c r="DZ30" s="85">
        <v>-129.65501176999999</v>
      </c>
      <c r="EA30" s="85">
        <v>6.4317831200000004</v>
      </c>
      <c r="EB30" s="85">
        <v>-11.924212610000001</v>
      </c>
      <c r="EC30" s="85">
        <v>18.271030469999999</v>
      </c>
      <c r="ED30" s="85">
        <v>73.487500209999993</v>
      </c>
      <c r="EE30" s="85">
        <v>-108.10106795</v>
      </c>
      <c r="EF30" s="85">
        <v>-6.3888475300000005</v>
      </c>
      <c r="EG30" s="85">
        <v>-6.7772362299999998</v>
      </c>
      <c r="EH30" s="85">
        <v>-15.61334416</v>
      </c>
      <c r="EI30" s="85">
        <v>26.04573744</v>
      </c>
      <c r="EJ30" s="85">
        <v>-18.672512879999999</v>
      </c>
      <c r="EK30" s="85">
        <v>134.08311295999999</v>
      </c>
      <c r="EL30" s="88">
        <f t="shared" si="17"/>
        <v>-38.813068929999986</v>
      </c>
      <c r="EM30" s="85">
        <v>-38.813068999999999</v>
      </c>
      <c r="EN30" s="85">
        <v>-144.84002692999999</v>
      </c>
      <c r="EO30" s="85">
        <v>-7.8529006500000005</v>
      </c>
      <c r="EP30" s="85">
        <v>80.096921949999995</v>
      </c>
      <c r="EQ30" s="85">
        <v>-43.489684559999993</v>
      </c>
      <c r="ER30" s="85">
        <v>53.921879650000001</v>
      </c>
      <c r="ES30" s="85">
        <v>-38.914134019999999</v>
      </c>
      <c r="ET30" s="85">
        <v>-3.3675344700000003</v>
      </c>
      <c r="EU30" s="85">
        <v>-11.24128499</v>
      </c>
      <c r="EV30" s="85">
        <v>-6.6318157199999996</v>
      </c>
      <c r="EW30" s="85">
        <v>-10.398508150000001</v>
      </c>
      <c r="EX30" s="85">
        <v>8.2443690400000005</v>
      </c>
      <c r="EY30" s="85">
        <v>150.36969403000001</v>
      </c>
      <c r="EZ30" s="88">
        <f t="shared" si="18"/>
        <v>25.896975179999984</v>
      </c>
      <c r="FA30" s="85">
        <v>25.896975000000001</v>
      </c>
      <c r="FB30" s="85">
        <v>-167.33376544999999</v>
      </c>
      <c r="FC30" s="85">
        <v>-5.837085769999999</v>
      </c>
      <c r="FD30" s="85">
        <v>72.739804839999991</v>
      </c>
      <c r="FE30" s="85">
        <v>-27.10248614</v>
      </c>
      <c r="FF30" s="85">
        <v>-1.3178509199999999</v>
      </c>
      <c r="FG30" s="85">
        <v>26.463781940000001</v>
      </c>
      <c r="FH30" s="85">
        <v>-3.9396755099999998</v>
      </c>
      <c r="FI30" s="85">
        <v>-1.2945258100000001</v>
      </c>
      <c r="FJ30" s="85">
        <v>-42.40067449</v>
      </c>
      <c r="FK30" s="85">
        <v>-0.68301065000000005</v>
      </c>
      <c r="FL30" s="85">
        <v>-2.3671898700000003</v>
      </c>
      <c r="FM30" s="85">
        <v>122.42129473999999</v>
      </c>
      <c r="FN30" s="88">
        <f t="shared" si="11"/>
        <v>-30.651383089999982</v>
      </c>
      <c r="FO30" s="85">
        <v>-131.96988658000001</v>
      </c>
      <c r="FP30" s="85">
        <v>9.9572780899999991</v>
      </c>
      <c r="FQ30" s="85">
        <v>67.716127540000002</v>
      </c>
      <c r="FR30" s="85">
        <v>-27.697971800000001</v>
      </c>
      <c r="FS30" s="85"/>
      <c r="FT30" s="85"/>
      <c r="FU30" s="85"/>
      <c r="FV30" s="85"/>
      <c r="FW30" s="85"/>
      <c r="FX30" s="85"/>
      <c r="FY30" s="85"/>
      <c r="FZ30" s="85"/>
      <c r="GA30" s="307">
        <f t="shared" si="19"/>
        <v>-127.53353300000001</v>
      </c>
      <c r="GB30" s="307">
        <f t="shared" si="20"/>
        <v>-81.994452999999993</v>
      </c>
      <c r="GC30" s="308">
        <f>GB30-GA30</f>
        <v>45.539080000000013</v>
      </c>
      <c r="GD30" s="308">
        <f>GB30/GA30*100-100</f>
        <v>-35.707534268653887</v>
      </c>
    </row>
    <row r="31" spans="1:186" s="12" customFormat="1" ht="20.5">
      <c r="A31" s="62" t="s">
        <v>90</v>
      </c>
      <c r="B31" s="13" t="s">
        <v>91</v>
      </c>
      <c r="C31" s="42" t="s">
        <v>92</v>
      </c>
      <c r="D31" s="84">
        <v>23.370221999999998</v>
      </c>
      <c r="E31" s="85">
        <v>27.272918000000001</v>
      </c>
      <c r="F31" s="85">
        <v>19.890906000000001</v>
      </c>
      <c r="G31" s="85">
        <v>62.826915999999997</v>
      </c>
      <c r="H31" s="85">
        <v>117.96480200000001</v>
      </c>
      <c r="I31" s="85">
        <v>27.648385999999999</v>
      </c>
      <c r="J31" s="85">
        <v>34.691553170000006</v>
      </c>
      <c r="K31" s="85">
        <v>31.477323999999999</v>
      </c>
      <c r="L31" s="85">
        <v>20.729025440000004</v>
      </c>
      <c r="M31" s="85">
        <v>25.179150440000008</v>
      </c>
      <c r="N31" s="85">
        <v>26.282949919999986</v>
      </c>
      <c r="O31" s="85">
        <v>33.165645499999997</v>
      </c>
      <c r="P31" s="85">
        <f t="shared" si="7"/>
        <v>450.49979846999997</v>
      </c>
      <c r="Q31" s="45">
        <f>416.345531+34.179042</f>
        <v>450.52457299999998</v>
      </c>
      <c r="R31" s="85">
        <v>33.420227579999995</v>
      </c>
      <c r="S31" s="50">
        <v>27.467891229999989</v>
      </c>
      <c r="T31" s="50">
        <v>17.958536060000007</v>
      </c>
      <c r="U31" s="50">
        <v>79.970258439999995</v>
      </c>
      <c r="V31" s="50">
        <v>43.167201909999996</v>
      </c>
      <c r="W31" s="50">
        <v>73.918183849999991</v>
      </c>
      <c r="X31" s="50">
        <v>34.792619030000004</v>
      </c>
      <c r="Y31" s="50">
        <v>31.105454729999995</v>
      </c>
      <c r="Z31" s="50">
        <v>19.354679440000009</v>
      </c>
      <c r="AA31" s="50">
        <v>22.126194920000007</v>
      </c>
      <c r="AB31" s="50">
        <v>26.831234920000014</v>
      </c>
      <c r="AC31" s="50">
        <v>53.379929269999998</v>
      </c>
      <c r="AD31" s="85">
        <f t="shared" si="8"/>
        <v>463.49241137999996</v>
      </c>
      <c r="AE31" s="85">
        <f>424.113286+39.662321</f>
        <v>463.77560700000004</v>
      </c>
      <c r="AF31" s="85">
        <v>19.498550180000002</v>
      </c>
      <c r="AG31" s="85">
        <v>26.73542531999999</v>
      </c>
      <c r="AH31" s="85">
        <v>19.538931140000006</v>
      </c>
      <c r="AI31" s="85">
        <v>60.416081980000001</v>
      </c>
      <c r="AJ31" s="85">
        <v>118.36320645000001</v>
      </c>
      <c r="AK31" s="85">
        <v>21.285810129999998</v>
      </c>
      <c r="AL31" s="85">
        <v>63.016844119999995</v>
      </c>
      <c r="AM31" s="85">
        <v>28.850249999999999</v>
      </c>
      <c r="AN31" s="85">
        <v>71.961547060000029</v>
      </c>
      <c r="AO31" s="85">
        <v>22.446184429999988</v>
      </c>
      <c r="AP31" s="85">
        <v>28.970550330000012</v>
      </c>
      <c r="AQ31" s="85">
        <v>38.035625750000001</v>
      </c>
      <c r="AR31" s="85">
        <f t="shared" si="9"/>
        <v>519.11900689000004</v>
      </c>
      <c r="AS31" s="85">
        <f>473.962323+45.632174</f>
        <v>519.59449700000005</v>
      </c>
      <c r="AT31" s="85">
        <v>21.310966570000005</v>
      </c>
      <c r="AU31" s="85">
        <v>29.814895810000003</v>
      </c>
      <c r="AV31" s="85">
        <v>23.157674719999996</v>
      </c>
      <c r="AW31" s="85">
        <v>52.71670159</v>
      </c>
      <c r="AX31" s="85">
        <v>118.70383356999999</v>
      </c>
      <c r="AY31" s="85">
        <v>64.019963009999998</v>
      </c>
      <c r="AZ31" s="85">
        <v>25.976953999999989</v>
      </c>
      <c r="BA31" s="85">
        <v>43.794331510000006</v>
      </c>
      <c r="BB31" s="85">
        <v>18.887031320000006</v>
      </c>
      <c r="BC31" s="85">
        <v>23.755660790000004</v>
      </c>
      <c r="BD31" s="85">
        <v>32.039384769999991</v>
      </c>
      <c r="BE31" s="85">
        <v>32.254390660000006</v>
      </c>
      <c r="BF31" s="85">
        <f t="shared" si="10"/>
        <v>486.4317883199999</v>
      </c>
      <c r="BG31" s="85">
        <f>418.766411+67.665377</f>
        <v>486.43178799999998</v>
      </c>
      <c r="BH31" s="85">
        <v>25.683192400000014</v>
      </c>
      <c r="BI31" s="85">
        <v>23.775202059999994</v>
      </c>
      <c r="BJ31" s="85">
        <v>21.782898630000002</v>
      </c>
      <c r="BK31" s="85">
        <v>62.748348870000008</v>
      </c>
      <c r="BL31" s="85">
        <v>207.51416074000002</v>
      </c>
      <c r="BM31" s="85">
        <v>68.555502879999992</v>
      </c>
      <c r="BN31" s="85">
        <v>29.949044899999997</v>
      </c>
      <c r="BO31" s="85">
        <v>29.10283755</v>
      </c>
      <c r="BP31" s="85">
        <v>45.482637089999983</v>
      </c>
      <c r="BQ31" s="85">
        <v>32.448359020000012</v>
      </c>
      <c r="BR31" s="85">
        <v>89.877998760000011</v>
      </c>
      <c r="BS31" s="85">
        <v>27.452197330000018</v>
      </c>
      <c r="BT31" s="88">
        <f t="shared" si="15"/>
        <v>664.37238022999998</v>
      </c>
      <c r="BU31" s="85">
        <f>611.180051+53.204508</f>
        <v>664.38455900000008</v>
      </c>
      <c r="BV31" s="85">
        <v>24.48527867</v>
      </c>
      <c r="BW31" s="85">
        <v>24.878074659999999</v>
      </c>
      <c r="BX31" s="85">
        <v>29.179429840000008</v>
      </c>
      <c r="BY31" s="85">
        <v>53.10747044</v>
      </c>
      <c r="BZ31" s="85">
        <v>237.92705219999999</v>
      </c>
      <c r="CA31" s="85">
        <v>35.750444730000012</v>
      </c>
      <c r="CB31" s="85">
        <v>34.357005560000012</v>
      </c>
      <c r="CC31" s="85">
        <v>30.582617430000003</v>
      </c>
      <c r="CD31" s="85">
        <v>25.05170953</v>
      </c>
      <c r="CE31" s="85">
        <v>27.966098350000006</v>
      </c>
      <c r="CF31" s="85">
        <v>30.258944579999998</v>
      </c>
      <c r="CG31" s="85">
        <v>32.460376429999997</v>
      </c>
      <c r="CH31" s="88">
        <f t="shared" si="16"/>
        <v>586.00450242000011</v>
      </c>
      <c r="CI31" s="85">
        <f>529.010912+56.993593</f>
        <v>586.00450499999999</v>
      </c>
      <c r="CJ31" s="85">
        <v>36.951681709999995</v>
      </c>
      <c r="CK31" s="85">
        <v>31.777770290000007</v>
      </c>
      <c r="CL31" s="85">
        <v>42.682106349999991</v>
      </c>
      <c r="CM31" s="85">
        <v>63.133346180000025</v>
      </c>
      <c r="CN31" s="85">
        <v>170.37521853000004</v>
      </c>
      <c r="CO31" s="85">
        <v>87.633750269999993</v>
      </c>
      <c r="CP31" s="85">
        <v>28.142331029999998</v>
      </c>
      <c r="CQ31" s="185">
        <v>27.784550219999996</v>
      </c>
      <c r="CR31" s="88">
        <v>26.828596109999996</v>
      </c>
      <c r="CS31" s="88">
        <v>34.063177689999996</v>
      </c>
      <c r="CT31" s="88">
        <v>42.096734400000003</v>
      </c>
      <c r="CU31" s="88">
        <v>34.126243650000006</v>
      </c>
      <c r="CV31" s="88">
        <f t="shared" si="21"/>
        <v>625.59550643</v>
      </c>
      <c r="CW31" s="88">
        <v>618.84783400000003</v>
      </c>
      <c r="CX31" s="88">
        <v>27.858443999999988</v>
      </c>
      <c r="CY31" s="88">
        <v>41.351736500000463</v>
      </c>
      <c r="CZ31" s="88">
        <v>30.104287130000007</v>
      </c>
      <c r="DA31" s="88">
        <v>38.519070669999998</v>
      </c>
      <c r="DB31" s="44">
        <v>180.38361723999989</v>
      </c>
      <c r="DC31" s="44">
        <v>125.86430877000005</v>
      </c>
      <c r="DD31" s="44">
        <v>41.916570440000008</v>
      </c>
      <c r="DE31" s="44">
        <v>32.566766810000004</v>
      </c>
      <c r="DF31" s="44">
        <v>53.800170520000009</v>
      </c>
      <c r="DG31" s="44">
        <v>44.273286999999996</v>
      </c>
      <c r="DH31" s="44">
        <v>41.342286320000007</v>
      </c>
      <c r="DI31" s="44">
        <v>46.359588409999986</v>
      </c>
      <c r="DJ31" s="88">
        <f t="shared" si="22"/>
        <v>704.34013381000045</v>
      </c>
      <c r="DK31" s="85">
        <f>620.431934+74.292189</f>
        <v>694.72412299999996</v>
      </c>
      <c r="DL31" s="85">
        <v>53.571132790000021</v>
      </c>
      <c r="DM31" s="85">
        <v>43.196638469999996</v>
      </c>
      <c r="DN31" s="85">
        <v>58.39245611999997</v>
      </c>
      <c r="DO31" s="85">
        <v>62.705727849999995</v>
      </c>
      <c r="DP31" s="85">
        <v>83.175198650000027</v>
      </c>
      <c r="DQ31" s="85">
        <v>120.25032170999998</v>
      </c>
      <c r="DR31" s="85">
        <v>127.87697933000004</v>
      </c>
      <c r="DS31" s="85">
        <v>48.354796900000004</v>
      </c>
      <c r="DT31" s="85">
        <v>33.490065390000005</v>
      </c>
      <c r="DU31" s="85">
        <v>43.91348310999998</v>
      </c>
      <c r="DV31" s="85">
        <v>51.291766689999982</v>
      </c>
      <c r="DW31" s="85">
        <v>47.955990059999991</v>
      </c>
      <c r="DX31" s="88">
        <f t="shared" si="23"/>
        <v>774.17455707000011</v>
      </c>
      <c r="DY31" s="85">
        <f>668.801282+ 100.970861</f>
        <v>769.77214300000003</v>
      </c>
      <c r="DZ31" s="85">
        <v>47.460017839999963</v>
      </c>
      <c r="EA31" s="85">
        <v>49.555978809999999</v>
      </c>
      <c r="EB31" s="85">
        <v>45.95780440999998</v>
      </c>
      <c r="EC31" s="85">
        <v>76.215371480000002</v>
      </c>
      <c r="ED31" s="85">
        <v>186.70422289999993</v>
      </c>
      <c r="EE31" s="85">
        <v>224.41053965</v>
      </c>
      <c r="EF31" s="85">
        <v>88.036781750000046</v>
      </c>
      <c r="EG31" s="85">
        <v>71.79873544000003</v>
      </c>
      <c r="EH31" s="85">
        <v>49.273778199999988</v>
      </c>
      <c r="EI31" s="85">
        <v>72.173867870000038</v>
      </c>
      <c r="EJ31" s="85">
        <v>78.560789880000044</v>
      </c>
      <c r="EK31" s="85">
        <v>51.906045209999995</v>
      </c>
      <c r="EL31" s="88">
        <f t="shared" si="17"/>
        <v>1042.0539334399998</v>
      </c>
      <c r="EM31" s="85">
        <f>955.644191+83.668933</f>
        <v>1039.313124</v>
      </c>
      <c r="EN31" s="85">
        <v>103.06069239000004</v>
      </c>
      <c r="EO31" s="85">
        <v>58.914767500000025</v>
      </c>
      <c r="EP31" s="85">
        <v>41.920873119999982</v>
      </c>
      <c r="EQ31" s="85">
        <v>91.212889449999935</v>
      </c>
      <c r="ER31" s="85">
        <v>93.377644019999991</v>
      </c>
      <c r="ES31" s="85">
        <v>448.30724395999999</v>
      </c>
      <c r="ET31" s="85">
        <v>88.561368279999996</v>
      </c>
      <c r="EU31" s="85">
        <v>50.436091889999986</v>
      </c>
      <c r="EV31" s="85">
        <v>49.498509560000002</v>
      </c>
      <c r="EW31" s="85">
        <v>89.492609129999991</v>
      </c>
      <c r="EX31" s="85">
        <v>58.90057877000001</v>
      </c>
      <c r="EY31" s="85">
        <v>46.645285479999998</v>
      </c>
      <c r="EZ31" s="88">
        <f t="shared" si="18"/>
        <v>1220.3285535499997</v>
      </c>
      <c r="FA31" s="85">
        <f>1098.716355+117.651349</f>
        <v>1216.367704</v>
      </c>
      <c r="FB31" s="85">
        <v>91.183437549999979</v>
      </c>
      <c r="FC31" s="85">
        <v>56.039202589999995</v>
      </c>
      <c r="FD31" s="85">
        <v>54.486722039999989</v>
      </c>
      <c r="FE31" s="85">
        <v>60.515291529999999</v>
      </c>
      <c r="FF31" s="85">
        <v>49.198547100000006</v>
      </c>
      <c r="FG31" s="85">
        <v>371.53940368000002</v>
      </c>
      <c r="FH31" s="85">
        <v>139.24813336999995</v>
      </c>
      <c r="FI31" s="85">
        <v>85.291119109999968</v>
      </c>
      <c r="FJ31" s="85">
        <v>54.042907990000266</v>
      </c>
      <c r="FK31" s="85">
        <v>70.691152960000025</v>
      </c>
      <c r="FL31" s="85">
        <v>58.038291139999984</v>
      </c>
      <c r="FM31" s="85">
        <v>97.565315929999983</v>
      </c>
      <c r="FN31" s="88">
        <f t="shared" si="11"/>
        <v>1187.83952499</v>
      </c>
      <c r="FO31" s="85">
        <v>92.539550590000019</v>
      </c>
      <c r="FP31" s="85">
        <v>67.564011810000011</v>
      </c>
      <c r="FQ31" s="85">
        <v>53.886086169999992</v>
      </c>
      <c r="FR31" s="85">
        <v>88.68733057999998</v>
      </c>
      <c r="FS31" s="85"/>
      <c r="FT31" s="85"/>
      <c r="FU31" s="85"/>
      <c r="FV31" s="85"/>
      <c r="FW31" s="85"/>
      <c r="FX31" s="85"/>
      <c r="FY31" s="85"/>
      <c r="FZ31" s="85"/>
      <c r="GA31" s="307">
        <f t="shared" si="19"/>
        <v>262.22465399999999</v>
      </c>
      <c r="GB31" s="307">
        <f t="shared" si="20"/>
        <v>302.67697900000002</v>
      </c>
      <c r="GC31" s="308">
        <f t="shared" si="12"/>
        <v>40.45232500000003</v>
      </c>
      <c r="GD31" s="308">
        <f t="shared" si="13"/>
        <v>15.426591048147614</v>
      </c>
    </row>
    <row r="32" spans="1:186" s="12" customFormat="1" ht="20.5">
      <c r="A32" s="62" t="s">
        <v>93</v>
      </c>
      <c r="B32" s="13" t="s">
        <v>94</v>
      </c>
      <c r="C32" s="42" t="s">
        <v>206</v>
      </c>
      <c r="D32" s="42">
        <v>7.4668034700000003</v>
      </c>
      <c r="E32" s="85">
        <v>6.3248110000000004</v>
      </c>
      <c r="F32" s="85">
        <v>4.2800399900000006</v>
      </c>
      <c r="G32" s="85">
        <v>8.3687784399999998</v>
      </c>
      <c r="H32" s="85">
        <v>5.3790898900000004</v>
      </c>
      <c r="I32" s="85">
        <v>5.3441677099999998</v>
      </c>
      <c r="J32" s="85">
        <v>7.1059966300000008</v>
      </c>
      <c r="K32" s="85">
        <v>5.6058475899999998</v>
      </c>
      <c r="L32" s="85">
        <v>5.2574319099999975</v>
      </c>
      <c r="M32" s="85">
        <v>6.9220959600000018</v>
      </c>
      <c r="N32" s="85">
        <v>5.3914187700000005</v>
      </c>
      <c r="O32" s="85">
        <v>6.006952470000007</v>
      </c>
      <c r="P32" s="85">
        <f t="shared" si="7"/>
        <v>73.453433829999994</v>
      </c>
      <c r="Q32" s="45">
        <f>74.054339+0.025414</f>
        <v>74.079752999999997</v>
      </c>
      <c r="R32" s="85">
        <v>7.5145305300000027</v>
      </c>
      <c r="S32" s="50">
        <v>5.8204188199999995</v>
      </c>
      <c r="T32" s="50">
        <v>5.9975308000000007</v>
      </c>
      <c r="U32" s="50">
        <v>8.944942570000002</v>
      </c>
      <c r="V32" s="50">
        <v>5.6183659699999948</v>
      </c>
      <c r="W32" s="50">
        <v>5.5339356000000004</v>
      </c>
      <c r="X32" s="50">
        <v>9.1532735899999977</v>
      </c>
      <c r="Y32" s="50">
        <v>6.8388073700000085</v>
      </c>
      <c r="Z32" s="50">
        <v>6.8898764599999973</v>
      </c>
      <c r="AA32" s="50">
        <v>7.5420829800000035</v>
      </c>
      <c r="AB32" s="50">
        <v>7.2451304800000047</v>
      </c>
      <c r="AC32" s="50">
        <v>5.1776947699999996</v>
      </c>
      <c r="AD32" s="85">
        <f t="shared" si="8"/>
        <v>82.276589940000008</v>
      </c>
      <c r="AE32" s="85">
        <f>82.491581+0.002067</f>
        <v>82.493647999999993</v>
      </c>
      <c r="AF32" s="85">
        <v>7.4500471199999989</v>
      </c>
      <c r="AG32" s="85">
        <v>6.663339610000004</v>
      </c>
      <c r="AH32" s="85">
        <v>6.7379168399999978</v>
      </c>
      <c r="AI32" s="85">
        <v>10.060919940000003</v>
      </c>
      <c r="AJ32" s="85">
        <v>6.6682691100000024</v>
      </c>
      <c r="AK32" s="85">
        <v>7.0278905099999944</v>
      </c>
      <c r="AL32" s="85">
        <v>12.579521470000001</v>
      </c>
      <c r="AM32" s="85">
        <v>6.8941565199999992</v>
      </c>
      <c r="AN32" s="85">
        <v>6.8471002800000029</v>
      </c>
      <c r="AO32" s="85">
        <v>11.641954079999996</v>
      </c>
      <c r="AP32" s="85">
        <v>5.2182611400000045</v>
      </c>
      <c r="AQ32" s="85">
        <v>7.4775958499999966</v>
      </c>
      <c r="AR32" s="85">
        <f t="shared" si="9"/>
        <v>95.266972470000013</v>
      </c>
      <c r="AS32" s="85">
        <f>95.380335+0.003042</f>
        <v>95.383376999999996</v>
      </c>
      <c r="AT32" s="85">
        <v>9.506369979999997</v>
      </c>
      <c r="AU32" s="85">
        <v>5.8800993399999983</v>
      </c>
      <c r="AV32" s="85">
        <v>7.2025896099999986</v>
      </c>
      <c r="AW32" s="85">
        <v>10.063368389999996</v>
      </c>
      <c r="AX32" s="85">
        <v>6.843223810000004</v>
      </c>
      <c r="AY32" s="85">
        <v>6.3734002799999976</v>
      </c>
      <c r="AZ32" s="85">
        <v>9.8144512500000012</v>
      </c>
      <c r="BA32" s="85">
        <v>6.2722018899999972</v>
      </c>
      <c r="BB32" s="85">
        <v>6.4518214900000048</v>
      </c>
      <c r="BC32" s="85">
        <v>10.797863729999998</v>
      </c>
      <c r="BD32" s="85">
        <v>7.1264619899999984</v>
      </c>
      <c r="BE32" s="85">
        <v>7.0697355699999953</v>
      </c>
      <c r="BF32" s="85">
        <f t="shared" si="10"/>
        <v>93.401587329999984</v>
      </c>
      <c r="BG32" s="85">
        <f>93.712483+0.001307</f>
        <v>93.713790000000003</v>
      </c>
      <c r="BH32" s="85">
        <v>9.677986619999988</v>
      </c>
      <c r="BI32" s="85">
        <v>7.6857943800000061</v>
      </c>
      <c r="BJ32" s="85">
        <v>9.3094164300000024</v>
      </c>
      <c r="BK32" s="85">
        <v>9.7233458099999908</v>
      </c>
      <c r="BL32" s="85">
        <v>8.7097843700000048</v>
      </c>
      <c r="BM32" s="85">
        <v>8.0421257400000048</v>
      </c>
      <c r="BN32" s="85">
        <v>11.74745514</v>
      </c>
      <c r="BO32" s="85">
        <v>8.9308482999999974</v>
      </c>
      <c r="BP32" s="85">
        <v>7.8962121699999992</v>
      </c>
      <c r="BQ32" s="85">
        <v>11.317830720000012</v>
      </c>
      <c r="BR32" s="85">
        <v>15.251731710000001</v>
      </c>
      <c r="BS32" s="85">
        <v>7.3101962200000017</v>
      </c>
      <c r="BT32" s="88">
        <f t="shared" si="15"/>
        <v>115.60272761000002</v>
      </c>
      <c r="BU32" s="85">
        <f>115.851775+0.00093</f>
        <v>115.852705</v>
      </c>
      <c r="BV32" s="85">
        <v>11.253782190000015</v>
      </c>
      <c r="BW32" s="85">
        <v>18.530220389999993</v>
      </c>
      <c r="BX32" s="85">
        <v>8.2754149100000021</v>
      </c>
      <c r="BY32" s="85">
        <v>15.039644370000003</v>
      </c>
      <c r="BZ32" s="85">
        <v>11.345427839999999</v>
      </c>
      <c r="CA32" s="85">
        <v>7.5119775900000025</v>
      </c>
      <c r="CB32" s="85">
        <v>12.858303459999998</v>
      </c>
      <c r="CC32" s="85">
        <v>9.1947398600000074</v>
      </c>
      <c r="CD32" s="85">
        <v>7.40885441</v>
      </c>
      <c r="CE32" s="85">
        <v>10.09430036</v>
      </c>
      <c r="CF32" s="85">
        <v>8.246217709999998</v>
      </c>
      <c r="CG32" s="85">
        <v>9.4634096000000021</v>
      </c>
      <c r="CH32" s="88">
        <f t="shared" si="16"/>
        <v>129.22229269000005</v>
      </c>
      <c r="CI32" s="85">
        <f>128.092681+0.000898</f>
        <v>128.09357900000001</v>
      </c>
      <c r="CJ32" s="85">
        <v>8.8340485799999975</v>
      </c>
      <c r="CK32" s="85">
        <v>8.2534182700000045</v>
      </c>
      <c r="CL32" s="85">
        <v>8.3607700500000011</v>
      </c>
      <c r="CM32" s="85">
        <v>14.858217150000002</v>
      </c>
      <c r="CN32" s="85">
        <v>6.8790053400000044</v>
      </c>
      <c r="CO32" s="85">
        <v>6.7120601000000022</v>
      </c>
      <c r="CP32" s="85">
        <v>12.157022109999998</v>
      </c>
      <c r="CQ32" s="185">
        <v>8.0270377800000041</v>
      </c>
      <c r="CR32" s="88">
        <v>6.5521111600000035</v>
      </c>
      <c r="CS32" s="88">
        <v>11.443151590000001</v>
      </c>
      <c r="CT32" s="88">
        <v>11.342641480000012</v>
      </c>
      <c r="CU32" s="88">
        <v>4.515934509999993</v>
      </c>
      <c r="CV32" s="88">
        <f t="shared" si="21"/>
        <v>107.93541812000002</v>
      </c>
      <c r="CW32" s="88">
        <v>106.40585899999999</v>
      </c>
      <c r="CX32" s="88">
        <v>9.5927257300000051</v>
      </c>
      <c r="CY32" s="88">
        <v>6.8450641900000013</v>
      </c>
      <c r="CZ32" s="88">
        <v>10.143993849999999</v>
      </c>
      <c r="DA32" s="88">
        <v>17.077555840000002</v>
      </c>
      <c r="DB32" s="88">
        <v>7.3095545600000005</v>
      </c>
      <c r="DC32" s="88">
        <v>9.1759396500000054</v>
      </c>
      <c r="DD32" s="88">
        <v>11.156130939999999</v>
      </c>
      <c r="DE32" s="88">
        <v>11.538027</v>
      </c>
      <c r="DF32" s="88">
        <v>8.0215677000000039</v>
      </c>
      <c r="DG32" s="88">
        <v>10.776984000000001</v>
      </c>
      <c r="DH32" s="88">
        <v>7.8261900000000004</v>
      </c>
      <c r="DI32" s="88">
        <v>8.5493121200000033</v>
      </c>
      <c r="DJ32" s="88">
        <f t="shared" si="22"/>
        <v>118.01304558000001</v>
      </c>
      <c r="DK32" s="85">
        <f>115.861671+0.001153</f>
        <v>115.862824</v>
      </c>
      <c r="DL32" s="85">
        <v>13.503919389999995</v>
      </c>
      <c r="DM32" s="85">
        <v>7.5898448200000015</v>
      </c>
      <c r="DN32" s="85">
        <v>9.6510319800000008</v>
      </c>
      <c r="DO32" s="85">
        <v>20.013736690000005</v>
      </c>
      <c r="DP32" s="85">
        <v>9.5371418499999976</v>
      </c>
      <c r="DQ32" s="85">
        <v>5.751290049999997</v>
      </c>
      <c r="DR32" s="85">
        <v>11.222429610000004</v>
      </c>
      <c r="DS32" s="85">
        <v>10.48402557</v>
      </c>
      <c r="DT32" s="85">
        <v>9.5967972300000035</v>
      </c>
      <c r="DU32" s="85">
        <v>13.004953690000008</v>
      </c>
      <c r="DV32" s="85">
        <v>7.2025258300000035</v>
      </c>
      <c r="DW32" s="85">
        <v>6.7000714499999994</v>
      </c>
      <c r="DX32" s="88">
        <f t="shared" si="23"/>
        <v>124.25776816000001</v>
      </c>
      <c r="DY32" s="85">
        <f>123.63945+0.000931</f>
        <v>123.64038099999999</v>
      </c>
      <c r="DZ32" s="85">
        <v>13.23955595</v>
      </c>
      <c r="EA32" s="85">
        <v>9.4929926200000008</v>
      </c>
      <c r="EB32" s="85">
        <v>11.480942489999997</v>
      </c>
      <c r="EC32" s="85">
        <v>15.866869129999994</v>
      </c>
      <c r="ED32" s="85">
        <v>17.194830319999994</v>
      </c>
      <c r="EE32" s="85">
        <v>13.727614110000005</v>
      </c>
      <c r="EF32" s="85">
        <v>13.244454759999996</v>
      </c>
      <c r="EG32" s="85">
        <v>10.94160821</v>
      </c>
      <c r="EH32" s="85">
        <v>10.382209380000001</v>
      </c>
      <c r="EI32" s="85">
        <v>13.604577390000001</v>
      </c>
      <c r="EJ32" s="85">
        <v>9.3327371500000034</v>
      </c>
      <c r="EK32" s="85">
        <v>8.4582420000000056</v>
      </c>
      <c r="EL32" s="88">
        <f t="shared" si="17"/>
        <v>146.96663351000001</v>
      </c>
      <c r="EM32" s="85">
        <f>145.042503+0.071078</f>
        <v>145.11358100000001</v>
      </c>
      <c r="EN32" s="85">
        <v>18.098119030000007</v>
      </c>
      <c r="EO32" s="85">
        <v>22.670921889999988</v>
      </c>
      <c r="EP32" s="85">
        <v>10.819622119999998</v>
      </c>
      <c r="EQ32" s="85">
        <v>19.134872199999986</v>
      </c>
      <c r="ER32" s="85">
        <v>10.106318980000003</v>
      </c>
      <c r="ES32" s="85">
        <v>18.667283280000003</v>
      </c>
      <c r="ET32" s="85">
        <v>11.352510500000003</v>
      </c>
      <c r="EU32" s="85">
        <v>13.967003159999992</v>
      </c>
      <c r="EV32" s="85">
        <v>12.125770159999997</v>
      </c>
      <c r="EW32" s="85">
        <v>19.518223069999998</v>
      </c>
      <c r="EX32" s="85">
        <v>9.9838127499999949</v>
      </c>
      <c r="EY32" s="85">
        <v>11.868918000000003</v>
      </c>
      <c r="EZ32" s="88">
        <f t="shared" si="18"/>
        <v>178.31337513999998</v>
      </c>
      <c r="FA32" s="85">
        <f>175.592814+0.063375</f>
        <v>175.65618900000001</v>
      </c>
      <c r="FB32" s="85">
        <v>19.789972329999998</v>
      </c>
      <c r="FC32" s="85">
        <v>6.3353947399999999</v>
      </c>
      <c r="FD32" s="85">
        <v>11.780607129999998</v>
      </c>
      <c r="FE32" s="85">
        <v>24.661820410000004</v>
      </c>
      <c r="FF32" s="85">
        <v>33.564685029999993</v>
      </c>
      <c r="FG32" s="85">
        <v>12.01513274</v>
      </c>
      <c r="FH32" s="85">
        <v>16.444448160000004</v>
      </c>
      <c r="FI32" s="85">
        <v>26.174604810000002</v>
      </c>
      <c r="FJ32" s="85">
        <v>8.8690038499999986</v>
      </c>
      <c r="FK32" s="85">
        <v>14.532599130000005</v>
      </c>
      <c r="FL32" s="85">
        <v>9.0995741999999975</v>
      </c>
      <c r="FM32" s="85">
        <v>10.474536140000001</v>
      </c>
      <c r="FN32" s="88">
        <f t="shared" si="11"/>
        <v>193.74237866999999</v>
      </c>
      <c r="FO32" s="85">
        <v>17.813791200000022</v>
      </c>
      <c r="FP32" s="85">
        <v>19.796102620000003</v>
      </c>
      <c r="FQ32" s="85">
        <v>14.857587860000011</v>
      </c>
      <c r="FR32" s="85">
        <v>24.713371769999995</v>
      </c>
      <c r="FS32" s="85"/>
      <c r="FT32" s="85"/>
      <c r="FU32" s="85"/>
      <c r="FV32" s="85"/>
      <c r="FW32" s="85"/>
      <c r="FX32" s="85"/>
      <c r="FY32" s="85"/>
      <c r="FZ32" s="85"/>
      <c r="GA32" s="307">
        <f t="shared" si="19"/>
        <v>62.567794999999997</v>
      </c>
      <c r="GB32" s="307">
        <f t="shared" si="20"/>
        <v>77.180852999999999</v>
      </c>
      <c r="GC32" s="308">
        <f>GB32-GA32</f>
        <v>14.613058000000002</v>
      </c>
      <c r="GD32" s="308">
        <f t="shared" si="13"/>
        <v>23.3555585585204</v>
      </c>
    </row>
    <row r="33" spans="1:186" s="12" customFormat="1" ht="20.5">
      <c r="A33" s="62" t="s">
        <v>99</v>
      </c>
      <c r="B33" s="13" t="s">
        <v>100</v>
      </c>
      <c r="C33" s="42" t="s">
        <v>101</v>
      </c>
      <c r="D33" s="84">
        <f>D34+D35+D36</f>
        <v>0.49451450000000002</v>
      </c>
      <c r="E33" s="85">
        <f>E34+E35+E36</f>
        <v>0.53856999999999999</v>
      </c>
      <c r="F33" s="85">
        <f t="shared" ref="F33:M33" si="26">F34+F35+F36</f>
        <v>0.57066289000000003</v>
      </c>
      <c r="G33" s="85">
        <f t="shared" si="26"/>
        <v>0.52322981000000002</v>
      </c>
      <c r="H33" s="85">
        <f t="shared" si="26"/>
        <v>0.19272033000000002</v>
      </c>
      <c r="I33" s="85">
        <f t="shared" si="26"/>
        <v>0.76458163000000001</v>
      </c>
      <c r="J33" s="85">
        <f t="shared" si="26"/>
        <v>0.32978969999999996</v>
      </c>
      <c r="K33" s="85">
        <f t="shared" si="26"/>
        <v>0.13330651000000002</v>
      </c>
      <c r="L33" s="85">
        <f t="shared" si="26"/>
        <v>0.37965235999999997</v>
      </c>
      <c r="M33" s="85">
        <f t="shared" si="26"/>
        <v>0.73334414000000014</v>
      </c>
      <c r="N33" s="85">
        <f>N34+N35+N36</f>
        <v>0.55889263</v>
      </c>
      <c r="O33" s="85">
        <f>O34+O35+O36</f>
        <v>0.64533232000000007</v>
      </c>
      <c r="P33" s="85">
        <f t="shared" si="7"/>
        <v>5.8645968200000009</v>
      </c>
      <c r="Q33" s="85">
        <f>Q34+Q35+Q36</f>
        <v>5.8701479999999995</v>
      </c>
      <c r="R33" s="85">
        <f>R34+R35+R36</f>
        <v>0.37637966</v>
      </c>
      <c r="S33" s="85">
        <v>0.26858917999999993</v>
      </c>
      <c r="T33" s="85">
        <v>0.45723205</v>
      </c>
      <c r="U33" s="85">
        <v>0.11610943999999999</v>
      </c>
      <c r="V33" s="85">
        <v>0.2886203</v>
      </c>
      <c r="W33" s="85">
        <v>0.11017566999999999</v>
      </c>
      <c r="X33" s="85">
        <v>0.33202530999999996</v>
      </c>
      <c r="Y33" s="85">
        <v>0.11006325</v>
      </c>
      <c r="Z33" s="85">
        <v>0.77499704999999997</v>
      </c>
      <c r="AA33" s="85">
        <v>0.42899492999999994</v>
      </c>
      <c r="AB33" s="85">
        <v>0.19706783999999999</v>
      </c>
      <c r="AC33" s="85">
        <v>0.19288231</v>
      </c>
      <c r="AD33" s="85">
        <f t="shared" si="8"/>
        <v>3.6531369899999997</v>
      </c>
      <c r="AE33" s="85">
        <f>AE34+AE35+AE36</f>
        <v>3.6538270000000002</v>
      </c>
      <c r="AF33" s="85">
        <v>0.50539617000000003</v>
      </c>
      <c r="AG33" s="85">
        <v>8.0453819999999995E-2</v>
      </c>
      <c r="AH33" s="85">
        <v>0.17164791999999998</v>
      </c>
      <c r="AI33" s="85">
        <v>0.13760371999999998</v>
      </c>
      <c r="AJ33" s="85">
        <v>7.4601809999999991E-2</v>
      </c>
      <c r="AK33" s="85">
        <v>4.283174E-2</v>
      </c>
      <c r="AL33" s="85">
        <v>0.37178696999999999</v>
      </c>
      <c r="AM33" s="85">
        <v>7.391064E-2</v>
      </c>
      <c r="AN33" s="85">
        <v>8.4119440000000004E-2</v>
      </c>
      <c r="AO33" s="85">
        <v>5.1892519999999998E-2</v>
      </c>
      <c r="AP33" s="85">
        <v>0.12565957999999999</v>
      </c>
      <c r="AQ33" s="85">
        <v>1.6660343099999997</v>
      </c>
      <c r="AR33" s="85">
        <f t="shared" si="9"/>
        <v>3.38593864</v>
      </c>
      <c r="AS33" s="85">
        <f>AS34+AS35+AS36</f>
        <v>3.389364</v>
      </c>
      <c r="AT33" s="85">
        <v>7.5567350000000005E-2</v>
      </c>
      <c r="AU33" s="85">
        <v>0.29521181999999996</v>
      </c>
      <c r="AV33" s="85">
        <v>1.8129839999999998E-2</v>
      </c>
      <c r="AW33" s="85">
        <v>0.37036706000000003</v>
      </c>
      <c r="AX33" s="85">
        <v>0.11206103999999999</v>
      </c>
      <c r="AY33" s="85">
        <v>0.29261135999999999</v>
      </c>
      <c r="AZ33" s="85">
        <v>0.13672789999999999</v>
      </c>
      <c r="BA33" s="85">
        <v>0.10397325999999998</v>
      </c>
      <c r="BB33" s="85">
        <v>0.17852933000000001</v>
      </c>
      <c r="BC33" s="85">
        <v>0.37166815000000003</v>
      </c>
      <c r="BD33" s="85">
        <v>0.37171335</v>
      </c>
      <c r="BE33" s="85">
        <v>0.43042389999999997</v>
      </c>
      <c r="BF33" s="85">
        <f t="shared" si="10"/>
        <v>2.7569843599999997</v>
      </c>
      <c r="BG33" s="85">
        <f>BG34+BG35+BG36</f>
        <v>2.7573059999999998</v>
      </c>
      <c r="BH33" s="85">
        <v>0.11466902000000001</v>
      </c>
      <c r="BI33" s="85">
        <v>0.23179437</v>
      </c>
      <c r="BJ33" s="85">
        <v>0.49286425999999994</v>
      </c>
      <c r="BK33" s="85">
        <v>0.35824838000000009</v>
      </c>
      <c r="BL33" s="85">
        <v>0.33292632999999988</v>
      </c>
      <c r="BM33" s="85">
        <v>0.31832252000000005</v>
      </c>
      <c r="BN33" s="85">
        <v>0.29841377000000002</v>
      </c>
      <c r="BO33" s="85">
        <v>0.38470176999999989</v>
      </c>
      <c r="BP33" s="85">
        <v>0.64368910999999995</v>
      </c>
      <c r="BQ33" s="85">
        <v>0.65825533000000003</v>
      </c>
      <c r="BR33" s="85">
        <v>0.6324802100000001</v>
      </c>
      <c r="BS33" s="85">
        <v>1.04079301</v>
      </c>
      <c r="BT33" s="88">
        <f t="shared" si="15"/>
        <v>5.50715808</v>
      </c>
      <c r="BU33" s="85">
        <f>BU34+BU35+BU36</f>
        <v>5.502942</v>
      </c>
      <c r="BV33" s="85">
        <v>0.25735076999999995</v>
      </c>
      <c r="BW33" s="85">
        <v>0.66347869999999998</v>
      </c>
      <c r="BX33" s="85">
        <v>0.63080163999999994</v>
      </c>
      <c r="BY33" s="85">
        <v>0.34512293999999999</v>
      </c>
      <c r="BZ33" s="85">
        <v>0.37784452000000002</v>
      </c>
      <c r="CA33" s="85">
        <v>0.69248867000000003</v>
      </c>
      <c r="CB33" s="85">
        <v>1.07488585</v>
      </c>
      <c r="CC33" s="85">
        <v>0.10925684999999999</v>
      </c>
      <c r="CD33" s="85">
        <v>0.68613477</v>
      </c>
      <c r="CE33" s="85">
        <v>0.53141733000000024</v>
      </c>
      <c r="CF33" s="85">
        <v>0.60098335000000003</v>
      </c>
      <c r="CG33" s="85">
        <v>1.1681646000000003</v>
      </c>
      <c r="CH33" s="88">
        <f t="shared" si="16"/>
        <v>7.1379299899999999</v>
      </c>
      <c r="CI33" s="85">
        <f>CI34+CI35+CI36</f>
        <v>7.5051480000000002</v>
      </c>
      <c r="CJ33" s="85">
        <v>0.74364954999999999</v>
      </c>
      <c r="CK33" s="85">
        <v>0.17750445999999995</v>
      </c>
      <c r="CL33" s="85">
        <v>0.30202233000000006</v>
      </c>
      <c r="CM33" s="85">
        <v>0.63380094999999981</v>
      </c>
      <c r="CN33" s="85">
        <v>0.41445402000000009</v>
      </c>
      <c r="CO33" s="85">
        <v>0.49459645999999996</v>
      </c>
      <c r="CP33" s="85">
        <v>0.48354436000000001</v>
      </c>
      <c r="CQ33" s="185">
        <v>0.32077646999999998</v>
      </c>
      <c r="CR33" s="88">
        <v>0.29627501999999994</v>
      </c>
      <c r="CS33" s="88">
        <v>0.49133418000000001</v>
      </c>
      <c r="CT33" s="88">
        <v>0.72287183999999982</v>
      </c>
      <c r="CU33" s="88">
        <v>0.97024293999999978</v>
      </c>
      <c r="CV33" s="88">
        <f t="shared" si="21"/>
        <v>6.0510725799999996</v>
      </c>
      <c r="CW33" s="85">
        <v>5.7919559999999999</v>
      </c>
      <c r="CX33" s="88">
        <v>0.41328642999999998</v>
      </c>
      <c r="CY33" s="88">
        <v>0.42603099999999999</v>
      </c>
      <c r="CZ33" s="88">
        <v>0.98248899999999995</v>
      </c>
      <c r="DA33" s="88">
        <v>0.32421499999999998</v>
      </c>
      <c r="DB33" s="88">
        <v>0.55625574</v>
      </c>
      <c r="DC33" s="88">
        <v>0.48226799999999997</v>
      </c>
      <c r="DD33" s="88">
        <v>0.57059899999999997</v>
      </c>
      <c r="DE33" s="88">
        <v>0.27454000000000001</v>
      </c>
      <c r="DF33" s="88">
        <v>0.55625574</v>
      </c>
      <c r="DG33" s="88">
        <v>0.69916500000000004</v>
      </c>
      <c r="DH33" s="88">
        <v>0.39481511000000002</v>
      </c>
      <c r="DI33" s="88">
        <v>1.20162864</v>
      </c>
      <c r="DJ33" s="88">
        <f t="shared" si="22"/>
        <v>6.8815486599999991</v>
      </c>
      <c r="DK33" s="85">
        <f>DK34+DK35+DK36</f>
        <v>7.3357909999999995</v>
      </c>
      <c r="DL33" s="85">
        <v>0.26917397999999998</v>
      </c>
      <c r="DM33" s="85">
        <v>0.88415831</v>
      </c>
      <c r="DN33" s="85">
        <v>0.22275621000000007</v>
      </c>
      <c r="DO33" s="85">
        <v>0.12971599999999997</v>
      </c>
      <c r="DP33" s="85">
        <v>1.1192241900000002</v>
      </c>
      <c r="DQ33" s="85">
        <v>-1.4903879999999987E-2</v>
      </c>
      <c r="DR33" s="85">
        <v>0.5040475900000001</v>
      </c>
      <c r="DS33" s="85">
        <v>0.83319315000000016</v>
      </c>
      <c r="DT33" s="85">
        <v>0.20311284000000002</v>
      </c>
      <c r="DU33" s="85">
        <v>1.34751815</v>
      </c>
      <c r="DV33" s="85">
        <v>3.9093400000000667E-3</v>
      </c>
      <c r="DW33" s="85">
        <v>0.87045802000000005</v>
      </c>
      <c r="DX33" s="88">
        <f t="shared" si="23"/>
        <v>6.3723638999999999</v>
      </c>
      <c r="DY33" s="85">
        <f>DY34+DY35+DY36</f>
        <v>6.218343</v>
      </c>
      <c r="DZ33" s="85">
        <v>0.66473752000000008</v>
      </c>
      <c r="EA33" s="85">
        <v>0.18881417000000003</v>
      </c>
      <c r="EB33" s="85">
        <v>0.21598525000000005</v>
      </c>
      <c r="EC33" s="85">
        <v>0.14649315000000004</v>
      </c>
      <c r="ED33" s="85">
        <v>0.42429610999999995</v>
      </c>
      <c r="EE33" s="85">
        <v>0.32534788000000003</v>
      </c>
      <c r="EF33" s="85">
        <v>0.34965033999999995</v>
      </c>
      <c r="EG33" s="85">
        <v>7.7950680000000008E-2</v>
      </c>
      <c r="EH33" s="85">
        <v>0.14691033000000001</v>
      </c>
      <c r="EI33" s="85">
        <v>0.63462326999999996</v>
      </c>
      <c r="EJ33" s="85">
        <v>0.44466673999997131</v>
      </c>
      <c r="EK33" s="85">
        <v>0.36325731000000011</v>
      </c>
      <c r="EL33" s="88">
        <f t="shared" si="17"/>
        <v>3.9827327499999714</v>
      </c>
      <c r="EM33" s="85">
        <f>EM34+EM35+EM36</f>
        <v>3.9520650000000002</v>
      </c>
      <c r="EN33" s="85">
        <v>0.83450959999999996</v>
      </c>
      <c r="EO33" s="85">
        <v>0.22660827999999997</v>
      </c>
      <c r="EP33" s="85">
        <v>0.11624598</v>
      </c>
      <c r="EQ33" s="85">
        <v>0.19881497000000001</v>
      </c>
      <c r="ER33" s="85">
        <v>0.48698660999999999</v>
      </c>
      <c r="ES33" s="85">
        <v>0.31779068999999999</v>
      </c>
      <c r="ET33" s="85">
        <v>0.30268238000000003</v>
      </c>
      <c r="EU33" s="85">
        <v>0.87920488999999991</v>
      </c>
      <c r="EV33" s="85">
        <v>-0.20852021999999992</v>
      </c>
      <c r="EW33" s="85">
        <v>0.60446575999999996</v>
      </c>
      <c r="EX33" s="85">
        <v>0.17433274999999998</v>
      </c>
      <c r="EY33" s="85">
        <v>0.75486882000000011</v>
      </c>
      <c r="EZ33" s="88">
        <f t="shared" si="18"/>
        <v>4.6879905099999997</v>
      </c>
      <c r="FA33" s="85">
        <f>FA34+FA35+FA36</f>
        <v>4.7888529999999996</v>
      </c>
      <c r="FB33" s="85">
        <v>0.23459102000000001</v>
      </c>
      <c r="FC33" s="85">
        <v>0.72446831999999994</v>
      </c>
      <c r="FD33" s="85">
        <v>0.12689633</v>
      </c>
      <c r="FE33" s="85">
        <v>0.76943885999922657</v>
      </c>
      <c r="FF33" s="85">
        <v>0.68149633999922665</v>
      </c>
      <c r="FG33" s="85">
        <v>0.61242108999946387</v>
      </c>
      <c r="FH33" s="85">
        <v>6.033398000000012E-2</v>
      </c>
      <c r="FI33" s="85">
        <v>0.36165742000000001</v>
      </c>
      <c r="FJ33" s="85">
        <v>0.53963892000000002</v>
      </c>
      <c r="FK33" s="85">
        <v>0.85249233000000058</v>
      </c>
      <c r="FL33" s="85">
        <v>0.52828488000000007</v>
      </c>
      <c r="FM33" s="85">
        <v>1.0122382299999999</v>
      </c>
      <c r="FN33" s="88">
        <f t="shared" si="11"/>
        <v>6.5039577199979171</v>
      </c>
      <c r="FO33" s="85">
        <v>0.28909427999980919</v>
      </c>
      <c r="FP33" s="85">
        <v>0.82688556000000002</v>
      </c>
      <c r="FQ33" s="85">
        <v>0.59511531999999989</v>
      </c>
      <c r="FR33" s="85">
        <v>0.73673109999999997</v>
      </c>
      <c r="FS33" s="85"/>
      <c r="FT33" s="85"/>
      <c r="FU33" s="85"/>
      <c r="FV33" s="85"/>
      <c r="FW33" s="85"/>
      <c r="FX33" s="85"/>
      <c r="FY33" s="85"/>
      <c r="FZ33" s="85"/>
      <c r="GA33" s="307">
        <f t="shared" si="19"/>
        <v>1.8553949999999999</v>
      </c>
      <c r="GB33" s="307">
        <f t="shared" si="20"/>
        <v>2.4478260000000001</v>
      </c>
      <c r="GC33" s="308">
        <f t="shared" si="12"/>
        <v>0.59243100000000015</v>
      </c>
      <c r="GD33" s="308">
        <f t="shared" si="13"/>
        <v>31.930181982812314</v>
      </c>
    </row>
    <row r="34" spans="1:186" s="12" customFormat="1" ht="21" customHeight="1">
      <c r="A34" s="82" t="s">
        <v>102</v>
      </c>
      <c r="B34" s="13" t="s">
        <v>103</v>
      </c>
      <c r="C34" s="46" t="s">
        <v>104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84">
        <f t="shared" si="7"/>
        <v>0</v>
      </c>
      <c r="Q34" s="84"/>
      <c r="R34" s="45"/>
      <c r="S34" s="45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85">
        <f t="shared" si="8"/>
        <v>0</v>
      </c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>
        <f t="shared" si="9"/>
        <v>0</v>
      </c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>
        <f t="shared" si="10"/>
        <v>0</v>
      </c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8">
        <f t="shared" si="15"/>
        <v>0</v>
      </c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8">
        <f t="shared" si="16"/>
        <v>0</v>
      </c>
      <c r="CI34" s="85"/>
      <c r="CJ34" s="85"/>
      <c r="CK34" s="85"/>
      <c r="CL34" s="85"/>
      <c r="CM34" s="85"/>
      <c r="CN34" s="85"/>
      <c r="CO34" s="85"/>
      <c r="CP34" s="85"/>
      <c r="CQ34" s="185"/>
      <c r="CR34" s="88"/>
      <c r="CS34" s="88"/>
      <c r="CT34" s="88"/>
      <c r="CU34" s="88"/>
      <c r="CV34" s="88">
        <f t="shared" si="21"/>
        <v>0</v>
      </c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>
        <f t="shared" si="22"/>
        <v>0</v>
      </c>
      <c r="DK34" s="85"/>
      <c r="DL34" s="85"/>
      <c r="DM34" s="85"/>
      <c r="DN34" s="85"/>
      <c r="DO34" s="85"/>
      <c r="DP34" s="85"/>
      <c r="DQ34" s="85"/>
      <c r="DR34" s="85"/>
      <c r="DS34" s="85"/>
      <c r="DT34" s="85"/>
      <c r="DU34" s="85"/>
      <c r="DV34" s="85"/>
      <c r="DW34" s="85"/>
      <c r="DX34" s="88">
        <f t="shared" si="23"/>
        <v>0</v>
      </c>
      <c r="DY34" s="85"/>
      <c r="DZ34" s="85"/>
      <c r="EA34" s="85"/>
      <c r="EB34" s="85"/>
      <c r="EC34" s="85"/>
      <c r="ED34" s="85"/>
      <c r="EE34" s="231"/>
      <c r="EF34" s="85"/>
      <c r="EG34" s="85"/>
      <c r="EH34" s="85"/>
      <c r="EI34" s="85"/>
      <c r="EJ34" s="85"/>
      <c r="EK34" s="85"/>
      <c r="EL34" s="88"/>
      <c r="EM34" s="85"/>
      <c r="EN34" s="85"/>
      <c r="EO34" s="85"/>
      <c r="EP34" s="85"/>
      <c r="EQ34" s="85"/>
      <c r="ER34" s="85"/>
      <c r="ES34" s="85"/>
      <c r="ET34" s="85"/>
      <c r="EU34" s="85"/>
      <c r="EV34" s="85"/>
      <c r="EW34" s="85"/>
      <c r="EX34" s="85"/>
      <c r="EY34" s="85"/>
      <c r="EZ34" s="88">
        <f t="shared" si="18"/>
        <v>0</v>
      </c>
      <c r="FA34" s="85">
        <v>0.221641</v>
      </c>
      <c r="FB34" s="85"/>
      <c r="FC34" s="85"/>
      <c r="FD34" s="85"/>
      <c r="FE34" s="85"/>
      <c r="FF34" s="85"/>
      <c r="FG34" s="85"/>
      <c r="FH34" s="85"/>
      <c r="FI34" s="85"/>
      <c r="FJ34" s="85">
        <v>2.2394400000000062E-3</v>
      </c>
      <c r="FK34" s="85">
        <v>-2.2394399999994784E-3</v>
      </c>
      <c r="FL34" s="85"/>
      <c r="FM34" s="85"/>
      <c r="FN34" s="88">
        <f t="shared" si="11"/>
        <v>5.2778961756594356E-16</v>
      </c>
      <c r="FO34" s="85">
        <v>-5.2020000001908049E-3</v>
      </c>
      <c r="FP34" s="85">
        <v>2.0733269999999953E-2</v>
      </c>
      <c r="FQ34" s="85">
        <v>-1.3024569999999999E-2</v>
      </c>
      <c r="FR34" s="85">
        <v>3.3033930000000003E-2</v>
      </c>
      <c r="FS34" s="85"/>
      <c r="FT34" s="85"/>
      <c r="FU34" s="85"/>
      <c r="FV34" s="85"/>
      <c r="FW34" s="85"/>
      <c r="FX34" s="85"/>
      <c r="FY34" s="85"/>
      <c r="FZ34" s="85"/>
      <c r="GA34" s="307">
        <f t="shared" si="19"/>
        <v>0</v>
      </c>
      <c r="GB34" s="307">
        <f t="shared" si="20"/>
        <v>3.5541000000000003E-2</v>
      </c>
      <c r="GC34" s="310">
        <f t="shared" si="12"/>
        <v>3.5541000000000003E-2</v>
      </c>
      <c r="GD34" s="308" t="e">
        <f t="shared" si="13"/>
        <v>#DIV/0!</v>
      </c>
    </row>
    <row r="35" spans="1:186" s="12" customFormat="1" ht="24" customHeight="1">
      <c r="A35" s="82" t="s">
        <v>108</v>
      </c>
      <c r="B35" s="13" t="s">
        <v>109</v>
      </c>
      <c r="C35" s="333" t="s">
        <v>110</v>
      </c>
      <c r="D35" s="45">
        <v>0.47914253000000001</v>
      </c>
      <c r="E35" s="45">
        <v>0.28559499999999999</v>
      </c>
      <c r="F35" s="45">
        <v>0.48013820000000001</v>
      </c>
      <c r="G35" s="45">
        <v>0.53384156000000005</v>
      </c>
      <c r="H35" s="45">
        <v>0.18772808000000002</v>
      </c>
      <c r="I35" s="45">
        <v>0.62172574000000003</v>
      </c>
      <c r="J35" s="45">
        <v>0.13286436999999998</v>
      </c>
      <c r="K35" s="45">
        <v>0.13320122000000001</v>
      </c>
      <c r="L35" s="45">
        <v>0.33820396999999996</v>
      </c>
      <c r="M35" s="45">
        <v>0.76963760000000014</v>
      </c>
      <c r="N35" s="45">
        <v>0.55977900000000003</v>
      </c>
      <c r="O35" s="45">
        <v>0.62588865000000005</v>
      </c>
      <c r="P35" s="84">
        <f t="shared" si="7"/>
        <v>5.1477459200000011</v>
      </c>
      <c r="Q35" s="84">
        <v>5.1532159999999996</v>
      </c>
      <c r="R35" s="45">
        <v>0.2447385</v>
      </c>
      <c r="S35" s="50">
        <v>0.26307257999999994</v>
      </c>
      <c r="T35" s="50">
        <v>0.42335308999999999</v>
      </c>
      <c r="U35" s="50">
        <v>0.10253545</v>
      </c>
      <c r="V35" s="50">
        <v>0.26140033000000001</v>
      </c>
      <c r="W35" s="50">
        <v>0.12030550999999999</v>
      </c>
      <c r="X35" s="50">
        <v>0.20828596999999996</v>
      </c>
      <c r="Y35" s="50">
        <v>0.11006775000000001</v>
      </c>
      <c r="Z35" s="50">
        <v>0.76654283000000001</v>
      </c>
      <c r="AA35" s="50">
        <v>0.40197157999999994</v>
      </c>
      <c r="AB35" s="50">
        <v>0.17459796999999999</v>
      </c>
      <c r="AC35" s="50">
        <v>0.23435508999999999</v>
      </c>
      <c r="AD35" s="85">
        <f t="shared" si="8"/>
        <v>3.31122665</v>
      </c>
      <c r="AE35" s="85">
        <f>3.311227</f>
        <v>3.3112270000000001</v>
      </c>
      <c r="AF35" s="85">
        <v>0.50444148</v>
      </c>
      <c r="AG35" s="85">
        <v>7.5242429999999999E-2</v>
      </c>
      <c r="AH35" s="85">
        <v>0.12538090999999998</v>
      </c>
      <c r="AI35" s="85">
        <v>8.0866189999999991E-2</v>
      </c>
      <c r="AJ35" s="85">
        <v>2.5543029999999998E-2</v>
      </c>
      <c r="AK35" s="85">
        <v>4.2427579999999999E-2</v>
      </c>
      <c r="AL35" s="85">
        <v>0.17510114999999998</v>
      </c>
      <c r="AM35" s="85">
        <v>3.1847929999999997E-2</v>
      </c>
      <c r="AN35" s="85">
        <v>5.0222650000000001E-2</v>
      </c>
      <c r="AO35" s="85">
        <v>2.364291E-2</v>
      </c>
      <c r="AP35" s="85">
        <v>9.5860540000000008E-2</v>
      </c>
      <c r="AQ35" s="85">
        <v>1.6038211499999997</v>
      </c>
      <c r="AR35" s="85">
        <f t="shared" si="9"/>
        <v>2.8343979499999996</v>
      </c>
      <c r="AS35" s="85">
        <v>2.8343980000000002</v>
      </c>
      <c r="AT35" s="85">
        <v>8.0917000000000003E-3</v>
      </c>
      <c r="AU35" s="85">
        <v>0.31587003999999996</v>
      </c>
      <c r="AV35" s="85">
        <v>-1.9668479999999999E-2</v>
      </c>
      <c r="AW35" s="85">
        <v>0.19804884000000003</v>
      </c>
      <c r="AX35" s="85">
        <v>7.919422999999999E-2</v>
      </c>
      <c r="AY35" s="85">
        <v>0.12913820000000001</v>
      </c>
      <c r="AZ35" s="85">
        <v>8.1998739999999987E-2</v>
      </c>
      <c r="BA35" s="85">
        <v>1.346412E-2</v>
      </c>
      <c r="BB35" s="85">
        <v>0.17303313000000001</v>
      </c>
      <c r="BC35" s="85">
        <v>0.32568591999999996</v>
      </c>
      <c r="BD35" s="85">
        <v>0.31340861999999997</v>
      </c>
      <c r="BE35" s="85">
        <v>0.30480722999999998</v>
      </c>
      <c r="BF35" s="85">
        <f t="shared" si="10"/>
        <v>1.9230722899999999</v>
      </c>
      <c r="BG35" s="85">
        <f>1.923073+0.000002</f>
        <v>1.9230750000000001</v>
      </c>
      <c r="BH35" s="85">
        <v>2.2085629999999998E-2</v>
      </c>
      <c r="BI35" s="85">
        <v>0.21001019000000001</v>
      </c>
      <c r="BJ35" s="85">
        <v>0.43365680000000001</v>
      </c>
      <c r="BK35" s="85">
        <v>0.31577357999999994</v>
      </c>
      <c r="BL35" s="85">
        <v>0.30494082999999994</v>
      </c>
      <c r="BM35" s="85">
        <v>0.26614785999999996</v>
      </c>
      <c r="BN35" s="85">
        <v>0.24674040999999997</v>
      </c>
      <c r="BO35" s="85">
        <v>0.31590808999999997</v>
      </c>
      <c r="BP35" s="85">
        <v>0.58117180000000002</v>
      </c>
      <c r="BQ35" s="85">
        <v>0.61162656999999998</v>
      </c>
      <c r="BR35" s="85">
        <v>0.55572589999999999</v>
      </c>
      <c r="BS35" s="85">
        <v>0.9933362</v>
      </c>
      <c r="BT35" s="88">
        <f t="shared" si="15"/>
        <v>4.8571238599999997</v>
      </c>
      <c r="BU35" s="85">
        <f>4.826312+0.04283</f>
        <v>4.8691420000000001</v>
      </c>
      <c r="BV35" s="85">
        <v>7.2664540000000014E-2</v>
      </c>
      <c r="BW35" s="85">
        <v>0.59073753000000007</v>
      </c>
      <c r="BX35" s="85">
        <v>0.72115306999999995</v>
      </c>
      <c r="BY35" s="85">
        <v>0.31759654999999998</v>
      </c>
      <c r="BZ35" s="85">
        <v>0.33219844000000004</v>
      </c>
      <c r="CA35" s="85">
        <v>0.52073849999999999</v>
      </c>
      <c r="CB35" s="85">
        <v>0.74060043000000009</v>
      </c>
      <c r="CC35" s="85">
        <v>0.10043182</v>
      </c>
      <c r="CD35" s="85">
        <v>0.78122729000000002</v>
      </c>
      <c r="CE35" s="85">
        <v>0.45173718000000007</v>
      </c>
      <c r="CF35" s="85">
        <v>0.60051136999999999</v>
      </c>
      <c r="CG35" s="85">
        <v>1.0538799699999999</v>
      </c>
      <c r="CH35" s="88">
        <f t="shared" si="16"/>
        <v>6.2834766899999996</v>
      </c>
      <c r="CI35" s="85">
        <f>6.283477</f>
        <v>6.2834770000000004</v>
      </c>
      <c r="CJ35" s="85">
        <v>0.31617424</v>
      </c>
      <c r="CK35" s="85">
        <v>0.14972083</v>
      </c>
      <c r="CL35" s="85">
        <v>0.31585139000000001</v>
      </c>
      <c r="CM35" s="85">
        <v>0.57749295</v>
      </c>
      <c r="CN35" s="85">
        <v>0.41018128000000004</v>
      </c>
      <c r="CO35" s="85">
        <v>0.45744604999999999</v>
      </c>
      <c r="CP35" s="85">
        <v>0.44692557999999993</v>
      </c>
      <c r="CQ35" s="185">
        <v>0.26411872999999997</v>
      </c>
      <c r="CR35" s="88">
        <v>0.29150164000000001</v>
      </c>
      <c r="CS35" s="88">
        <v>0.40884399999999999</v>
      </c>
      <c r="CT35" s="88">
        <v>0.68093060999999999</v>
      </c>
      <c r="CU35" s="88">
        <v>0.87505119999999981</v>
      </c>
      <c r="CV35" s="88">
        <f t="shared" si="21"/>
        <v>5.1942384999999991</v>
      </c>
      <c r="CW35" s="88">
        <v>5.25718</v>
      </c>
      <c r="CX35" s="88">
        <v>0.33688161</v>
      </c>
      <c r="CY35" s="88">
        <v>0.385467</v>
      </c>
      <c r="CZ35" s="88">
        <v>0.77702300000000002</v>
      </c>
      <c r="DA35" s="88">
        <v>0.28463500000000003</v>
      </c>
      <c r="DB35" s="88">
        <v>0.55625574</v>
      </c>
      <c r="DC35" s="88">
        <v>0.46566299999999999</v>
      </c>
      <c r="DD35" s="88">
        <v>0.53364999999999996</v>
      </c>
      <c r="DE35" s="88">
        <v>0.19601399999999999</v>
      </c>
      <c r="DF35" s="88">
        <v>0.53507869999974156</v>
      </c>
      <c r="DG35" s="88">
        <v>0.63683000000000001</v>
      </c>
      <c r="DH35" s="88">
        <v>0.38716781</v>
      </c>
      <c r="DI35" s="88">
        <v>1.1326792999999999</v>
      </c>
      <c r="DJ35" s="88">
        <f t="shared" si="22"/>
        <v>6.2273451599997411</v>
      </c>
      <c r="DK35" s="88">
        <v>6.4613829999999997</v>
      </c>
      <c r="DL35" s="88">
        <v>0.23437867000000001</v>
      </c>
      <c r="DM35" s="85">
        <v>0.85838977999999999</v>
      </c>
      <c r="DN35" s="85">
        <v>0.10854493000000001</v>
      </c>
      <c r="DO35" s="85">
        <v>0.18773799999999999</v>
      </c>
      <c r="DP35" s="85">
        <v>0.71084088000000012</v>
      </c>
      <c r="DQ35" s="85">
        <v>9.1140749999999993E-2</v>
      </c>
      <c r="DR35" s="85">
        <v>0.15126299000000001</v>
      </c>
      <c r="DS35" s="85">
        <v>5.2019290000000003E-2</v>
      </c>
      <c r="DT35" s="85">
        <v>-0.10747696000000001</v>
      </c>
      <c r="DU35" s="85">
        <v>0.70770500000000003</v>
      </c>
      <c r="DV35" s="85">
        <v>-0.58790318000000008</v>
      </c>
      <c r="DW35" s="85">
        <v>0.22004596000000001</v>
      </c>
      <c r="DX35" s="88">
        <f t="shared" si="23"/>
        <v>2.6266861100000001</v>
      </c>
      <c r="DY35" s="85">
        <v>5.3424160000000001</v>
      </c>
      <c r="DZ35" s="85">
        <v>0.33899082000000003</v>
      </c>
      <c r="EA35" s="85">
        <v>-3.6906579999999994E-2</v>
      </c>
      <c r="EB35" s="85">
        <v>-1.1713569999999994E-2</v>
      </c>
      <c r="EC35" s="85">
        <v>3.3505319999999998E-2</v>
      </c>
      <c r="ED35" s="85">
        <v>0.13554763</v>
      </c>
      <c r="EE35" s="85">
        <v>3.3530990000000004E-2</v>
      </c>
      <c r="EF35" s="85">
        <v>5.9577529999999997E-2</v>
      </c>
      <c r="EG35" s="85">
        <v>5.1829399999999996E-3</v>
      </c>
      <c r="EH35" s="85">
        <v>6.9266199999999997E-3</v>
      </c>
      <c r="EI35" s="85">
        <v>3.0715900000000001E-2</v>
      </c>
      <c r="EJ35" s="85">
        <v>3.630709E-2</v>
      </c>
      <c r="EK35" s="85">
        <v>3.2508309999999992E-2</v>
      </c>
      <c r="EL35" s="88">
        <f t="shared" si="17"/>
        <v>0.66417300000000001</v>
      </c>
      <c r="EM35" s="85">
        <v>3.3261080000000001</v>
      </c>
      <c r="EN35" s="85">
        <v>0.1352344</v>
      </c>
      <c r="EO35" s="85">
        <v>-8.2352700000000011E-3</v>
      </c>
      <c r="EP35" s="85">
        <v>-2.3843400000000013E-3</v>
      </c>
      <c r="EQ35" s="85">
        <v>-3.831822E-2</v>
      </c>
      <c r="ER35" s="85">
        <v>6.3844600000000001E-2</v>
      </c>
      <c r="ES35" s="85">
        <v>0.35083258</v>
      </c>
      <c r="ET35" s="85">
        <v>0.28531017000000003</v>
      </c>
      <c r="EU35" s="85">
        <v>0.87849032999999987</v>
      </c>
      <c r="EV35" s="85">
        <v>-0.29741445999999994</v>
      </c>
      <c r="EW35" s="85">
        <v>0.55368539999999999</v>
      </c>
      <c r="EX35" s="85">
        <v>0.18123383999999998</v>
      </c>
      <c r="EY35" s="85">
        <v>0.69834768000000014</v>
      </c>
      <c r="EZ35" s="88">
        <f t="shared" si="18"/>
        <v>2.8006267100000004</v>
      </c>
      <c r="FA35" s="85">
        <v>4.2231160000000001</v>
      </c>
      <c r="FB35" s="85">
        <v>4.8598170000000003E-2</v>
      </c>
      <c r="FC35" s="85">
        <v>6.3513760000000002E-2</v>
      </c>
      <c r="FD35" s="85">
        <v>0.16299342</v>
      </c>
      <c r="FE35" s="85">
        <v>0.11770643999922675</v>
      </c>
      <c r="FF35" s="85">
        <v>0.13785386999999999</v>
      </c>
      <c r="FG35" s="85">
        <v>-0.12498488999999999</v>
      </c>
      <c r="FH35" s="85">
        <v>1.4479929999999995E-2</v>
      </c>
      <c r="FI35" s="85">
        <v>3.2491570000000004E-2</v>
      </c>
      <c r="FJ35" s="85">
        <v>0.10827731</v>
      </c>
      <c r="FK35" s="85">
        <v>1.3111360000000002E-2</v>
      </c>
      <c r="FL35" s="85">
        <v>-3.376794000000001E-2</v>
      </c>
      <c r="FM35" s="85">
        <v>1.3876020000000001E-2</v>
      </c>
      <c r="FN35" s="88">
        <f t="shared" si="11"/>
        <v>0.55414901999922672</v>
      </c>
      <c r="FO35" s="85">
        <v>0.28075583000000004</v>
      </c>
      <c r="FP35" s="85">
        <v>0.68293793000000003</v>
      </c>
      <c r="FQ35" s="85">
        <v>0.67357069999999997</v>
      </c>
      <c r="FR35" s="85">
        <v>0.69320880000000007</v>
      </c>
      <c r="FS35" s="85"/>
      <c r="FT35" s="85"/>
      <c r="FU35" s="85"/>
      <c r="FV35" s="85"/>
      <c r="FW35" s="85"/>
      <c r="FX35" s="85"/>
      <c r="FY35" s="85"/>
      <c r="FZ35" s="85"/>
      <c r="GA35" s="307">
        <f t="shared" si="19"/>
        <v>0.39281199999999999</v>
      </c>
      <c r="GB35" s="307">
        <f t="shared" si="20"/>
        <v>2.330473</v>
      </c>
      <c r="GC35" s="310">
        <f t="shared" si="12"/>
        <v>1.9376610000000001</v>
      </c>
      <c r="GD35" s="310">
        <f t="shared" si="13"/>
        <v>493.2794822968749</v>
      </c>
    </row>
    <row r="36" spans="1:186" s="12" customFormat="1" ht="22.5" customHeight="1">
      <c r="A36" s="82" t="s">
        <v>105</v>
      </c>
      <c r="B36" s="13" t="s">
        <v>106</v>
      </c>
      <c r="C36" s="333" t="s">
        <v>107</v>
      </c>
      <c r="D36" s="45">
        <v>1.537197E-2</v>
      </c>
      <c r="E36" s="45">
        <v>0.25297500000000001</v>
      </c>
      <c r="F36" s="45">
        <v>9.0524690000000005E-2</v>
      </c>
      <c r="G36" s="45">
        <v>-1.061175E-2</v>
      </c>
      <c r="H36" s="45">
        <v>4.9922500000000002E-3</v>
      </c>
      <c r="I36" s="45">
        <v>0.14285588999999999</v>
      </c>
      <c r="J36" s="45">
        <v>0.19692533000000001</v>
      </c>
      <c r="K36" s="45">
        <v>1.0528999999999999E-4</v>
      </c>
      <c r="L36" s="45">
        <v>4.1448390000000002E-2</v>
      </c>
      <c r="M36" s="45">
        <v>-3.6293460000000007E-2</v>
      </c>
      <c r="N36" s="45">
        <v>-8.8637000000000004E-4</v>
      </c>
      <c r="O36" s="45">
        <v>1.944367E-2</v>
      </c>
      <c r="P36" s="84">
        <f t="shared" si="7"/>
        <v>0.71685090000000007</v>
      </c>
      <c r="Q36" s="84">
        <v>0.71693200000000001</v>
      </c>
      <c r="R36" s="45">
        <v>0.13164116000000001</v>
      </c>
      <c r="S36" s="50">
        <v>5.5166E-3</v>
      </c>
      <c r="T36" s="50">
        <v>3.387896E-2</v>
      </c>
      <c r="U36" s="50">
        <v>1.3573989999999999E-2</v>
      </c>
      <c r="V36" s="50">
        <v>2.7219969999999996E-2</v>
      </c>
      <c r="W36" s="50">
        <v>-1.0129839999999999E-2</v>
      </c>
      <c r="X36" s="50">
        <v>0.12373934</v>
      </c>
      <c r="Y36" s="50">
        <v>-4.5000000000000001E-6</v>
      </c>
      <c r="Z36" s="50">
        <v>8.4542200000000001E-3</v>
      </c>
      <c r="AA36" s="50">
        <v>2.7023349999999998E-2</v>
      </c>
      <c r="AB36" s="50">
        <v>2.2469870000000003E-2</v>
      </c>
      <c r="AC36" s="50">
        <v>-4.1472780000000001E-2</v>
      </c>
      <c r="AD36" s="85">
        <f t="shared" si="8"/>
        <v>0.34191034000000009</v>
      </c>
      <c r="AE36" s="85">
        <v>0.34260000000000002</v>
      </c>
      <c r="AF36" s="85">
        <v>9.546899999999999E-4</v>
      </c>
      <c r="AG36" s="85">
        <v>5.2113899999999998E-3</v>
      </c>
      <c r="AH36" s="85">
        <v>4.6267009999999997E-2</v>
      </c>
      <c r="AI36" s="85">
        <v>5.6737530000000001E-2</v>
      </c>
      <c r="AJ36" s="85">
        <v>4.9058779999999996E-2</v>
      </c>
      <c r="AK36" s="85">
        <v>4.041600000000003E-4</v>
      </c>
      <c r="AL36" s="85">
        <v>0.19668582000000001</v>
      </c>
      <c r="AM36" s="85">
        <v>4.2062709999999996E-2</v>
      </c>
      <c r="AN36" s="85">
        <v>3.3896790000000003E-2</v>
      </c>
      <c r="AO36" s="85">
        <v>2.8249610000000001E-2</v>
      </c>
      <c r="AP36" s="85">
        <v>2.9799039999999999E-2</v>
      </c>
      <c r="AQ36" s="85">
        <v>6.2213159999999997E-2</v>
      </c>
      <c r="AR36" s="85">
        <f t="shared" si="9"/>
        <v>0.55154068999999994</v>
      </c>
      <c r="AS36" s="85">
        <v>0.55496599999999996</v>
      </c>
      <c r="AT36" s="85">
        <v>6.7475649999999998E-2</v>
      </c>
      <c r="AU36" s="85">
        <v>-2.0658219999999998E-2</v>
      </c>
      <c r="AV36" s="85">
        <v>3.7798319999999996E-2</v>
      </c>
      <c r="AW36" s="85">
        <v>0.17231821999999999</v>
      </c>
      <c r="AX36" s="85">
        <v>3.2866809999999996E-2</v>
      </c>
      <c r="AY36" s="85">
        <v>0.16347316000000001</v>
      </c>
      <c r="AZ36" s="85">
        <v>5.4729160000000006E-2</v>
      </c>
      <c r="BA36" s="85">
        <v>9.0509139999999988E-2</v>
      </c>
      <c r="BB36" s="85">
        <v>5.4962000000000023E-3</v>
      </c>
      <c r="BC36" s="85">
        <v>4.5982229999999999E-2</v>
      </c>
      <c r="BD36" s="85">
        <v>5.8304729999999999E-2</v>
      </c>
      <c r="BE36" s="85">
        <v>0.12561667000000001</v>
      </c>
      <c r="BF36" s="85">
        <f t="shared" si="10"/>
        <v>0.83391207000000001</v>
      </c>
      <c r="BG36" s="85">
        <v>0.83423099999999994</v>
      </c>
      <c r="BH36" s="85">
        <v>9.2583389999999988E-2</v>
      </c>
      <c r="BI36" s="85">
        <v>2.178418E-2</v>
      </c>
      <c r="BJ36" s="85">
        <v>5.9207459999999996E-2</v>
      </c>
      <c r="BK36" s="85">
        <v>4.24748E-2</v>
      </c>
      <c r="BL36" s="85">
        <v>2.7985500000000007E-2</v>
      </c>
      <c r="BM36" s="85">
        <v>5.2174659999999998E-2</v>
      </c>
      <c r="BN36" s="85">
        <v>5.1673360000000002E-2</v>
      </c>
      <c r="BO36" s="85">
        <v>6.8793679999999996E-2</v>
      </c>
      <c r="BP36" s="85">
        <v>6.2517309999999993E-2</v>
      </c>
      <c r="BQ36" s="85">
        <v>4.6628759999999991E-2</v>
      </c>
      <c r="BR36" s="85">
        <v>7.6754309999999992E-2</v>
      </c>
      <c r="BS36" s="85">
        <v>4.7456809999999995E-2</v>
      </c>
      <c r="BT36" s="88">
        <f t="shared" si="15"/>
        <v>0.65003422</v>
      </c>
      <c r="BU36" s="85">
        <v>0.63380000000000003</v>
      </c>
      <c r="BV36" s="85">
        <v>0.18468622999999998</v>
      </c>
      <c r="BW36" s="85">
        <v>7.2741169999999994E-2</v>
      </c>
      <c r="BX36" s="85">
        <v>-9.035143000000001E-2</v>
      </c>
      <c r="BY36" s="85">
        <v>2.7526390000000005E-2</v>
      </c>
      <c r="BZ36" s="85">
        <v>4.5646079999999992E-2</v>
      </c>
      <c r="CA36" s="85">
        <v>0.17175016999999998</v>
      </c>
      <c r="CB36" s="85">
        <v>0.33428542</v>
      </c>
      <c r="CC36" s="85">
        <v>8.8250299999999993E-3</v>
      </c>
      <c r="CD36" s="85">
        <v>-9.5092519999999986E-2</v>
      </c>
      <c r="CE36" s="85">
        <v>7.9680149999999977E-2</v>
      </c>
      <c r="CF36" s="85">
        <v>4.7197999999999956E-4</v>
      </c>
      <c r="CG36" s="85">
        <v>0.11428463</v>
      </c>
      <c r="CH36" s="88">
        <f t="shared" si="16"/>
        <v>0.85445329999999997</v>
      </c>
      <c r="CI36" s="85">
        <f>1.199152+0.022519</f>
        <v>1.221671</v>
      </c>
      <c r="CJ36" s="85">
        <v>0.42747531</v>
      </c>
      <c r="CK36" s="85">
        <v>2.7783629999999997E-2</v>
      </c>
      <c r="CL36" s="85">
        <v>-1.3829060000000008E-2</v>
      </c>
      <c r="CM36" s="85">
        <v>5.6307999999999997E-2</v>
      </c>
      <c r="CN36" s="85">
        <v>4.2727399999999997E-3</v>
      </c>
      <c r="CO36" s="85">
        <v>3.7150410000000002E-2</v>
      </c>
      <c r="CP36" s="85">
        <v>3.6618779999999997E-2</v>
      </c>
      <c r="CQ36" s="185">
        <v>5.6657739999999998E-2</v>
      </c>
      <c r="CR36" s="88">
        <v>4.7733799999999903E-3</v>
      </c>
      <c r="CS36" s="88">
        <v>8.2490179999999996E-2</v>
      </c>
      <c r="CT36" s="88">
        <v>4.194123000000001E-2</v>
      </c>
      <c r="CU36" s="88">
        <v>9.5191739999999997E-2</v>
      </c>
      <c r="CV36" s="88">
        <f t="shared" si="21"/>
        <v>0.85683407999999983</v>
      </c>
      <c r="CW36" s="88">
        <v>0.53477600000000003</v>
      </c>
      <c r="CX36" s="88">
        <v>7.6404820000000012E-2</v>
      </c>
      <c r="CY36" s="88">
        <v>1.1770000000000001E-3</v>
      </c>
      <c r="CZ36" s="88">
        <v>0.20546600000000001</v>
      </c>
      <c r="DA36" s="88">
        <v>3.9579999999999997E-2</v>
      </c>
      <c r="DB36" s="88">
        <v>0.23497304000000002</v>
      </c>
      <c r="DC36" s="88">
        <v>1.6605000000000002E-2</v>
      </c>
      <c r="DD36" s="88">
        <v>3.6949000000000003E-2</v>
      </c>
      <c r="DE36" s="88">
        <v>7.8525999999999999E-2</v>
      </c>
      <c r="DF36" s="88">
        <v>2.3893000000000001E-2</v>
      </c>
      <c r="DG36" s="88">
        <v>6.2335000000000002E-2</v>
      </c>
      <c r="DH36" s="88">
        <v>7.6472999999999992E-3</v>
      </c>
      <c r="DI36" s="88">
        <v>6.8949339999999998E-2</v>
      </c>
      <c r="DJ36" s="88">
        <f t="shared" si="22"/>
        <v>0.85250550000000003</v>
      </c>
      <c r="DK36" s="88">
        <f>0.839943+0.034465</f>
        <v>0.87440799999999996</v>
      </c>
      <c r="DL36" s="88">
        <v>3.4795309999999996E-2</v>
      </c>
      <c r="DM36" s="85">
        <v>2.5768529999999998E-2</v>
      </c>
      <c r="DN36" s="85">
        <v>0.11421128</v>
      </c>
      <c r="DO36" s="85">
        <v>-5.8021999999999997E-2</v>
      </c>
      <c r="DP36" s="85">
        <v>0.40838330999999994</v>
      </c>
      <c r="DQ36" s="85">
        <v>-0.10604462999999999</v>
      </c>
      <c r="DR36" s="85">
        <v>0.35278460000000006</v>
      </c>
      <c r="DS36" s="85">
        <v>0.78117386000000022</v>
      </c>
      <c r="DT36" s="85">
        <v>0.31058980000000003</v>
      </c>
      <c r="DU36" s="85">
        <v>0.63981314999999994</v>
      </c>
      <c r="DV36" s="85">
        <v>0.59181251999999995</v>
      </c>
      <c r="DW36" s="85">
        <v>0.65041206000000007</v>
      </c>
      <c r="DX36" s="88">
        <f t="shared" si="23"/>
        <v>3.7456777900000002</v>
      </c>
      <c r="DY36" s="85">
        <f>0.875927</f>
        <v>0.87592700000000001</v>
      </c>
      <c r="DZ36" s="85">
        <v>0.3257467</v>
      </c>
      <c r="EA36" s="85">
        <v>0.22572075</v>
      </c>
      <c r="EB36" s="85">
        <v>0.22769882</v>
      </c>
      <c r="EC36" s="85">
        <v>0.11298783000000001</v>
      </c>
      <c r="ED36" s="85">
        <v>0.28874847999999997</v>
      </c>
      <c r="EE36" s="85">
        <v>0.29181689</v>
      </c>
      <c r="EF36" s="85">
        <v>0.29007281000000001</v>
      </c>
      <c r="EG36" s="85">
        <v>7.2767739999999997E-2</v>
      </c>
      <c r="EH36" s="85">
        <v>0.13998370999999998</v>
      </c>
      <c r="EI36" s="85">
        <v>0.60390736999999994</v>
      </c>
      <c r="EJ36" s="85">
        <v>0.40835964999997143</v>
      </c>
      <c r="EK36" s="85">
        <v>0.33074900000000007</v>
      </c>
      <c r="EL36" s="88">
        <f t="shared" si="17"/>
        <v>3.3185597499999715</v>
      </c>
      <c r="EM36" s="85">
        <f>0.557241+0.068716</f>
        <v>0.62595699999999999</v>
      </c>
      <c r="EN36" s="85">
        <v>0.69927519999999999</v>
      </c>
      <c r="EO36" s="85">
        <v>0.23484354999999993</v>
      </c>
      <c r="EP36" s="85">
        <v>0.11863032000000001</v>
      </c>
      <c r="EQ36" s="85">
        <v>0.23713318999999999</v>
      </c>
      <c r="ER36" s="85">
        <v>0.42314200999999996</v>
      </c>
      <c r="ES36" s="85">
        <v>-3.3041890000000004E-2</v>
      </c>
      <c r="ET36" s="85">
        <v>1.7372209999999999E-2</v>
      </c>
      <c r="EU36" s="85">
        <v>7.1456000000000015E-4</v>
      </c>
      <c r="EV36" s="85">
        <v>8.8894239999999999E-2</v>
      </c>
      <c r="EW36" s="85">
        <v>5.0780359999999997E-2</v>
      </c>
      <c r="EX36" s="85">
        <v>-6.6050900000000001E-3</v>
      </c>
      <c r="EY36" s="85">
        <v>5.6521139999999997E-2</v>
      </c>
      <c r="EZ36" s="88">
        <f>EN36+EO36+EP36+EQ36+ER36+ES36+ET36+EU36+EV36+EW36+EX36+EY36</f>
        <v>1.8876598</v>
      </c>
      <c r="FA36" s="85">
        <f>0.295129+0.048967</f>
        <v>0.34409599999999996</v>
      </c>
      <c r="FB36" s="85">
        <v>0.18599284999999999</v>
      </c>
      <c r="FC36" s="85">
        <v>0.66095456000000008</v>
      </c>
      <c r="FD36" s="85">
        <v>-3.6097089999999998E-2</v>
      </c>
      <c r="FE36" s="85">
        <v>0.65173241999999987</v>
      </c>
      <c r="FF36" s="85">
        <v>0.54409674000000008</v>
      </c>
      <c r="FG36" s="85">
        <v>0.73740597999946389</v>
      </c>
      <c r="FH36" s="85">
        <v>4.5854050000000091E-2</v>
      </c>
      <c r="FI36" s="85">
        <v>0.32916585000000004</v>
      </c>
      <c r="FJ36" s="85">
        <v>0.42912216999999997</v>
      </c>
      <c r="FK36" s="85">
        <v>0.84162040999999999</v>
      </c>
      <c r="FL36" s="85">
        <v>0.56205282000000001</v>
      </c>
      <c r="FM36" s="85">
        <v>0.99836221000000003</v>
      </c>
      <c r="FN36" s="88">
        <f t="shared" si="11"/>
        <v>5.9502629699994625</v>
      </c>
      <c r="FO36" s="85">
        <v>1.3540450000000002E-2</v>
      </c>
      <c r="FP36" s="85">
        <v>0.12321436000000001</v>
      </c>
      <c r="FQ36" s="85">
        <v>-6.5430809999999992E-2</v>
      </c>
      <c r="FR36" s="85">
        <v>1.048837E-2</v>
      </c>
      <c r="FS36" s="85"/>
      <c r="FT36" s="85"/>
      <c r="FU36" s="85"/>
      <c r="FV36" s="85"/>
      <c r="FW36" s="85"/>
      <c r="FX36" s="85"/>
      <c r="FY36" s="85"/>
      <c r="FZ36" s="85"/>
      <c r="GA36" s="307">
        <f t="shared" si="19"/>
        <v>1.462583</v>
      </c>
      <c r="GB36" s="307">
        <f t="shared" si="20"/>
        <v>8.1811999999999996E-2</v>
      </c>
      <c r="GC36" s="310">
        <f t="shared" si="12"/>
        <v>-1.380771</v>
      </c>
      <c r="GD36" s="310">
        <f t="shared" si="13"/>
        <v>-94.406334546483862</v>
      </c>
    </row>
    <row r="37" spans="1:186" s="12" customFormat="1" ht="20.5">
      <c r="A37" s="62" t="s">
        <v>111</v>
      </c>
      <c r="B37" s="13" t="s">
        <v>112</v>
      </c>
      <c r="C37" s="42" t="s">
        <v>113</v>
      </c>
      <c r="D37" s="84">
        <v>52.539076000000001</v>
      </c>
      <c r="E37" s="85">
        <v>159.88239999999999</v>
      </c>
      <c r="F37" s="85">
        <v>65.008189999999999</v>
      </c>
      <c r="G37" s="85">
        <v>59.027709999999999</v>
      </c>
      <c r="H37" s="85">
        <v>11.598884999999999</v>
      </c>
      <c r="I37" s="85">
        <v>312.48120899999998</v>
      </c>
      <c r="J37" s="85">
        <v>65.853059999999999</v>
      </c>
      <c r="K37" s="85">
        <v>51.336767000000002</v>
      </c>
      <c r="L37" s="85">
        <v>68.046778000000003</v>
      </c>
      <c r="M37" s="85">
        <v>92.580141999999995</v>
      </c>
      <c r="N37" s="85">
        <v>16.440491000000002</v>
      </c>
      <c r="O37" s="85">
        <v>104.20881300000001</v>
      </c>
      <c r="P37" s="85">
        <f t="shared" si="7"/>
        <v>1059.0035210000001</v>
      </c>
      <c r="Q37" s="85">
        <v>1059.1598690000001</v>
      </c>
      <c r="R37" s="85">
        <v>79.230335999999994</v>
      </c>
      <c r="S37" s="50">
        <v>106.744567</v>
      </c>
      <c r="T37" s="50">
        <v>176.04497900000001</v>
      </c>
      <c r="U37" s="50">
        <v>176.37609800000001</v>
      </c>
      <c r="V37" s="50">
        <v>67.023489999999995</v>
      </c>
      <c r="W37" s="50">
        <v>113.605942</v>
      </c>
      <c r="X37" s="50">
        <v>6.7006759999999996</v>
      </c>
      <c r="Y37" s="50">
        <v>132.597532</v>
      </c>
      <c r="Z37" s="50">
        <v>5.4044569999999998</v>
      </c>
      <c r="AA37" s="50">
        <v>83.383090999999993</v>
      </c>
      <c r="AB37" s="50">
        <v>4.8650349999999998</v>
      </c>
      <c r="AC37" s="50">
        <v>39.766821999999998</v>
      </c>
      <c r="AD37" s="85">
        <f t="shared" si="8"/>
        <v>991.74302500000022</v>
      </c>
      <c r="AE37" s="85">
        <v>991.74302499999999</v>
      </c>
      <c r="AF37" s="85">
        <v>77.705972000000003</v>
      </c>
      <c r="AG37" s="85">
        <v>205.65264400000001</v>
      </c>
      <c r="AH37" s="85">
        <v>38.136318000000003</v>
      </c>
      <c r="AI37" s="85">
        <v>51.888779</v>
      </c>
      <c r="AJ37" s="85">
        <v>55.325988000000002</v>
      </c>
      <c r="AK37" s="85">
        <v>70.484172000000001</v>
      </c>
      <c r="AL37" s="85">
        <v>7.7802619999999996</v>
      </c>
      <c r="AM37" s="85">
        <v>40.389812999999997</v>
      </c>
      <c r="AN37" s="85">
        <v>7.4320360000000001</v>
      </c>
      <c r="AO37" s="85">
        <v>48.853468999999997</v>
      </c>
      <c r="AP37" s="85">
        <v>37.389197000000003</v>
      </c>
      <c r="AQ37" s="85">
        <v>102.094453</v>
      </c>
      <c r="AR37" s="85">
        <f t="shared" si="9"/>
        <v>743.13310300000001</v>
      </c>
      <c r="AS37" s="85">
        <v>743.13310300000001</v>
      </c>
      <c r="AT37" s="85">
        <v>78.530086999999995</v>
      </c>
      <c r="AU37" s="85">
        <v>161.21945500000001</v>
      </c>
      <c r="AV37" s="85">
        <v>41.729730000000004</v>
      </c>
      <c r="AW37" s="85">
        <v>88.669062999999994</v>
      </c>
      <c r="AX37" s="85">
        <v>8.3103459999999991</v>
      </c>
      <c r="AY37" s="85">
        <v>86.375899000000004</v>
      </c>
      <c r="AZ37" s="85">
        <v>43.094704999999998</v>
      </c>
      <c r="BA37" s="85">
        <v>29.656274</v>
      </c>
      <c r="BB37" s="85">
        <v>8.3623740000000009</v>
      </c>
      <c r="BC37" s="85">
        <v>65.870260999999999</v>
      </c>
      <c r="BD37" s="85">
        <v>7.2179060000000002</v>
      </c>
      <c r="BE37" s="85">
        <v>92.219633999999999</v>
      </c>
      <c r="BF37" s="85">
        <f t="shared" si="10"/>
        <v>711.25573400000007</v>
      </c>
      <c r="BG37" s="85">
        <v>711.25573399999996</v>
      </c>
      <c r="BH37" s="85">
        <v>110.902259</v>
      </c>
      <c r="BI37" s="85">
        <v>218.27381500000001</v>
      </c>
      <c r="BJ37" s="85">
        <v>36.894010999999999</v>
      </c>
      <c r="BK37" s="85">
        <v>103.88671343999999</v>
      </c>
      <c r="BL37" s="85">
        <v>67.223596000000001</v>
      </c>
      <c r="BM37" s="85">
        <v>34.484251</v>
      </c>
      <c r="BN37" s="85">
        <v>252.11811599999999</v>
      </c>
      <c r="BO37" s="85">
        <v>80.157460999999998</v>
      </c>
      <c r="BP37" s="85">
        <v>10.797954000000001</v>
      </c>
      <c r="BQ37" s="85">
        <v>105.090172</v>
      </c>
      <c r="BR37" s="85">
        <v>18.508120000000002</v>
      </c>
      <c r="BS37" s="85">
        <v>71.012552999999997</v>
      </c>
      <c r="BT37" s="88">
        <f t="shared" si="15"/>
        <v>1109.3490214399999</v>
      </c>
      <c r="BU37" s="85">
        <v>1109.349021</v>
      </c>
      <c r="BV37" s="85">
        <v>182.80866499999999</v>
      </c>
      <c r="BW37" s="85">
        <v>256.56816900000001</v>
      </c>
      <c r="BX37" s="85">
        <v>22.606041640000001</v>
      </c>
      <c r="BY37" s="85">
        <v>181.26781800000001</v>
      </c>
      <c r="BZ37" s="85">
        <v>63.462678440000104</v>
      </c>
      <c r="CA37" s="85">
        <v>280.40073899999999</v>
      </c>
      <c r="CB37" s="85">
        <v>29.96658</v>
      </c>
      <c r="CC37" s="85">
        <v>-0.85268200000000005</v>
      </c>
      <c r="CD37" s="85">
        <v>-55.845728999999999</v>
      </c>
      <c r="CE37" s="85">
        <v>148.49263999999999</v>
      </c>
      <c r="CF37" s="85">
        <v>7.7170759999999996</v>
      </c>
      <c r="CG37" s="85">
        <v>176.13562400000001</v>
      </c>
      <c r="CH37" s="88">
        <f t="shared" si="16"/>
        <v>1292.7276200800002</v>
      </c>
      <c r="CI37" s="85">
        <f>1291.999421</f>
        <v>1291.999421</v>
      </c>
      <c r="CJ37" s="85">
        <v>98.211620999999994</v>
      </c>
      <c r="CK37" s="85">
        <v>205.954114</v>
      </c>
      <c r="CL37" s="85">
        <v>94.669929999999994</v>
      </c>
      <c r="CM37" s="85">
        <v>224.73217299999999</v>
      </c>
      <c r="CN37" s="85">
        <v>91.127951999999993</v>
      </c>
      <c r="CO37" s="85">
        <v>7.1165200000000004</v>
      </c>
      <c r="CP37" s="85">
        <v>275.28016600000001</v>
      </c>
      <c r="CQ37" s="185">
        <v>31.082886999999999</v>
      </c>
      <c r="CR37" s="88">
        <v>2.1925870000000001</v>
      </c>
      <c r="CS37" s="88">
        <v>7.5991369999999998</v>
      </c>
      <c r="CT37" s="88">
        <v>16.939146999999998</v>
      </c>
      <c r="CU37" s="88">
        <v>199.20186000000001</v>
      </c>
      <c r="CV37" s="88">
        <f t="shared" si="21"/>
        <v>1254.1080940000002</v>
      </c>
      <c r="CW37" s="88">
        <v>1280.2123859999999</v>
      </c>
      <c r="CX37" s="88">
        <v>176.39534900000001</v>
      </c>
      <c r="CY37" s="88">
        <v>241.33073400000001</v>
      </c>
      <c r="CZ37" s="88">
        <v>20.200137000000002</v>
      </c>
      <c r="DA37" s="88">
        <v>176.497512</v>
      </c>
      <c r="DB37" s="88">
        <v>35.741833999999997</v>
      </c>
      <c r="DC37" s="88">
        <v>46.891216</v>
      </c>
      <c r="DD37" s="88">
        <v>155.912047</v>
      </c>
      <c r="DE37" s="88">
        <v>40.996642999999999</v>
      </c>
      <c r="DF37" s="88">
        <v>243.131991</v>
      </c>
      <c r="DG37" s="88">
        <v>13.616704</v>
      </c>
      <c r="DH37" s="88">
        <v>150.33431400000001</v>
      </c>
      <c r="DI37" s="88">
        <v>64.115904999999998</v>
      </c>
      <c r="DJ37" s="88">
        <f t="shared" si="22"/>
        <v>1365.1643859999999</v>
      </c>
      <c r="DK37" s="88">
        <v>1345.8768869999999</v>
      </c>
      <c r="DL37" s="88">
        <v>187.64610300000001</v>
      </c>
      <c r="DM37" s="85">
        <v>215.85375199999999</v>
      </c>
      <c r="DN37" s="85">
        <v>23.380022</v>
      </c>
      <c r="DO37" s="85">
        <v>168.70224400000001</v>
      </c>
      <c r="DP37" s="85">
        <v>40.089143999999997</v>
      </c>
      <c r="DQ37" s="85">
        <v>71.583980999999994</v>
      </c>
      <c r="DR37" s="85">
        <v>24.532612</v>
      </c>
      <c r="DS37" s="85">
        <v>145.63381200000001</v>
      </c>
      <c r="DT37" s="85">
        <v>8.8747150000000001</v>
      </c>
      <c r="DU37" s="85">
        <v>214.845226</v>
      </c>
      <c r="DV37" s="85">
        <v>133.23381699999999</v>
      </c>
      <c r="DW37" s="85">
        <v>175.41178400000001</v>
      </c>
      <c r="DX37" s="88">
        <f t="shared" si="23"/>
        <v>1409.7872120000002</v>
      </c>
      <c r="DY37" s="85">
        <v>1435.5760130000001</v>
      </c>
      <c r="DZ37" s="85">
        <v>132.76813999999999</v>
      </c>
      <c r="EA37" s="85">
        <v>250.11256119999999</v>
      </c>
      <c r="EB37" s="85">
        <v>6.3806883600000006</v>
      </c>
      <c r="EC37" s="85">
        <v>209.13250747999999</v>
      </c>
      <c r="ED37" s="85">
        <v>95.120733700000002</v>
      </c>
      <c r="EE37" s="85">
        <v>13.364331470000002</v>
      </c>
      <c r="EF37" s="85">
        <v>214.13208498</v>
      </c>
      <c r="EG37" s="85">
        <v>71.792452209999993</v>
      </c>
      <c r="EH37" s="85">
        <v>45.51114656</v>
      </c>
      <c r="EI37" s="85">
        <v>13.223541970000001</v>
      </c>
      <c r="EJ37" s="85">
        <v>211.05667548</v>
      </c>
      <c r="EK37" s="85">
        <v>77.419053000000005</v>
      </c>
      <c r="EL37" s="88">
        <f t="shared" si="17"/>
        <v>1340.0139164100001</v>
      </c>
      <c r="EM37" s="85">
        <v>1433.594153</v>
      </c>
      <c r="EN37" s="85">
        <v>325.96236141000003</v>
      </c>
      <c r="EO37" s="85">
        <v>215.77481656</v>
      </c>
      <c r="EP37" s="85">
        <v>139.64507771000001</v>
      </c>
      <c r="EQ37" s="85">
        <v>184.15485662</v>
      </c>
      <c r="ER37" s="85">
        <v>377.44262768999999</v>
      </c>
      <c r="ES37" s="85">
        <v>113.27972393</v>
      </c>
      <c r="ET37" s="85">
        <v>191.12041858000001</v>
      </c>
      <c r="EU37" s="85">
        <v>95.706622150000001</v>
      </c>
      <c r="EV37" s="85">
        <v>16.379506150000001</v>
      </c>
      <c r="EW37" s="85">
        <v>6.6271269000000004</v>
      </c>
      <c r="EX37" s="85">
        <v>18.480595609999998</v>
      </c>
      <c r="EY37" s="85">
        <v>58.354765999999998</v>
      </c>
      <c r="EZ37" s="88">
        <f t="shared" si="18"/>
        <v>1742.9284993099998</v>
      </c>
      <c r="FA37" s="85">
        <v>1777.2400130000001</v>
      </c>
      <c r="FB37" s="85">
        <v>118.15501148</v>
      </c>
      <c r="FC37" s="85">
        <v>265.89237809999997</v>
      </c>
      <c r="FD37" s="85">
        <v>79.345825930000004</v>
      </c>
      <c r="FE37" s="85">
        <v>130.73876595000002</v>
      </c>
      <c r="FF37" s="85">
        <v>414.97182655</v>
      </c>
      <c r="FG37" s="85">
        <v>49.932535530000003</v>
      </c>
      <c r="FH37" s="85">
        <v>2.6946130299999997</v>
      </c>
      <c r="FI37" s="85">
        <v>185.49486858</v>
      </c>
      <c r="FJ37" s="85">
        <v>9.2453717100000006</v>
      </c>
      <c r="FK37" s="85">
        <v>4.57306729</v>
      </c>
      <c r="FL37" s="85">
        <v>22.91850896</v>
      </c>
      <c r="FM37" s="85">
        <v>391.96807681999996</v>
      </c>
      <c r="FN37" s="88">
        <f t="shared" si="11"/>
        <v>1675.93084993</v>
      </c>
      <c r="FO37" s="85">
        <v>130.45707779</v>
      </c>
      <c r="FP37" s="85">
        <v>738.66301247000001</v>
      </c>
      <c r="FQ37" s="85">
        <v>88.541498300000001</v>
      </c>
      <c r="FR37" s="85">
        <v>34.147433130000003</v>
      </c>
      <c r="FS37" s="85"/>
      <c r="FT37" s="85"/>
      <c r="FU37" s="85"/>
      <c r="FV37" s="85"/>
      <c r="FW37" s="85"/>
      <c r="FX37" s="85"/>
      <c r="FY37" s="85"/>
      <c r="FZ37" s="85"/>
      <c r="GA37" s="307">
        <f t="shared" si="19"/>
        <v>594.131981</v>
      </c>
      <c r="GB37" s="307">
        <f t="shared" si="20"/>
        <v>991.80902200000003</v>
      </c>
      <c r="GC37" s="308">
        <f t="shared" si="12"/>
        <v>397.67704100000003</v>
      </c>
      <c r="GD37" s="308">
        <f t="shared" si="13"/>
        <v>66.934124692405675</v>
      </c>
    </row>
    <row r="38" spans="1:186" s="12" customFormat="1" ht="20.25" customHeight="1">
      <c r="A38" s="63"/>
      <c r="B38" s="13"/>
      <c r="C38" s="334"/>
      <c r="D38" s="45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85">
        <f t="shared" si="7"/>
        <v>0</v>
      </c>
      <c r="Q38" s="85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148">
        <f t="shared" si="8"/>
        <v>0</v>
      </c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>
        <f t="shared" si="9"/>
        <v>0</v>
      </c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>
        <f t="shared" si="10"/>
        <v>0</v>
      </c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8">
        <f t="shared" si="15"/>
        <v>0</v>
      </c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8">
        <f t="shared" si="16"/>
        <v>0</v>
      </c>
      <c r="CI38" s="131"/>
      <c r="CJ38" s="85"/>
      <c r="CK38" s="85"/>
      <c r="CL38" s="85"/>
      <c r="CM38" s="85"/>
      <c r="CN38" s="85"/>
      <c r="CO38" s="85"/>
      <c r="CP38" s="85"/>
      <c r="CQ38" s="185"/>
      <c r="CR38" s="74"/>
      <c r="CS38" s="74"/>
      <c r="CT38" s="74"/>
      <c r="CU38" s="74"/>
      <c r="CV38" s="88">
        <f t="shared" si="21"/>
        <v>0</v>
      </c>
      <c r="CW38" s="88"/>
      <c r="CX38" s="88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88">
        <f t="shared" si="22"/>
        <v>0</v>
      </c>
      <c r="DK38" s="85"/>
      <c r="DL38" s="172"/>
      <c r="DM38" s="172"/>
      <c r="DN38" s="172"/>
      <c r="DO38" s="172"/>
      <c r="DP38" s="172"/>
      <c r="DQ38" s="172"/>
      <c r="DR38" s="172"/>
      <c r="DS38" s="172"/>
      <c r="DT38" s="172"/>
      <c r="DU38" s="172"/>
      <c r="DV38" s="172"/>
      <c r="DW38" s="172"/>
      <c r="DX38" s="88">
        <f t="shared" si="23"/>
        <v>0</v>
      </c>
      <c r="DY38" s="85"/>
      <c r="DZ38" s="172"/>
      <c r="EA38" s="172"/>
      <c r="EB38" s="172"/>
      <c r="EC38" s="172"/>
      <c r="ED38" s="172"/>
      <c r="EE38" s="172"/>
      <c r="EF38" s="172"/>
      <c r="EG38" s="172"/>
      <c r="EH38" s="172"/>
      <c r="EI38" s="172"/>
      <c r="EJ38" s="172"/>
      <c r="EK38" s="172"/>
      <c r="EL38" s="88"/>
      <c r="EM38" s="85"/>
      <c r="EN38" s="85"/>
      <c r="EO38" s="85"/>
      <c r="EP38" s="85"/>
      <c r="EQ38" s="85"/>
      <c r="ER38" s="85"/>
      <c r="ES38" s="85"/>
      <c r="ET38" s="85"/>
      <c r="EU38" s="85"/>
      <c r="EV38" s="85"/>
      <c r="EW38" s="85"/>
      <c r="EX38" s="85"/>
      <c r="EY38" s="85"/>
      <c r="EZ38" s="88"/>
      <c r="FA38" s="85"/>
      <c r="FB38" s="85"/>
      <c r="FC38" s="85"/>
      <c r="FD38" s="85"/>
      <c r="FE38" s="85"/>
      <c r="FF38" s="85"/>
      <c r="FG38" s="85"/>
      <c r="FH38" s="85"/>
      <c r="FI38" s="85"/>
      <c r="FJ38" s="85"/>
      <c r="FK38" s="85"/>
      <c r="FL38" s="85"/>
      <c r="FM38" s="85"/>
      <c r="FN38" s="88"/>
      <c r="FO38" s="85"/>
      <c r="FP38" s="85"/>
      <c r="FQ38" s="85"/>
      <c r="FR38" s="85"/>
      <c r="FS38" s="85"/>
      <c r="FT38" s="85"/>
      <c r="FU38" s="85"/>
      <c r="FV38" s="85"/>
      <c r="FW38" s="85"/>
      <c r="FX38" s="85"/>
      <c r="FY38" s="85"/>
      <c r="FZ38" s="85"/>
      <c r="GA38" s="307"/>
      <c r="GB38" s="307"/>
      <c r="GC38" s="308"/>
      <c r="GD38" s="308"/>
    </row>
    <row r="39" spans="1:186" s="12" customFormat="1" ht="20">
      <c r="A39" s="53" t="s">
        <v>114</v>
      </c>
      <c r="B39" s="13"/>
      <c r="C39" s="53" t="s">
        <v>115</v>
      </c>
      <c r="D39" s="54">
        <f>D40+D61</f>
        <v>501.11288442000006</v>
      </c>
      <c r="E39" s="55">
        <f>E40+E61</f>
        <v>603.99498599999993</v>
      </c>
      <c r="F39" s="55">
        <f t="shared" ref="F39:M39" si="27">F40+F61</f>
        <v>565.62537322000003</v>
      </c>
      <c r="G39" s="55">
        <f t="shared" si="27"/>
        <v>627.19473328999982</v>
      </c>
      <c r="H39" s="55">
        <f t="shared" si="27"/>
        <v>470.36720699</v>
      </c>
      <c r="I39" s="55">
        <f t="shared" si="27"/>
        <v>586.3217665599999</v>
      </c>
      <c r="J39" s="55">
        <f t="shared" si="27"/>
        <v>563.66093767999985</v>
      </c>
      <c r="K39" s="55">
        <f t="shared" si="27"/>
        <v>519.06037916000002</v>
      </c>
      <c r="L39" s="55">
        <f t="shared" si="27"/>
        <v>533.72910018999994</v>
      </c>
      <c r="M39" s="55">
        <f t="shared" si="27"/>
        <v>625.28055246999986</v>
      </c>
      <c r="N39" s="55">
        <f>N40+N61</f>
        <v>651.95941462000019</v>
      </c>
      <c r="O39" s="55">
        <f>O40+O61</f>
        <v>1005.8508221100001</v>
      </c>
      <c r="P39" s="55">
        <f t="shared" si="7"/>
        <v>7254.1581567100002</v>
      </c>
      <c r="Q39" s="55">
        <f>Q40+Q61</f>
        <v>7254.1251990000001</v>
      </c>
      <c r="R39" s="55">
        <f>R40+R61</f>
        <v>550.13598564999995</v>
      </c>
      <c r="S39" s="55">
        <v>626.86441993999995</v>
      </c>
      <c r="T39" s="55">
        <v>629.05072078000001</v>
      </c>
      <c r="U39" s="55">
        <v>621.42442942000002</v>
      </c>
      <c r="V39" s="55">
        <v>496.34039765999995</v>
      </c>
      <c r="W39" s="55">
        <v>673.53439269</v>
      </c>
      <c r="X39" s="55">
        <v>600.47904999000002</v>
      </c>
      <c r="Y39" s="55">
        <v>548.30745914000011</v>
      </c>
      <c r="Z39" s="55">
        <v>571.02707781999993</v>
      </c>
      <c r="AA39" s="55">
        <v>563.12999527000011</v>
      </c>
      <c r="AB39" s="55">
        <v>617.16706647000024</v>
      </c>
      <c r="AC39" s="55">
        <v>979.22770954000021</v>
      </c>
      <c r="AD39" s="55">
        <f t="shared" si="8"/>
        <v>7476.6887043700008</v>
      </c>
      <c r="AE39" s="55">
        <f>AE40+AE61</f>
        <v>7476.6961754900003</v>
      </c>
      <c r="AF39" s="55">
        <v>542.32928617999983</v>
      </c>
      <c r="AG39" s="55">
        <v>646.01611442000012</v>
      </c>
      <c r="AH39" s="55">
        <v>656.13119929999993</v>
      </c>
      <c r="AI39" s="55">
        <v>674.78708023000002</v>
      </c>
      <c r="AJ39" s="55">
        <v>545.14761533000001</v>
      </c>
      <c r="AK39" s="55">
        <v>592.06367480999995</v>
      </c>
      <c r="AL39" s="55">
        <v>563.48165338000013</v>
      </c>
      <c r="AM39" s="55">
        <v>560.5212171500001</v>
      </c>
      <c r="AN39" s="55">
        <v>524.60718803000009</v>
      </c>
      <c r="AO39" s="55">
        <v>676.68792564</v>
      </c>
      <c r="AP39" s="55">
        <v>672.58009889999994</v>
      </c>
      <c r="AQ39" s="55">
        <v>849.17634901999986</v>
      </c>
      <c r="AR39" s="55">
        <f t="shared" si="9"/>
        <v>7503.5294023900005</v>
      </c>
      <c r="AS39" s="55">
        <f>AS40+AS61</f>
        <v>7503.2645080000002</v>
      </c>
      <c r="AT39" s="55">
        <v>580.62196860000006</v>
      </c>
      <c r="AU39" s="55">
        <v>640.48724834999973</v>
      </c>
      <c r="AV39" s="55">
        <v>615.09575139999993</v>
      </c>
      <c r="AW39" s="55">
        <v>631.23816845999988</v>
      </c>
      <c r="AX39" s="55">
        <v>598.90100016999986</v>
      </c>
      <c r="AY39" s="55">
        <v>712.48447149000015</v>
      </c>
      <c r="AZ39" s="55">
        <v>569.69517014999997</v>
      </c>
      <c r="BA39" s="55">
        <v>573.33692552999992</v>
      </c>
      <c r="BB39" s="55">
        <v>566.31371205999926</v>
      </c>
      <c r="BC39" s="55">
        <v>775.63073429999963</v>
      </c>
      <c r="BD39" s="55">
        <v>717.04280048999931</v>
      </c>
      <c r="BE39" s="55">
        <v>974.28859851999994</v>
      </c>
      <c r="BF39" s="55">
        <f t="shared" si="10"/>
        <v>7955.1365495199989</v>
      </c>
      <c r="BG39" s="55">
        <f>BG40+BG61</f>
        <v>7955.4624149999991</v>
      </c>
      <c r="BH39" s="55">
        <v>607.47148318999996</v>
      </c>
      <c r="BI39" s="55">
        <v>643.18630694000069</v>
      </c>
      <c r="BJ39" s="55">
        <v>663.15129764000051</v>
      </c>
      <c r="BK39" s="55">
        <v>782.30417974000034</v>
      </c>
      <c r="BL39" s="55">
        <v>626.73274229000015</v>
      </c>
      <c r="BM39" s="55">
        <v>747.23767203000261</v>
      </c>
      <c r="BN39" s="55">
        <v>707.21026282000059</v>
      </c>
      <c r="BO39" s="55">
        <v>676.12322182999958</v>
      </c>
      <c r="BP39" s="55">
        <v>660.93128157000081</v>
      </c>
      <c r="BQ39" s="55">
        <v>901.49947390999898</v>
      </c>
      <c r="BR39" s="55">
        <v>840.11650031000079</v>
      </c>
      <c r="BS39" s="55">
        <v>1164.7504879299988</v>
      </c>
      <c r="BT39" s="38">
        <f t="shared" si="15"/>
        <v>9020.7149102000039</v>
      </c>
      <c r="BU39" s="55">
        <f>BU40+BU61</f>
        <v>9020.7182920000014</v>
      </c>
      <c r="BV39" s="55">
        <v>728.24008781000134</v>
      </c>
      <c r="BW39" s="55">
        <v>771.5656960400006</v>
      </c>
      <c r="BX39" s="55">
        <v>668.38483157999974</v>
      </c>
      <c r="BY39" s="55">
        <v>795.39266443000076</v>
      </c>
      <c r="BZ39" s="55">
        <v>676.23587381999994</v>
      </c>
      <c r="CA39" s="55">
        <v>718.90781491000121</v>
      </c>
      <c r="CB39" s="55">
        <v>794.77910643000087</v>
      </c>
      <c r="CC39" s="55">
        <v>668.22265104000064</v>
      </c>
      <c r="CD39" s="55">
        <v>697.60904878000053</v>
      </c>
      <c r="CE39" s="55">
        <v>921.9091901999991</v>
      </c>
      <c r="CF39" s="55">
        <v>793.65137191000031</v>
      </c>
      <c r="CG39" s="55">
        <v>1233.7204964500036</v>
      </c>
      <c r="CH39" s="38">
        <f t="shared" si="16"/>
        <v>9468.618833400009</v>
      </c>
      <c r="CI39" s="55">
        <f>CI40+CI61</f>
        <v>9467.5898669999988</v>
      </c>
      <c r="CJ39" s="55">
        <v>783.83969556999989</v>
      </c>
      <c r="CK39" s="172">
        <v>776.9803062899997</v>
      </c>
      <c r="CL39" s="172">
        <v>780.38364085999956</v>
      </c>
      <c r="CM39" s="172">
        <v>965.11589495000032</v>
      </c>
      <c r="CN39" s="172">
        <v>695.20272495999961</v>
      </c>
      <c r="CO39" s="172">
        <v>829.69059711000045</v>
      </c>
      <c r="CP39" s="172">
        <v>832.0684403800002</v>
      </c>
      <c r="CQ39" s="190">
        <v>789.27132744000096</v>
      </c>
      <c r="CR39" s="38">
        <v>815.91857097000036</v>
      </c>
      <c r="CS39" s="38">
        <v>973.91315695000037</v>
      </c>
      <c r="CT39" s="38">
        <v>817.89454872999954</v>
      </c>
      <c r="CU39" s="38">
        <v>1378.5929869599988</v>
      </c>
      <c r="CV39" s="38">
        <f t="shared" si="21"/>
        <v>10438.87189117</v>
      </c>
      <c r="CW39" s="55">
        <f>CW40+CW61</f>
        <v>10432.107635</v>
      </c>
      <c r="CX39" s="38">
        <v>791.36931827000012</v>
      </c>
      <c r="CY39" s="38">
        <v>990.57096195999998</v>
      </c>
      <c r="CZ39" s="38">
        <v>1209.9493910000001</v>
      </c>
      <c r="DA39" s="38">
        <v>1135.7650410000001</v>
      </c>
      <c r="DB39" s="38">
        <v>888.43363999999997</v>
      </c>
      <c r="DC39" s="38">
        <v>1090.8903869999999</v>
      </c>
      <c r="DD39" s="38">
        <v>918.06439399999999</v>
      </c>
      <c r="DE39" s="38">
        <v>839.70060999999998</v>
      </c>
      <c r="DF39" s="38">
        <v>894.74150799999995</v>
      </c>
      <c r="DG39" s="38">
        <v>1024.5065509999999</v>
      </c>
      <c r="DH39" s="38">
        <v>963.93280800000002</v>
      </c>
      <c r="DI39" s="38">
        <v>1554.2686929900046</v>
      </c>
      <c r="DJ39" s="38">
        <f t="shared" si="22"/>
        <v>12302.193303220005</v>
      </c>
      <c r="DK39" s="55">
        <f>DK40+DK61</f>
        <v>12290.991019000001</v>
      </c>
      <c r="DL39" s="172">
        <v>934.47057610999946</v>
      </c>
      <c r="DM39" s="172">
        <v>1050.4137911500004</v>
      </c>
      <c r="DN39" s="172">
        <v>1075.9745120699999</v>
      </c>
      <c r="DO39" s="172">
        <v>1064.63491759</v>
      </c>
      <c r="DP39" s="172">
        <v>1012.3144954200018</v>
      </c>
      <c r="DQ39" s="172">
        <v>973.8505126500005</v>
      </c>
      <c r="DR39" s="172">
        <v>926.79592312999944</v>
      </c>
      <c r="DS39" s="172">
        <v>909.72246781000047</v>
      </c>
      <c r="DT39" s="172">
        <v>1227.4967529599971</v>
      </c>
      <c r="DU39" s="172">
        <v>1394.9127756400014</v>
      </c>
      <c r="DV39" s="172">
        <v>1071.0768041799993</v>
      </c>
      <c r="DW39" s="172">
        <v>1836.4427432299997</v>
      </c>
      <c r="DX39" s="38">
        <f t="shared" si="23"/>
        <v>13478.10627194</v>
      </c>
      <c r="DY39" s="55">
        <f>DY40+DY61</f>
        <v>13471.941595</v>
      </c>
      <c r="DZ39" s="172">
        <v>956.66617368000129</v>
      </c>
      <c r="EA39" s="172">
        <v>1219.7880668599971</v>
      </c>
      <c r="EB39" s="172">
        <v>1125.3608319999985</v>
      </c>
      <c r="EC39" s="172">
        <v>1143.23948911</v>
      </c>
      <c r="ED39" s="172">
        <v>1064.0797984299968</v>
      </c>
      <c r="EE39" s="172">
        <v>1177.8476342299975</v>
      </c>
      <c r="EF39" s="172">
        <v>1046.5564478599979</v>
      </c>
      <c r="EG39" s="172">
        <v>1036.2099908100031</v>
      </c>
      <c r="EH39" s="172">
        <v>1019.8319052200009</v>
      </c>
      <c r="EI39" s="172">
        <v>1251.8525947200001</v>
      </c>
      <c r="EJ39" s="172">
        <v>1191.9252768900017</v>
      </c>
      <c r="EK39" s="172">
        <v>2054.0398912600017</v>
      </c>
      <c r="EL39" s="38">
        <f t="shared" si="17"/>
        <v>14287.398101069995</v>
      </c>
      <c r="EM39" s="55">
        <f>EM40+EM61</f>
        <v>14283.454996</v>
      </c>
      <c r="EN39" s="172">
        <v>1169.6753072999995</v>
      </c>
      <c r="EO39" s="172">
        <v>1210.4711324399982</v>
      </c>
      <c r="EP39" s="172">
        <v>1108.5725325600006</v>
      </c>
      <c r="EQ39" s="172">
        <v>1414.0797325299975</v>
      </c>
      <c r="ER39" s="172">
        <v>1108.8042576199973</v>
      </c>
      <c r="ES39" s="172">
        <v>1235.229511</v>
      </c>
      <c r="ET39" s="172">
        <v>1248.1370079999999</v>
      </c>
      <c r="EU39" s="172">
        <v>1057.707905</v>
      </c>
      <c r="EV39" s="172">
        <v>1092.0153003799965</v>
      </c>
      <c r="EW39" s="172">
        <v>1356.203069429999</v>
      </c>
      <c r="EX39" s="172">
        <v>1237.4977676399997</v>
      </c>
      <c r="EY39" s="172">
        <v>1872.8573276100065</v>
      </c>
      <c r="EZ39" s="38">
        <f t="shared" si="18"/>
        <v>15111.250851509994</v>
      </c>
      <c r="FA39" s="55">
        <f>FA40+FA61</f>
        <v>15105.999937999999</v>
      </c>
      <c r="FB39" s="172">
        <v>1305.4508753199991</v>
      </c>
      <c r="FC39" s="172">
        <v>1347.7312838600001</v>
      </c>
      <c r="FD39" s="172">
        <v>1390.3733965399995</v>
      </c>
      <c r="FE39" s="172">
        <v>1446.0246670499989</v>
      </c>
      <c r="FF39" s="172">
        <v>1196.1598726199973</v>
      </c>
      <c r="FG39" s="172">
        <v>1400.9772966800001</v>
      </c>
      <c r="FH39" s="172">
        <v>1316.5493993200014</v>
      </c>
      <c r="FI39" s="172">
        <v>1175.7863708800016</v>
      </c>
      <c r="FJ39" s="172">
        <v>1335.6332129599966</v>
      </c>
      <c r="FK39" s="172">
        <v>1425.0382960500015</v>
      </c>
      <c r="FL39" s="172">
        <v>1262.7591614899998</v>
      </c>
      <c r="FM39" s="172">
        <v>2126.2400559299963</v>
      </c>
      <c r="FN39" s="38">
        <f t="shared" si="11"/>
        <v>16728.723888699991</v>
      </c>
      <c r="FO39" s="172">
        <v>1417.3738991799999</v>
      </c>
      <c r="FP39" s="172">
        <v>1371.51265369</v>
      </c>
      <c r="FQ39" s="172">
        <v>1414.5996163000018</v>
      </c>
      <c r="FR39" s="172">
        <v>1373.558185859998</v>
      </c>
      <c r="FS39" s="172"/>
      <c r="FT39" s="172"/>
      <c r="FU39" s="172"/>
      <c r="FV39" s="172"/>
      <c r="FW39" s="172"/>
      <c r="FX39" s="172"/>
      <c r="FY39" s="172"/>
      <c r="FZ39" s="172"/>
      <c r="GA39" s="311">
        <f t="shared" si="19"/>
        <v>5489.5802229999999</v>
      </c>
      <c r="GB39" s="311">
        <f t="shared" si="20"/>
        <v>5577.044355</v>
      </c>
      <c r="GC39" s="275">
        <f t="shared" si="12"/>
        <v>87.464132000000063</v>
      </c>
      <c r="GD39" s="275">
        <f t="shared" si="13"/>
        <v>1.5932754135470333</v>
      </c>
    </row>
    <row r="40" spans="1:186" s="12" customFormat="1" ht="20.5">
      <c r="A40" s="42" t="s">
        <v>116</v>
      </c>
      <c r="B40" s="13" t="s">
        <v>28</v>
      </c>
      <c r="C40" s="42" t="s">
        <v>117</v>
      </c>
      <c r="D40" s="84">
        <f>D41+D46+D47+D52+D56+D59+D60</f>
        <v>475.07526242000006</v>
      </c>
      <c r="E40" s="85">
        <f>E41+E46+E47+E52+E56+E59+E60</f>
        <v>587.24347799999998</v>
      </c>
      <c r="F40" s="85">
        <f t="shared" ref="F40:M40" si="28">F41+F46+F47+F52+F56+F59+F60</f>
        <v>544.03854768999997</v>
      </c>
      <c r="G40" s="85">
        <f t="shared" si="28"/>
        <v>602.77461992999986</v>
      </c>
      <c r="H40" s="85">
        <f t="shared" si="28"/>
        <v>452.92070639000002</v>
      </c>
      <c r="I40" s="85">
        <f t="shared" si="28"/>
        <v>555.68841624999993</v>
      </c>
      <c r="J40" s="85">
        <f t="shared" si="28"/>
        <v>527.05162130999986</v>
      </c>
      <c r="K40" s="85">
        <f t="shared" si="28"/>
        <v>466.23922747</v>
      </c>
      <c r="L40" s="85">
        <f t="shared" si="28"/>
        <v>492.84099745999998</v>
      </c>
      <c r="M40" s="85">
        <f t="shared" si="28"/>
        <v>573.77038825999989</v>
      </c>
      <c r="N40" s="85">
        <f>N41+N46+N47+N52+N56+N59+N60</f>
        <v>600.7044685100002</v>
      </c>
      <c r="O40" s="85">
        <f>O41+O46+O47+O52+O56+O59+O60</f>
        <v>891.18940544000009</v>
      </c>
      <c r="P40" s="85">
        <f t="shared" si="7"/>
        <v>6769.5371391299996</v>
      </c>
      <c r="Q40" s="85">
        <f>Q41+Q46+Q47+Q52+Q56+Q59+Q60</f>
        <v>6769.4096479999998</v>
      </c>
      <c r="R40" s="85">
        <f>R41+R46+R47+R52+R56+R59+R60</f>
        <v>528.22868116999996</v>
      </c>
      <c r="S40" s="85">
        <v>606.02400282999997</v>
      </c>
      <c r="T40" s="85">
        <v>608.87153061000004</v>
      </c>
      <c r="U40" s="85">
        <v>599.48526527000001</v>
      </c>
      <c r="V40" s="85">
        <v>466.96889401999994</v>
      </c>
      <c r="W40" s="85">
        <v>635.01159055000005</v>
      </c>
      <c r="X40" s="85">
        <v>549.10019998000007</v>
      </c>
      <c r="Y40" s="85">
        <v>495.68055620000013</v>
      </c>
      <c r="Z40" s="85">
        <v>532.71490113999994</v>
      </c>
      <c r="AA40" s="85">
        <v>516.64115565000009</v>
      </c>
      <c r="AB40" s="85">
        <v>566.37762748000023</v>
      </c>
      <c r="AC40" s="85">
        <v>840.60726418000024</v>
      </c>
      <c r="AD40" s="85">
        <f t="shared" si="8"/>
        <v>6945.7116690800003</v>
      </c>
      <c r="AE40" s="85">
        <f>AE41+AE46+AE47+AE52+AE56+AE59+AE60</f>
        <v>6945.7118331700003</v>
      </c>
      <c r="AF40" s="85">
        <v>523.45902241999988</v>
      </c>
      <c r="AG40" s="85">
        <v>633.83466827000007</v>
      </c>
      <c r="AH40" s="85">
        <v>640.66887226999995</v>
      </c>
      <c r="AI40" s="85">
        <v>649.75683688000004</v>
      </c>
      <c r="AJ40" s="85">
        <v>525.30945687999997</v>
      </c>
      <c r="AK40" s="85">
        <v>570.88433024999995</v>
      </c>
      <c r="AL40" s="85">
        <v>534.33646699000008</v>
      </c>
      <c r="AM40" s="85">
        <v>511.47166668000006</v>
      </c>
      <c r="AN40" s="85">
        <v>487.77031851000004</v>
      </c>
      <c r="AO40" s="85">
        <v>630.09212739999998</v>
      </c>
      <c r="AP40" s="85">
        <v>634.57963401999996</v>
      </c>
      <c r="AQ40" s="85">
        <v>779.91639524999994</v>
      </c>
      <c r="AR40" s="85">
        <f t="shared" si="9"/>
        <v>7122.0797958200001</v>
      </c>
      <c r="AS40" s="85">
        <f>AS41+AS46+AS47+AS52+AS56+AS59+AS60</f>
        <v>7121.8163249999998</v>
      </c>
      <c r="AT40" s="85">
        <v>561.56672274000005</v>
      </c>
      <c r="AU40" s="85">
        <v>623.51981568999975</v>
      </c>
      <c r="AV40" s="85">
        <v>594.68417914999998</v>
      </c>
      <c r="AW40" s="85">
        <v>607.59885457999985</v>
      </c>
      <c r="AX40" s="85">
        <v>562.85796397999991</v>
      </c>
      <c r="AY40" s="85">
        <v>674.4481077800001</v>
      </c>
      <c r="AZ40" s="85">
        <v>525.16179876000001</v>
      </c>
      <c r="BA40" s="85">
        <v>516.3258452099999</v>
      </c>
      <c r="BB40" s="85">
        <v>511.01669345999937</v>
      </c>
      <c r="BC40" s="85">
        <v>722.79349624000065</v>
      </c>
      <c r="BD40" s="85">
        <v>663.3048581399994</v>
      </c>
      <c r="BE40" s="85">
        <v>850.65885063000076</v>
      </c>
      <c r="BF40" s="85">
        <f t="shared" si="10"/>
        <v>7413.9371863599999</v>
      </c>
      <c r="BG40" s="85">
        <f>BG41+BG46+BG47+BG52+BG56+BG59+BG60</f>
        <v>7416.4406179999987</v>
      </c>
      <c r="BH40" s="85">
        <v>583.08209067000041</v>
      </c>
      <c r="BI40" s="85">
        <v>622.36931603000028</v>
      </c>
      <c r="BJ40" s="85">
        <v>631.06609589000072</v>
      </c>
      <c r="BK40" s="85">
        <v>749.42998367000064</v>
      </c>
      <c r="BL40" s="85">
        <v>585.85177612999996</v>
      </c>
      <c r="BM40" s="85">
        <v>674.1749434400017</v>
      </c>
      <c r="BN40" s="85">
        <v>637.76372164000043</v>
      </c>
      <c r="BO40" s="85">
        <v>604.36604033999981</v>
      </c>
      <c r="BP40" s="85">
        <v>592.02087741000094</v>
      </c>
      <c r="BQ40" s="85">
        <v>838.15179868999985</v>
      </c>
      <c r="BR40" s="85">
        <v>751.53781803999982</v>
      </c>
      <c r="BS40" s="85">
        <v>1039.0127608100001</v>
      </c>
      <c r="BT40" s="88">
        <f t="shared" si="15"/>
        <v>8308.8272227600064</v>
      </c>
      <c r="BU40" s="85">
        <f>BU41+BU46+BU47+BU52+BU56+BU59+BU60</f>
        <v>8308.8239460000004</v>
      </c>
      <c r="BV40" s="85">
        <v>651.44272417000104</v>
      </c>
      <c r="BW40" s="85">
        <v>729.43632645000071</v>
      </c>
      <c r="BX40" s="85">
        <v>623.96946097</v>
      </c>
      <c r="BY40" s="85">
        <v>759.23285958000042</v>
      </c>
      <c r="BZ40" s="85">
        <v>633.87225170999989</v>
      </c>
      <c r="CA40" s="85">
        <v>668.59264721000056</v>
      </c>
      <c r="CB40" s="85">
        <v>722.20538035000038</v>
      </c>
      <c r="CC40" s="85">
        <v>594.57367546000069</v>
      </c>
      <c r="CD40" s="85">
        <v>642.7885531800008</v>
      </c>
      <c r="CE40" s="85">
        <v>861.04579689999935</v>
      </c>
      <c r="CF40" s="85">
        <v>720.4995485000004</v>
      </c>
      <c r="CG40" s="85">
        <v>1095.8814023800037</v>
      </c>
      <c r="CH40" s="88">
        <f t="shared" si="16"/>
        <v>8703.5406268600073</v>
      </c>
      <c r="CI40" s="85">
        <f>CI41+CI46+CI47+CI52+CI56+CI59+CI60</f>
        <v>8702.5680809999994</v>
      </c>
      <c r="CJ40" s="85">
        <v>706.61974311000017</v>
      </c>
      <c r="CK40" s="85">
        <v>742.35307732999991</v>
      </c>
      <c r="CL40" s="85">
        <v>744.62384042999963</v>
      </c>
      <c r="CM40" s="85">
        <v>927.68920744000025</v>
      </c>
      <c r="CN40" s="85">
        <v>657.84107706999998</v>
      </c>
      <c r="CO40" s="85">
        <v>793.05949033000059</v>
      </c>
      <c r="CP40" s="85">
        <v>757.43859375000045</v>
      </c>
      <c r="CQ40" s="185">
        <v>732.0683837000006</v>
      </c>
      <c r="CR40" s="88">
        <v>743.93873045000043</v>
      </c>
      <c r="CS40" s="88">
        <v>890.94346134000045</v>
      </c>
      <c r="CT40" s="88">
        <v>754.83001064999951</v>
      </c>
      <c r="CU40" s="88">
        <v>1196.43864035</v>
      </c>
      <c r="CV40" s="88">
        <f t="shared" si="21"/>
        <v>9647.8442559500018</v>
      </c>
      <c r="CW40" s="85">
        <f>CW41+CW46+CW47+CW52+CW56+CW59+CW60</f>
        <v>9641.221055</v>
      </c>
      <c r="CX40" s="88">
        <v>768.67161080000028</v>
      </c>
      <c r="CY40" s="88">
        <v>974.21183253999948</v>
      </c>
      <c r="CZ40" s="88">
        <v>1202.9417007500008</v>
      </c>
      <c r="DA40" s="88">
        <v>1123.7074917800005</v>
      </c>
      <c r="DB40" s="88">
        <v>871.36506061999967</v>
      </c>
      <c r="DC40" s="88">
        <v>1087.558573040001</v>
      </c>
      <c r="DD40" s="88">
        <v>849.4666122699997</v>
      </c>
      <c r="DE40" s="88">
        <v>756.90752099999997</v>
      </c>
      <c r="DF40" s="88">
        <v>819.744372</v>
      </c>
      <c r="DG40" s="88">
        <v>954.99617899999998</v>
      </c>
      <c r="DH40" s="88">
        <v>880.1165633799983</v>
      </c>
      <c r="DI40" s="88">
        <v>1385.746919360002</v>
      </c>
      <c r="DJ40" s="88">
        <f t="shared" si="22"/>
        <v>11675.434436540001</v>
      </c>
      <c r="DK40" s="85">
        <f>DK41+DK46+DK47+DK52+DK56+DK59+DK60</f>
        <v>11482.117964000001</v>
      </c>
      <c r="DL40" s="85">
        <v>891.63416211999936</v>
      </c>
      <c r="DM40" s="85">
        <v>1018.4457329500008</v>
      </c>
      <c r="DN40" s="85">
        <v>1026.3292878300003</v>
      </c>
      <c r="DO40" s="85">
        <v>1016.5838889199988</v>
      </c>
      <c r="DP40" s="85">
        <v>986.80432437000172</v>
      </c>
      <c r="DQ40" s="85">
        <v>916.77410137000106</v>
      </c>
      <c r="DR40" s="85">
        <v>835.64375110999993</v>
      </c>
      <c r="DS40" s="85">
        <v>833.08817790999967</v>
      </c>
      <c r="DT40" s="85">
        <v>1158.2410277899969</v>
      </c>
      <c r="DU40" s="85">
        <v>1301.030659719999</v>
      </c>
      <c r="DV40" s="85">
        <v>999.52568592000011</v>
      </c>
      <c r="DW40" s="85">
        <v>1634.2812583700006</v>
      </c>
      <c r="DX40" s="88">
        <f t="shared" si="23"/>
        <v>12618.382058380001</v>
      </c>
      <c r="DY40" s="85">
        <f>DY41+DY46+DY47+DY52+DY56+DY59+DY60</f>
        <v>12612.28515</v>
      </c>
      <c r="DZ40" s="85">
        <v>886.28568079000024</v>
      </c>
      <c r="EA40" s="85">
        <v>1186.9602448999974</v>
      </c>
      <c r="EB40" s="85">
        <v>1082.9941298299982</v>
      </c>
      <c r="EC40" s="85">
        <v>1078.9977005499998</v>
      </c>
      <c r="ED40" s="85">
        <v>1005.3889197599979</v>
      </c>
      <c r="EE40" s="85">
        <v>1075.0930471299996</v>
      </c>
      <c r="EF40" s="85">
        <v>951.29576026999939</v>
      </c>
      <c r="EG40" s="85">
        <v>945.49326995000365</v>
      </c>
      <c r="EH40" s="85">
        <v>937.16831642000056</v>
      </c>
      <c r="EI40" s="85">
        <v>1165.1815313800005</v>
      </c>
      <c r="EJ40" s="85">
        <v>1135.5498821900007</v>
      </c>
      <c r="EK40" s="85">
        <v>1822.0916476300019</v>
      </c>
      <c r="EL40" s="88">
        <f t="shared" si="17"/>
        <v>13272.500130799999</v>
      </c>
      <c r="EM40" s="85">
        <f>EM41+EM46+EM47+EM52+EM56+EM59+EM60</f>
        <v>13268.51851</v>
      </c>
      <c r="EN40" s="85">
        <v>1118.2716253699994</v>
      </c>
      <c r="EO40" s="85">
        <v>1034.1605074199983</v>
      </c>
      <c r="EP40" s="85">
        <v>1076.0513621100008</v>
      </c>
      <c r="EQ40" s="85">
        <v>1323.9625467099995</v>
      </c>
      <c r="ER40" s="85">
        <v>1046.3801686999984</v>
      </c>
      <c r="ES40" s="85">
        <v>1171.9649450799998</v>
      </c>
      <c r="ET40" s="85">
        <v>1145.2969780000001</v>
      </c>
      <c r="EU40" s="85">
        <v>963.08092829000009</v>
      </c>
      <c r="EV40" s="85">
        <v>999.07312481999668</v>
      </c>
      <c r="EW40" s="85">
        <v>1236.6252839099998</v>
      </c>
      <c r="EX40" s="85">
        <v>1154.6528746699992</v>
      </c>
      <c r="EY40" s="85">
        <v>1670.1071240900076</v>
      </c>
      <c r="EZ40" s="88">
        <f t="shared" si="18"/>
        <v>13939.62746917</v>
      </c>
      <c r="FA40" s="85">
        <f>FA41+FA46+FA47+FA52+FA56+FA59+FA60</f>
        <v>13934.422379</v>
      </c>
      <c r="FB40" s="85">
        <v>1200.4444439999988</v>
      </c>
      <c r="FC40" s="85">
        <v>1273.6298590900003</v>
      </c>
      <c r="FD40" s="85">
        <v>1257.6452165299991</v>
      </c>
      <c r="FE40" s="85">
        <v>1335.1071425099997</v>
      </c>
      <c r="FF40" s="85">
        <v>1122.4675733999975</v>
      </c>
      <c r="FG40" s="85">
        <v>1248.4672007400004</v>
      </c>
      <c r="FH40" s="85">
        <v>1206.0550106000012</v>
      </c>
      <c r="FI40" s="85">
        <v>1074.1961327999988</v>
      </c>
      <c r="FJ40" s="85">
        <v>1229.2193271599988</v>
      </c>
      <c r="FK40" s="85">
        <v>1289.0941211300008</v>
      </c>
      <c r="FL40" s="85">
        <v>1157.7653528999999</v>
      </c>
      <c r="FM40" s="85">
        <v>1878.7560854899971</v>
      </c>
      <c r="FN40" s="88">
        <f t="shared" si="11"/>
        <v>15272.847466349995</v>
      </c>
      <c r="FO40" s="85">
        <v>1253.2098712500031</v>
      </c>
      <c r="FP40" s="85">
        <v>1231.4472543499992</v>
      </c>
      <c r="FQ40" s="85">
        <v>1252.3072722000009</v>
      </c>
      <c r="FR40" s="85">
        <v>1310.259065969999</v>
      </c>
      <c r="FS40" s="85"/>
      <c r="FT40" s="85"/>
      <c r="FU40" s="85"/>
      <c r="FV40" s="85"/>
      <c r="FW40" s="85"/>
      <c r="FX40" s="85"/>
      <c r="FY40" s="85"/>
      <c r="FZ40" s="85"/>
      <c r="GA40" s="307">
        <f t="shared" si="19"/>
        <v>5066.8266620000004</v>
      </c>
      <c r="GB40" s="307">
        <f t="shared" si="20"/>
        <v>5047.2234639999997</v>
      </c>
      <c r="GC40" s="308">
        <f t="shared" si="12"/>
        <v>-19.603198000000702</v>
      </c>
      <c r="GD40" s="308">
        <f t="shared" si="13"/>
        <v>-0.38689300636669088</v>
      </c>
    </row>
    <row r="41" spans="1:186" s="12" customFormat="1" ht="20.5">
      <c r="A41" s="46" t="s">
        <v>118</v>
      </c>
      <c r="B41" s="13" t="s">
        <v>119</v>
      </c>
      <c r="C41" s="46" t="s">
        <v>120</v>
      </c>
      <c r="D41" s="45">
        <f>D42+D45</f>
        <v>87.393736050000001</v>
      </c>
      <c r="E41" s="50">
        <f>E42+E45</f>
        <v>104.64228900000001</v>
      </c>
      <c r="F41" s="50">
        <f t="shared" ref="F41:M41" si="29">F42+F45</f>
        <v>102.49271611999998</v>
      </c>
      <c r="G41" s="50">
        <f t="shared" si="29"/>
        <v>107.81316239</v>
      </c>
      <c r="H41" s="50">
        <f t="shared" si="29"/>
        <v>104.02225927999999</v>
      </c>
      <c r="I41" s="50">
        <f t="shared" si="29"/>
        <v>124.15819863999999</v>
      </c>
      <c r="J41" s="50">
        <f t="shared" si="29"/>
        <v>117.22171650999988</v>
      </c>
      <c r="K41" s="50">
        <f t="shared" si="29"/>
        <v>103.50498663000002</v>
      </c>
      <c r="L41" s="50">
        <f t="shared" si="29"/>
        <v>101.90100530000007</v>
      </c>
      <c r="M41" s="50">
        <f t="shared" si="29"/>
        <v>113.25945125999986</v>
      </c>
      <c r="N41" s="50">
        <f>N42+N45</f>
        <v>116.33736717000005</v>
      </c>
      <c r="O41" s="50">
        <f>O42+O45</f>
        <v>174.07925433000003</v>
      </c>
      <c r="P41" s="85">
        <f t="shared" si="7"/>
        <v>1356.82614268</v>
      </c>
      <c r="Q41" s="85">
        <f>Q42+Q45</f>
        <v>1356.6987340000001</v>
      </c>
      <c r="R41" s="50">
        <f>R42+R45</f>
        <v>92.461053099999958</v>
      </c>
      <c r="S41" s="50">
        <v>113.43449871</v>
      </c>
      <c r="T41" s="50">
        <v>116.49563576000001</v>
      </c>
      <c r="U41" s="50">
        <v>112.25450900999994</v>
      </c>
      <c r="V41" s="50">
        <v>108.98483798999997</v>
      </c>
      <c r="W41" s="50">
        <v>132.72489128000018</v>
      </c>
      <c r="X41" s="50">
        <v>125.05402699999995</v>
      </c>
      <c r="Y41" s="50">
        <v>108.92024634000006</v>
      </c>
      <c r="Z41" s="50">
        <v>111.85788276000002</v>
      </c>
      <c r="AA41" s="50">
        <v>108.09419353000011</v>
      </c>
      <c r="AB41" s="50">
        <v>112.55255101000002</v>
      </c>
      <c r="AC41" s="50">
        <v>186.25143017000028</v>
      </c>
      <c r="AD41" s="85">
        <f t="shared" si="8"/>
        <v>1429.0857566600007</v>
      </c>
      <c r="AE41" s="85">
        <f>AE42+AE45</f>
        <v>1429.078336</v>
      </c>
      <c r="AF41" s="85">
        <v>90.110109739999984</v>
      </c>
      <c r="AG41" s="85">
        <v>111.22261137999996</v>
      </c>
      <c r="AH41" s="85">
        <v>122.92271613000003</v>
      </c>
      <c r="AI41" s="85">
        <v>115.83245795999997</v>
      </c>
      <c r="AJ41" s="85">
        <v>113.97671639999999</v>
      </c>
      <c r="AK41" s="85">
        <v>128.16535902999999</v>
      </c>
      <c r="AL41" s="85">
        <v>130.35926570000004</v>
      </c>
      <c r="AM41" s="85">
        <v>113.76123453000004</v>
      </c>
      <c r="AN41" s="85">
        <v>113.96751275000003</v>
      </c>
      <c r="AO41" s="85">
        <v>130.57595488999991</v>
      </c>
      <c r="AP41" s="85">
        <v>135.15118436999998</v>
      </c>
      <c r="AQ41" s="85">
        <v>211.82419506000014</v>
      </c>
      <c r="AR41" s="85">
        <f t="shared" si="9"/>
        <v>1517.86931794</v>
      </c>
      <c r="AS41" s="85">
        <f>AS42+AS45</f>
        <v>1517.5466150000002</v>
      </c>
      <c r="AT41" s="85">
        <v>100.59332696999999</v>
      </c>
      <c r="AU41" s="85">
        <v>126.15661784999995</v>
      </c>
      <c r="AV41" s="85">
        <v>126.10190978000003</v>
      </c>
      <c r="AW41" s="85">
        <v>139.41029467999988</v>
      </c>
      <c r="AX41" s="85">
        <v>127.23276577999991</v>
      </c>
      <c r="AY41" s="85">
        <v>137.67588093000006</v>
      </c>
      <c r="AZ41" s="85">
        <v>137.97263219000007</v>
      </c>
      <c r="BA41" s="85">
        <v>127.27011532999994</v>
      </c>
      <c r="BB41" s="85">
        <v>128.54532254999978</v>
      </c>
      <c r="BC41" s="85">
        <v>133.37648929000002</v>
      </c>
      <c r="BD41" s="85">
        <v>149.50549191999932</v>
      </c>
      <c r="BE41" s="85">
        <v>240.44608869000032</v>
      </c>
      <c r="BF41" s="85">
        <f t="shared" si="10"/>
        <v>1674.2869359599995</v>
      </c>
      <c r="BG41" s="85">
        <f>BG42+BG45</f>
        <v>1674.6063629999999</v>
      </c>
      <c r="BH41" s="85">
        <v>103.95993175999998</v>
      </c>
      <c r="BI41" s="85">
        <v>129.25085792000019</v>
      </c>
      <c r="BJ41" s="85">
        <v>137.35239371000051</v>
      </c>
      <c r="BK41" s="85">
        <v>143.13007295000017</v>
      </c>
      <c r="BL41" s="85">
        <v>146.40185940000009</v>
      </c>
      <c r="BM41" s="85">
        <v>166.62387718000079</v>
      </c>
      <c r="BN41" s="85">
        <v>157.17669049000034</v>
      </c>
      <c r="BO41" s="85">
        <v>142.25883040999958</v>
      </c>
      <c r="BP41" s="85">
        <v>152.49740116000032</v>
      </c>
      <c r="BQ41" s="85">
        <v>152.42945438999959</v>
      </c>
      <c r="BR41" s="85">
        <v>210.2294673899994</v>
      </c>
      <c r="BS41" s="85">
        <v>274.91328305999986</v>
      </c>
      <c r="BT41" s="88">
        <f t="shared" si="15"/>
        <v>1916.2241198200009</v>
      </c>
      <c r="BU41" s="85">
        <f>BU42+BU45</f>
        <v>1916.1911250000001</v>
      </c>
      <c r="BV41" s="85">
        <v>132.32455411000029</v>
      </c>
      <c r="BW41" s="85">
        <v>150.32570564000002</v>
      </c>
      <c r="BX41" s="85">
        <v>143.50069388000003</v>
      </c>
      <c r="BY41" s="85">
        <v>145.13849009000052</v>
      </c>
      <c r="BZ41" s="85">
        <v>150.69500871999958</v>
      </c>
      <c r="CA41" s="85">
        <v>154.32845700000038</v>
      </c>
      <c r="CB41" s="85">
        <v>156.66236956000043</v>
      </c>
      <c r="CC41" s="85">
        <v>150.75465719000059</v>
      </c>
      <c r="CD41" s="85">
        <v>144.99999344000068</v>
      </c>
      <c r="CE41" s="85">
        <v>162.97419030000003</v>
      </c>
      <c r="CF41" s="85">
        <v>183.12714812000013</v>
      </c>
      <c r="CG41" s="85">
        <v>275.37822239000297</v>
      </c>
      <c r="CH41" s="88">
        <f t="shared" si="16"/>
        <v>1950.209490440006</v>
      </c>
      <c r="CI41" s="85">
        <f>CI42+CI45</f>
        <v>1949.5160219999998</v>
      </c>
      <c r="CJ41" s="85">
        <v>116.40288406000016</v>
      </c>
      <c r="CK41" s="85">
        <v>142.28974072000031</v>
      </c>
      <c r="CL41" s="85">
        <v>153.22872136999982</v>
      </c>
      <c r="CM41" s="85">
        <v>156.62964089000002</v>
      </c>
      <c r="CN41" s="85">
        <v>148.81252491000012</v>
      </c>
      <c r="CO41" s="85">
        <v>170.87591106000028</v>
      </c>
      <c r="CP41" s="85">
        <v>194.21965972000072</v>
      </c>
      <c r="CQ41" s="185">
        <v>154.92255793000052</v>
      </c>
      <c r="CR41" s="88">
        <v>158.12920350000044</v>
      </c>
      <c r="CS41" s="88">
        <v>163.25075895999996</v>
      </c>
      <c r="CT41" s="88">
        <v>175.76329814999957</v>
      </c>
      <c r="CU41" s="88">
        <v>283.99923370000005</v>
      </c>
      <c r="CV41" s="88">
        <f t="shared" si="21"/>
        <v>2018.524134970002</v>
      </c>
      <c r="CW41" s="85">
        <f>CW42+CW45</f>
        <v>2012.925909</v>
      </c>
      <c r="CX41" s="88">
        <v>111.76492622000058</v>
      </c>
      <c r="CY41" s="88">
        <v>155.56030634999965</v>
      </c>
      <c r="CZ41" s="88">
        <v>166.54188842000036</v>
      </c>
      <c r="DA41" s="88">
        <v>173.03812774000093</v>
      </c>
      <c r="DB41" s="88">
        <v>163.74480014999972</v>
      </c>
      <c r="DC41" s="88">
        <v>192.82257227000107</v>
      </c>
      <c r="DD41" s="88">
        <v>180.59895708000033</v>
      </c>
      <c r="DE41" s="88">
        <v>164.25175123999946</v>
      </c>
      <c r="DF41" s="88">
        <v>184.97155382000059</v>
      </c>
      <c r="DG41" s="88">
        <v>163.26482156999998</v>
      </c>
      <c r="DH41" s="88">
        <v>199.28507735999992</v>
      </c>
      <c r="DI41" s="88">
        <v>326.80829536000022</v>
      </c>
      <c r="DJ41" s="88">
        <f t="shared" si="22"/>
        <v>2182.6530775800024</v>
      </c>
      <c r="DK41" s="85">
        <f>DK42+DK45</f>
        <v>2181.9819680000001</v>
      </c>
      <c r="DL41" s="85">
        <v>143.1135887199996</v>
      </c>
      <c r="DM41" s="85">
        <v>172.62172584000004</v>
      </c>
      <c r="DN41" s="85">
        <v>181.51097348000016</v>
      </c>
      <c r="DO41" s="85">
        <v>182.90086899999997</v>
      </c>
      <c r="DP41" s="85">
        <v>198.4833941699996</v>
      </c>
      <c r="DQ41" s="85">
        <v>197.32841337999915</v>
      </c>
      <c r="DR41" s="85">
        <v>195.31537413000061</v>
      </c>
      <c r="DS41" s="85">
        <v>178.9211870500003</v>
      </c>
      <c r="DT41" s="85">
        <v>384.43106133000009</v>
      </c>
      <c r="DU41" s="85">
        <v>417.95437785999962</v>
      </c>
      <c r="DV41" s="85">
        <v>210.76672520999961</v>
      </c>
      <c r="DW41" s="85">
        <v>403.00593179999953</v>
      </c>
      <c r="DX41" s="88">
        <f t="shared" si="23"/>
        <v>2866.3536219699981</v>
      </c>
      <c r="DY41" s="85">
        <f>DY42+DY45</f>
        <v>2865.5826029999998</v>
      </c>
      <c r="DZ41" s="85">
        <v>139.68593580999999</v>
      </c>
      <c r="EA41" s="85">
        <v>187.65658980999996</v>
      </c>
      <c r="EB41" s="85">
        <v>207.70143347000067</v>
      </c>
      <c r="EC41" s="85">
        <v>197.35538225000036</v>
      </c>
      <c r="ED41" s="85">
        <v>204.91599971000034</v>
      </c>
      <c r="EE41" s="85">
        <v>227.37071290999862</v>
      </c>
      <c r="EF41" s="85">
        <v>219.47458437000003</v>
      </c>
      <c r="EG41" s="85">
        <v>220.41470612000015</v>
      </c>
      <c r="EH41" s="85">
        <v>236.46799746999972</v>
      </c>
      <c r="EI41" s="85">
        <v>234.74853515000001</v>
      </c>
      <c r="EJ41" s="85">
        <v>239.01094280000018</v>
      </c>
      <c r="EK41" s="85">
        <v>649.63667609999925</v>
      </c>
      <c r="EL41" s="88">
        <f t="shared" si="17"/>
        <v>2964.4394959699994</v>
      </c>
      <c r="EM41" s="85">
        <f>EM42+EM45</f>
        <v>2963.5699319999999</v>
      </c>
      <c r="EN41" s="85">
        <v>198.02836921999923</v>
      </c>
      <c r="EO41" s="85">
        <v>220.05742992999973</v>
      </c>
      <c r="EP41" s="85">
        <v>211.02127964000036</v>
      </c>
      <c r="EQ41" s="85">
        <v>219.19482155000017</v>
      </c>
      <c r="ER41" s="85">
        <v>229.11211621000015</v>
      </c>
      <c r="ES41" s="85">
        <v>250.19205979999947</v>
      </c>
      <c r="ET41" s="85">
        <v>236.19370139999975</v>
      </c>
      <c r="EU41" s="85">
        <v>225.16586670000044</v>
      </c>
      <c r="EV41" s="85">
        <v>241.87051281000049</v>
      </c>
      <c r="EW41" s="85">
        <v>245.53947984999965</v>
      </c>
      <c r="EX41" s="85">
        <v>280.94518184999953</v>
      </c>
      <c r="EY41" s="85">
        <v>480.23562716000032</v>
      </c>
      <c r="EZ41" s="88">
        <f t="shared" si="18"/>
        <v>3037.5564461199992</v>
      </c>
      <c r="FA41" s="85">
        <f>FA42+FA45</f>
        <v>3037.0443370000003</v>
      </c>
      <c r="FB41" s="85">
        <v>167.55622754999979</v>
      </c>
      <c r="FC41" s="85">
        <v>350.0655921299998</v>
      </c>
      <c r="FD41" s="85">
        <v>240.46125250999981</v>
      </c>
      <c r="FE41" s="85">
        <v>243.01612525999982</v>
      </c>
      <c r="FF41" s="85">
        <v>238.02448624000027</v>
      </c>
      <c r="FG41" s="85">
        <v>272.02979437999915</v>
      </c>
      <c r="FH41" s="85">
        <v>269.36469734999991</v>
      </c>
      <c r="FI41" s="85">
        <v>240.18038237000042</v>
      </c>
      <c r="FJ41" s="85">
        <v>267.76178828999997</v>
      </c>
      <c r="FK41" s="85">
        <v>252.9044503199998</v>
      </c>
      <c r="FL41" s="85">
        <v>271.91106897999936</v>
      </c>
      <c r="FM41" s="85">
        <v>500.77043287000009</v>
      </c>
      <c r="FN41" s="88">
        <f t="shared" si="11"/>
        <v>3314.0462982499985</v>
      </c>
      <c r="FO41" s="85">
        <v>170.90459593999961</v>
      </c>
      <c r="FP41" s="85">
        <v>233.71741465000008</v>
      </c>
      <c r="FQ41" s="85">
        <v>257.86770795000035</v>
      </c>
      <c r="FR41" s="85">
        <v>257.24777490000054</v>
      </c>
      <c r="FS41" s="85"/>
      <c r="FT41" s="85"/>
      <c r="FU41" s="85"/>
      <c r="FV41" s="85"/>
      <c r="FW41" s="85"/>
      <c r="FX41" s="85"/>
      <c r="FY41" s="85"/>
      <c r="FZ41" s="85"/>
      <c r="GA41" s="307">
        <f t="shared" si="19"/>
        <v>1001.099197</v>
      </c>
      <c r="GB41" s="307">
        <f t="shared" si="20"/>
        <v>919.73749299999997</v>
      </c>
      <c r="GC41" s="308">
        <f t="shared" si="12"/>
        <v>-81.361704000000032</v>
      </c>
      <c r="GD41" s="308">
        <f t="shared" si="13"/>
        <v>-8.1272369655092263</v>
      </c>
    </row>
    <row r="42" spans="1:186" s="12" customFormat="1" ht="20.5">
      <c r="A42" s="47" t="s">
        <v>121</v>
      </c>
      <c r="B42" s="13">
        <v>1000</v>
      </c>
      <c r="C42" s="47" t="s">
        <v>122</v>
      </c>
      <c r="D42" s="45">
        <f>D43+D44</f>
        <v>47.369983640000001</v>
      </c>
      <c r="E42" s="50">
        <f>E43+E44</f>
        <v>64.566096999999999</v>
      </c>
      <c r="F42" s="50">
        <f t="shared" ref="F42:M42" si="30">F43+F44</f>
        <v>64.017017749999994</v>
      </c>
      <c r="G42" s="50">
        <f t="shared" si="30"/>
        <v>66.636287809999999</v>
      </c>
      <c r="H42" s="50">
        <f t="shared" si="30"/>
        <v>63.675740589999997</v>
      </c>
      <c r="I42" s="50">
        <f t="shared" si="30"/>
        <v>71.805156019999998</v>
      </c>
      <c r="J42" s="50">
        <f t="shared" si="30"/>
        <v>72.757058580000006</v>
      </c>
      <c r="K42" s="50">
        <f t="shared" si="30"/>
        <v>63.684068570000008</v>
      </c>
      <c r="L42" s="50">
        <f t="shared" si="30"/>
        <v>63.429631739999984</v>
      </c>
      <c r="M42" s="50">
        <f t="shared" si="30"/>
        <v>66.908950009999899</v>
      </c>
      <c r="N42" s="50">
        <f>N43+N44</f>
        <v>70.683334639999998</v>
      </c>
      <c r="O42" s="50">
        <f>O43+O44</f>
        <v>89.012182800000076</v>
      </c>
      <c r="P42" s="85">
        <f t="shared" si="7"/>
        <v>804.54550915000004</v>
      </c>
      <c r="Q42" s="85">
        <f>Q43+Q44</f>
        <v>804.44500199999993</v>
      </c>
      <c r="R42" s="50">
        <f>R43+R44</f>
        <v>48.851998830000007</v>
      </c>
      <c r="S42" s="50">
        <v>67.003520739999985</v>
      </c>
      <c r="T42" s="50">
        <v>70.104630079999978</v>
      </c>
      <c r="U42" s="50">
        <v>69.882298200000037</v>
      </c>
      <c r="V42" s="50">
        <v>67.477156999999934</v>
      </c>
      <c r="W42" s="50">
        <v>76.600245270000045</v>
      </c>
      <c r="X42" s="50">
        <v>79.577301850000026</v>
      </c>
      <c r="Y42" s="50">
        <v>69.610997770000012</v>
      </c>
      <c r="Z42" s="50">
        <v>67.436961639999993</v>
      </c>
      <c r="AA42" s="50">
        <v>66.997628029999916</v>
      </c>
      <c r="AB42" s="50">
        <v>70.815863539999995</v>
      </c>
      <c r="AC42" s="50">
        <v>89.554706759999988</v>
      </c>
      <c r="AD42" s="85">
        <f t="shared" si="8"/>
        <v>843.91330970999979</v>
      </c>
      <c r="AE42" s="85">
        <f>AE43+AE44</f>
        <v>843.91347900000005</v>
      </c>
      <c r="AF42" s="85">
        <v>50.473298640000039</v>
      </c>
      <c r="AG42" s="85">
        <v>68.689543389999955</v>
      </c>
      <c r="AH42" s="85">
        <v>73.375846369999991</v>
      </c>
      <c r="AI42" s="85">
        <v>74.239777299999957</v>
      </c>
      <c r="AJ42" s="85">
        <v>73.449293379999929</v>
      </c>
      <c r="AK42" s="85">
        <v>80.087128239999998</v>
      </c>
      <c r="AL42" s="85">
        <v>82.764465670000021</v>
      </c>
      <c r="AM42" s="85">
        <v>70.097019439999926</v>
      </c>
      <c r="AN42" s="85">
        <v>71.542240010000086</v>
      </c>
      <c r="AO42" s="85">
        <v>73.460291259999948</v>
      </c>
      <c r="AP42" s="85">
        <v>77.672732840000052</v>
      </c>
      <c r="AQ42" s="85">
        <v>118.88574953999998</v>
      </c>
      <c r="AR42" s="85">
        <f t="shared" si="9"/>
        <v>914.73738608000008</v>
      </c>
      <c r="AS42" s="85">
        <f>AS43+AS44</f>
        <v>914.78230500000018</v>
      </c>
      <c r="AT42" s="85">
        <v>50.566072629999972</v>
      </c>
      <c r="AU42" s="85">
        <v>75.83581506000003</v>
      </c>
      <c r="AV42" s="85">
        <v>82.414181310000004</v>
      </c>
      <c r="AW42" s="85">
        <v>82.189897529999939</v>
      </c>
      <c r="AX42" s="85">
        <v>81.207669939999903</v>
      </c>
      <c r="AY42" s="85">
        <v>88.816170570000068</v>
      </c>
      <c r="AZ42" s="85">
        <v>88.973909000000091</v>
      </c>
      <c r="BA42" s="85">
        <v>81.446459049999973</v>
      </c>
      <c r="BB42" s="85">
        <v>80.203900030000099</v>
      </c>
      <c r="BC42" s="85">
        <v>79.405858260000016</v>
      </c>
      <c r="BD42" s="85">
        <v>90.411073009999939</v>
      </c>
      <c r="BE42" s="85">
        <v>126.81417577000006</v>
      </c>
      <c r="BF42" s="85">
        <f t="shared" si="10"/>
        <v>1008.28518216</v>
      </c>
      <c r="BG42" s="85">
        <f>BG43+BG44</f>
        <v>1008.281653</v>
      </c>
      <c r="BH42" s="85">
        <v>47.676221390000066</v>
      </c>
      <c r="BI42" s="85">
        <v>82.312466030000095</v>
      </c>
      <c r="BJ42" s="85">
        <v>87.583877640000011</v>
      </c>
      <c r="BK42" s="85">
        <v>86.997059190000144</v>
      </c>
      <c r="BL42" s="85">
        <v>87.742309089999964</v>
      </c>
      <c r="BM42" s="85">
        <v>98.649131110000027</v>
      </c>
      <c r="BN42" s="85">
        <v>95.257085379999978</v>
      </c>
      <c r="BO42" s="85">
        <v>89.533603739999933</v>
      </c>
      <c r="BP42" s="85">
        <v>87.344735199999732</v>
      </c>
      <c r="BQ42" s="85">
        <v>86.947682490000105</v>
      </c>
      <c r="BR42" s="85">
        <v>100.80719419999983</v>
      </c>
      <c r="BS42" s="85">
        <v>131.11526322000023</v>
      </c>
      <c r="BT42" s="88">
        <f t="shared" si="15"/>
        <v>1081.96662868</v>
      </c>
      <c r="BU42" s="85">
        <f>BU43+BU44</f>
        <v>1081.956801</v>
      </c>
      <c r="BV42" s="85">
        <v>77.931263150000191</v>
      </c>
      <c r="BW42" s="85">
        <v>94.582472530000004</v>
      </c>
      <c r="BX42" s="85">
        <v>90.822242289999863</v>
      </c>
      <c r="BY42" s="85">
        <v>93.076969209999945</v>
      </c>
      <c r="BZ42" s="85">
        <v>94.806171689999843</v>
      </c>
      <c r="CA42" s="85">
        <v>100.62291730999985</v>
      </c>
      <c r="CB42" s="85">
        <v>99.442799210000089</v>
      </c>
      <c r="CC42" s="85">
        <v>92.996664389999907</v>
      </c>
      <c r="CD42" s="85">
        <v>93.794511270000044</v>
      </c>
      <c r="CE42" s="85">
        <v>92.066932690000044</v>
      </c>
      <c r="CF42" s="85">
        <v>103.51368147999996</v>
      </c>
      <c r="CG42" s="85">
        <v>142.43760828000015</v>
      </c>
      <c r="CH42" s="88">
        <f t="shared" si="16"/>
        <v>1176.0942335</v>
      </c>
      <c r="CI42" s="85">
        <f>CI43+CI44</f>
        <v>1176.0942329999998</v>
      </c>
      <c r="CJ42" s="85">
        <v>60.819001440000001</v>
      </c>
      <c r="CK42" s="85">
        <v>92.754973639999733</v>
      </c>
      <c r="CL42" s="85">
        <v>98.482799809999847</v>
      </c>
      <c r="CM42" s="85">
        <v>103.91473397999978</v>
      </c>
      <c r="CN42" s="85">
        <v>95.729029000000139</v>
      </c>
      <c r="CO42" s="85">
        <v>106.91131852000014</v>
      </c>
      <c r="CP42" s="85">
        <v>107.4727375100002</v>
      </c>
      <c r="CQ42" s="185">
        <v>98.676270630000062</v>
      </c>
      <c r="CR42" s="88">
        <v>101.09965677000017</v>
      </c>
      <c r="CS42" s="88">
        <v>95.245092989999904</v>
      </c>
      <c r="CT42" s="88">
        <v>107.05342767999974</v>
      </c>
      <c r="CU42" s="88">
        <v>146.85457542000009</v>
      </c>
      <c r="CV42" s="88">
        <f t="shared" si="21"/>
        <v>1215.0136173899998</v>
      </c>
      <c r="CW42" s="85">
        <f>CW43+CW44</f>
        <v>1214.8295370000001</v>
      </c>
      <c r="CX42" s="88">
        <v>65.923395150000147</v>
      </c>
      <c r="CY42" s="88">
        <v>103.03948748999989</v>
      </c>
      <c r="CZ42" s="88">
        <v>107.45398950999997</v>
      </c>
      <c r="DA42" s="88">
        <v>110.56018486999997</v>
      </c>
      <c r="DB42" s="88">
        <v>107.06897876999999</v>
      </c>
      <c r="DC42" s="88">
        <v>118.54010319000028</v>
      </c>
      <c r="DD42" s="88">
        <v>114.61988620000007</v>
      </c>
      <c r="DE42" s="88">
        <v>107.14951911000001</v>
      </c>
      <c r="DF42" s="88">
        <v>110.52763044000024</v>
      </c>
      <c r="DG42" s="88">
        <v>101.94079901000022</v>
      </c>
      <c r="DH42" s="88">
        <v>115.32514139999989</v>
      </c>
      <c r="DI42" s="88">
        <v>165.02127518999967</v>
      </c>
      <c r="DJ42" s="88">
        <f t="shared" si="22"/>
        <v>1327.1703903300004</v>
      </c>
      <c r="DK42" s="85">
        <f>DK43+DK44</f>
        <v>1327.17039</v>
      </c>
      <c r="DL42" s="85">
        <v>74.40319842000001</v>
      </c>
      <c r="DM42" s="85">
        <v>103.61119383999993</v>
      </c>
      <c r="DN42" s="85">
        <v>107.34046623000005</v>
      </c>
      <c r="DO42" s="85">
        <v>112.61394776000016</v>
      </c>
      <c r="DP42" s="85">
        <v>118.24785664000019</v>
      </c>
      <c r="DQ42" s="85">
        <v>121.70688390000002</v>
      </c>
      <c r="DR42" s="85">
        <v>119.62722158000005</v>
      </c>
      <c r="DS42" s="85">
        <v>111.23147211000001</v>
      </c>
      <c r="DT42" s="85">
        <v>116.73872464999981</v>
      </c>
      <c r="DU42" s="85">
        <v>112.86752990999999</v>
      </c>
      <c r="DV42" s="85">
        <v>125.43822212999991</v>
      </c>
      <c r="DW42" s="85">
        <v>194.13511512999978</v>
      </c>
      <c r="DX42" s="88">
        <f t="shared" si="23"/>
        <v>1417.9618323</v>
      </c>
      <c r="DY42" s="85">
        <f>DY43+DY44</f>
        <v>1417.9172920000001</v>
      </c>
      <c r="DZ42" s="85">
        <v>68.643084869999953</v>
      </c>
      <c r="EA42" s="85">
        <v>116.53396769999985</v>
      </c>
      <c r="EB42" s="85">
        <v>122.74179163999979</v>
      </c>
      <c r="EC42" s="85">
        <v>123.79751551000027</v>
      </c>
      <c r="ED42" s="85">
        <v>132.7952739800001</v>
      </c>
      <c r="EE42" s="85">
        <v>145.49787507999937</v>
      </c>
      <c r="EF42" s="85">
        <v>136.01147940000033</v>
      </c>
      <c r="EG42" s="85">
        <v>134.37446838999995</v>
      </c>
      <c r="EH42" s="85">
        <v>139.08373914000009</v>
      </c>
      <c r="EI42" s="85">
        <v>135.93417812999985</v>
      </c>
      <c r="EJ42" s="85">
        <v>147.28364154999991</v>
      </c>
      <c r="EK42" s="85">
        <v>231.1799560800003</v>
      </c>
      <c r="EL42" s="88">
        <f t="shared" si="17"/>
        <v>1633.8769714699997</v>
      </c>
      <c r="EM42" s="85">
        <f>EM43+EM44</f>
        <v>1633.8769709999999</v>
      </c>
      <c r="EN42" s="85">
        <v>105.41854612999991</v>
      </c>
      <c r="EO42" s="85">
        <v>145.46318537999989</v>
      </c>
      <c r="EP42" s="85">
        <v>145.18594860000007</v>
      </c>
      <c r="EQ42" s="85">
        <v>145.19761577999986</v>
      </c>
      <c r="ER42" s="85">
        <v>151.69539513000007</v>
      </c>
      <c r="ES42" s="85">
        <v>159.13136607999991</v>
      </c>
      <c r="ET42" s="85">
        <v>155.62784068999989</v>
      </c>
      <c r="EU42" s="85">
        <v>149.02208449</v>
      </c>
      <c r="EV42" s="85">
        <v>148.37841906000034</v>
      </c>
      <c r="EW42" s="85">
        <v>148.50204033000028</v>
      </c>
      <c r="EX42" s="85">
        <v>154.90444499999995</v>
      </c>
      <c r="EY42" s="85">
        <v>230.82021694000014</v>
      </c>
      <c r="EZ42" s="88">
        <f t="shared" si="18"/>
        <v>1839.3471036100002</v>
      </c>
      <c r="FA42" s="85">
        <f>FA43+FA44</f>
        <v>1839.347008</v>
      </c>
      <c r="FB42" s="85">
        <v>91.916682419999901</v>
      </c>
      <c r="FC42" s="85">
        <v>152.76314811000012</v>
      </c>
      <c r="FD42" s="85">
        <v>153.21915523000004</v>
      </c>
      <c r="FE42" s="85">
        <v>169.49845810999989</v>
      </c>
      <c r="FF42" s="85">
        <v>156.60937709000021</v>
      </c>
      <c r="FG42" s="85">
        <v>169.77178942999981</v>
      </c>
      <c r="FH42" s="85">
        <v>172.36359993000005</v>
      </c>
      <c r="FI42" s="85">
        <v>162.82235703999979</v>
      </c>
      <c r="FJ42" s="85">
        <v>159.96069319000006</v>
      </c>
      <c r="FK42" s="85">
        <v>161.83926463000037</v>
      </c>
      <c r="FL42" s="85">
        <v>162.95305697000003</v>
      </c>
      <c r="FM42" s="85">
        <v>253.28782437999999</v>
      </c>
      <c r="FN42" s="88">
        <f t="shared" si="11"/>
        <v>1967.0054065300003</v>
      </c>
      <c r="FO42" s="85">
        <v>93.233445349999997</v>
      </c>
      <c r="FP42" s="85">
        <v>153.80390348000014</v>
      </c>
      <c r="FQ42" s="85">
        <v>156.90098317000016</v>
      </c>
      <c r="FR42" s="85">
        <v>168.49279961000011</v>
      </c>
      <c r="FS42" s="85"/>
      <c r="FT42" s="85"/>
      <c r="FU42" s="85"/>
      <c r="FV42" s="85"/>
      <c r="FW42" s="85"/>
      <c r="FX42" s="85"/>
      <c r="FY42" s="85"/>
      <c r="FZ42" s="85"/>
      <c r="GA42" s="307">
        <f t="shared" si="19"/>
        <v>567.39744399999995</v>
      </c>
      <c r="GB42" s="307">
        <f t="shared" si="20"/>
        <v>572.43113200000005</v>
      </c>
      <c r="GC42" s="308">
        <f t="shared" si="12"/>
        <v>5.0336880000000974</v>
      </c>
      <c r="GD42" s="308">
        <f t="shared" si="13"/>
        <v>0.88715380254693343</v>
      </c>
    </row>
    <row r="43" spans="1:186" s="12" customFormat="1" ht="20.5">
      <c r="A43" s="77" t="s">
        <v>123</v>
      </c>
      <c r="B43" s="13">
        <v>1100</v>
      </c>
      <c r="C43" s="77" t="s">
        <v>124</v>
      </c>
      <c r="D43" s="45">
        <v>34.575071889999997</v>
      </c>
      <c r="E43" s="50">
        <v>48.312314000000001</v>
      </c>
      <c r="F43" s="50">
        <v>48.402987889999999</v>
      </c>
      <c r="G43" s="50">
        <v>50.456102030000004</v>
      </c>
      <c r="H43" s="50">
        <v>47.662038190000004</v>
      </c>
      <c r="I43" s="50">
        <v>53.816163580000001</v>
      </c>
      <c r="J43" s="50">
        <v>53.954658720000019</v>
      </c>
      <c r="K43" s="50">
        <v>45.785108790000002</v>
      </c>
      <c r="L43" s="50">
        <v>46.486428879999998</v>
      </c>
      <c r="M43" s="50">
        <v>50.515019089999925</v>
      </c>
      <c r="N43" s="50">
        <v>52.939777819999975</v>
      </c>
      <c r="O43" s="50">
        <v>65.168031070000069</v>
      </c>
      <c r="P43" s="85">
        <f t="shared" si="7"/>
        <v>598.07370194999999</v>
      </c>
      <c r="Q43" s="85">
        <f>589.871352+8.144366</f>
        <v>598.01571799999999</v>
      </c>
      <c r="R43" s="50">
        <v>36.764029060000006</v>
      </c>
      <c r="S43" s="50">
        <v>49.477548109999987</v>
      </c>
      <c r="T43" s="50">
        <v>51.936012939999983</v>
      </c>
      <c r="U43" s="50">
        <v>52.344815900000036</v>
      </c>
      <c r="V43" s="50">
        <v>49.635187289999934</v>
      </c>
      <c r="W43" s="50">
        <v>56.670921150000055</v>
      </c>
      <c r="X43" s="50">
        <v>57.596841400000017</v>
      </c>
      <c r="Y43" s="50">
        <v>49.008994590000022</v>
      </c>
      <c r="Z43" s="50">
        <v>49.239648809999984</v>
      </c>
      <c r="AA43" s="50">
        <v>49.310763159999901</v>
      </c>
      <c r="AB43" s="50">
        <v>53.242488020000025</v>
      </c>
      <c r="AC43" s="50">
        <v>66.555926069999984</v>
      </c>
      <c r="AD43" s="85">
        <f t="shared" si="8"/>
        <v>621.78317649999997</v>
      </c>
      <c r="AE43" s="85">
        <f>613.623197+8.15733</f>
        <v>621.78052700000001</v>
      </c>
      <c r="AF43" s="85">
        <v>37.446378780000053</v>
      </c>
      <c r="AG43" s="85">
        <v>50.787348669999979</v>
      </c>
      <c r="AH43" s="85">
        <v>54.398570710000037</v>
      </c>
      <c r="AI43" s="85">
        <v>55.153504229999953</v>
      </c>
      <c r="AJ43" s="85">
        <v>54.3163200199999</v>
      </c>
      <c r="AK43" s="85">
        <v>59.038408780000026</v>
      </c>
      <c r="AL43" s="85">
        <v>60.505044479999988</v>
      </c>
      <c r="AM43" s="85">
        <v>48.985675989999933</v>
      </c>
      <c r="AN43" s="85">
        <v>51.198263120000092</v>
      </c>
      <c r="AO43" s="85">
        <v>54.708158759999947</v>
      </c>
      <c r="AP43" s="85">
        <v>58.972983890000052</v>
      </c>
      <c r="AQ43" s="85">
        <v>88.729364859999976</v>
      </c>
      <c r="AR43" s="85">
        <f t="shared" si="9"/>
        <v>674.24002228999984</v>
      </c>
      <c r="AS43" s="85">
        <f>665.431759+8.808293</f>
        <v>674.24005200000011</v>
      </c>
      <c r="AT43" s="85">
        <v>36.569188779999969</v>
      </c>
      <c r="AU43" s="85">
        <v>56.002507520000037</v>
      </c>
      <c r="AV43" s="85">
        <v>61.280038710000035</v>
      </c>
      <c r="AW43" s="85">
        <v>61.154084039999951</v>
      </c>
      <c r="AX43" s="85">
        <v>59.922488119999933</v>
      </c>
      <c r="AY43" s="85">
        <v>66.524143180000053</v>
      </c>
      <c r="AZ43" s="85">
        <v>64.20229563000008</v>
      </c>
      <c r="BA43" s="85">
        <v>56.866078869999996</v>
      </c>
      <c r="BB43" s="85">
        <v>57.30920686999999</v>
      </c>
      <c r="BC43" s="85">
        <v>58.739134259999979</v>
      </c>
      <c r="BD43" s="85">
        <v>68.187223580000023</v>
      </c>
      <c r="BE43" s="85">
        <v>95.545105400000054</v>
      </c>
      <c r="BF43" s="85">
        <f t="shared" si="10"/>
        <v>742.30149496000013</v>
      </c>
      <c r="BG43" s="85">
        <f>731.875613+10.422152</f>
        <v>742.29776500000003</v>
      </c>
      <c r="BH43" s="85">
        <v>34.076266950000047</v>
      </c>
      <c r="BI43" s="85">
        <v>60.983567770000072</v>
      </c>
      <c r="BJ43" s="85">
        <v>65.09598696999997</v>
      </c>
      <c r="BK43" s="85">
        <v>63.835015840000061</v>
      </c>
      <c r="BL43" s="85">
        <v>64.526015079999937</v>
      </c>
      <c r="BM43" s="85">
        <v>72.205575859999968</v>
      </c>
      <c r="BN43" s="85">
        <v>68.964443809999963</v>
      </c>
      <c r="BO43" s="85">
        <v>62.415341979999951</v>
      </c>
      <c r="BP43" s="85">
        <v>62.480079699999862</v>
      </c>
      <c r="BQ43" s="85">
        <v>64.66411269000001</v>
      </c>
      <c r="BR43" s="85">
        <v>76.117554309999832</v>
      </c>
      <c r="BS43" s="85">
        <v>95.756836880000151</v>
      </c>
      <c r="BT43" s="88">
        <f t="shared" si="15"/>
        <v>791.1207978399998</v>
      </c>
      <c r="BU43" s="85">
        <f>779.464592+11.657868</f>
        <v>791.12246000000005</v>
      </c>
      <c r="BV43" s="85">
        <v>37.249218980000066</v>
      </c>
      <c r="BW43" s="85">
        <v>63.183242549999974</v>
      </c>
      <c r="BX43" s="85">
        <v>67.175828739999986</v>
      </c>
      <c r="BY43" s="85">
        <v>68.036910939999942</v>
      </c>
      <c r="BZ43" s="85">
        <v>69.919628349999826</v>
      </c>
      <c r="CA43" s="85">
        <v>73.249528749999911</v>
      </c>
      <c r="CB43" s="85">
        <v>72.405339960000006</v>
      </c>
      <c r="CC43" s="85">
        <v>64.488860959999869</v>
      </c>
      <c r="CD43" s="85">
        <v>67.573684350000022</v>
      </c>
      <c r="CE43" s="85">
        <v>67.518919659999995</v>
      </c>
      <c r="CF43" s="85">
        <v>77.792961159999876</v>
      </c>
      <c r="CG43" s="85">
        <v>106.25889869999989</v>
      </c>
      <c r="CH43" s="88">
        <f t="shared" si="16"/>
        <v>834.8530230999994</v>
      </c>
      <c r="CI43" s="85">
        <f>Valsts_Pamatbudžets!KW44+Valsts_Speciālais_Budžets!EC19</f>
        <v>834.85302300000001</v>
      </c>
      <c r="CJ43" s="85">
        <v>43.361970219999954</v>
      </c>
      <c r="CK43" s="85">
        <v>67.991735579999798</v>
      </c>
      <c r="CL43" s="85">
        <v>73.213838109999912</v>
      </c>
      <c r="CM43" s="85">
        <v>75.714717619999931</v>
      </c>
      <c r="CN43" s="85">
        <v>70.500693179999971</v>
      </c>
      <c r="CO43" s="85">
        <v>78.492238329999992</v>
      </c>
      <c r="CP43" s="85">
        <v>77.945820820000009</v>
      </c>
      <c r="CQ43" s="185">
        <v>68.557630859999975</v>
      </c>
      <c r="CR43" s="88">
        <v>72.179223990000082</v>
      </c>
      <c r="CS43" s="88">
        <v>69.793670029999873</v>
      </c>
      <c r="CT43" s="88">
        <v>80.620618349999859</v>
      </c>
      <c r="CU43" s="88">
        <v>108.21692319000013</v>
      </c>
      <c r="CV43" s="88">
        <f t="shared" si="21"/>
        <v>886.58908027999939</v>
      </c>
      <c r="CW43" s="85">
        <f>874.913104+11.498836</f>
        <v>886.41193999999996</v>
      </c>
      <c r="CX43" s="88">
        <v>48.993698500000086</v>
      </c>
      <c r="CY43" s="88">
        <v>77.067306009999967</v>
      </c>
      <c r="CZ43" s="88">
        <v>80.926134769999948</v>
      </c>
      <c r="DA43" s="88">
        <v>82.539535879999903</v>
      </c>
      <c r="DB43" s="88">
        <v>79.051453109999983</v>
      </c>
      <c r="DC43" s="88">
        <v>87.365015220000032</v>
      </c>
      <c r="DD43" s="88">
        <v>83.285680949999971</v>
      </c>
      <c r="DE43" s="88">
        <v>74.459115229999981</v>
      </c>
      <c r="DF43" s="88">
        <v>79.056312650000123</v>
      </c>
      <c r="DG43" s="88">
        <v>74.931065750000002</v>
      </c>
      <c r="DH43" s="88">
        <v>86.13541524</v>
      </c>
      <c r="DI43" s="88">
        <v>123.69648698000002</v>
      </c>
      <c r="DJ43" s="88">
        <f t="shared" si="22"/>
        <v>977.50722029000008</v>
      </c>
      <c r="DK43" s="85">
        <f>Valsts_Pamatbudžets!OC44+Valsts_Speciālais_Budžets!FE19</f>
        <v>977.50722100000007</v>
      </c>
      <c r="DL43" s="85">
        <v>53.509068229999997</v>
      </c>
      <c r="DM43" s="85">
        <v>75.843739429999985</v>
      </c>
      <c r="DN43" s="85">
        <v>80.65331077000009</v>
      </c>
      <c r="DO43" s="85">
        <v>82.730209090000031</v>
      </c>
      <c r="DP43" s="85">
        <v>87.689099060000117</v>
      </c>
      <c r="DQ43" s="85">
        <v>89.762922230000029</v>
      </c>
      <c r="DR43" s="85">
        <v>85.724255779999908</v>
      </c>
      <c r="DS43" s="85">
        <v>77.365177409999987</v>
      </c>
      <c r="DT43" s="85">
        <v>81.818094349999896</v>
      </c>
      <c r="DU43" s="85">
        <v>82.576602330000043</v>
      </c>
      <c r="DV43" s="85">
        <v>92.518528829999866</v>
      </c>
      <c r="DW43" s="85">
        <v>142.12619018000004</v>
      </c>
      <c r="DX43" s="88">
        <f t="shared" si="23"/>
        <v>1032.3171976900001</v>
      </c>
      <c r="DY43" s="85">
        <f>Valsts_Pamatbudžets!PS44+Valsts_Speciālais_Budžets!FS19</f>
        <v>1032.2811550000001</v>
      </c>
      <c r="DZ43" s="85">
        <v>47.989061870000008</v>
      </c>
      <c r="EA43" s="85">
        <v>84.758299999999863</v>
      </c>
      <c r="EB43" s="85">
        <v>89.99170287999992</v>
      </c>
      <c r="EC43" s="85">
        <v>89.787953219999977</v>
      </c>
      <c r="ED43" s="85">
        <v>97.316256030000005</v>
      </c>
      <c r="EE43" s="85">
        <v>106.34201093999995</v>
      </c>
      <c r="EF43" s="85">
        <v>97.129347550000176</v>
      </c>
      <c r="EG43" s="85">
        <v>93.966915340000057</v>
      </c>
      <c r="EH43" s="85">
        <v>99.866680819999928</v>
      </c>
      <c r="EI43" s="85">
        <v>98.525314720000068</v>
      </c>
      <c r="EJ43" s="85">
        <v>108.96235115999995</v>
      </c>
      <c r="EK43" s="85">
        <v>170.49378677000027</v>
      </c>
      <c r="EL43" s="88">
        <f t="shared" si="17"/>
        <v>1185.1296812999999</v>
      </c>
      <c r="EM43" s="85">
        <f>Valsts_Pamatbudžets!RI44+Valsts_Speciālais_Budžets!GG19</f>
        <v>1185.129682</v>
      </c>
      <c r="EN43" s="85">
        <v>53.97520867999993</v>
      </c>
      <c r="EO43" s="85">
        <v>100.38406992999995</v>
      </c>
      <c r="EP43" s="85">
        <v>105.99874715000014</v>
      </c>
      <c r="EQ43" s="85">
        <v>105.17901128000004</v>
      </c>
      <c r="ER43" s="85">
        <v>110.58404245000006</v>
      </c>
      <c r="ES43" s="85">
        <v>115.25812741999991</v>
      </c>
      <c r="ET43" s="85">
        <v>110.53616205999982</v>
      </c>
      <c r="EU43" s="85">
        <v>101.69896390000008</v>
      </c>
      <c r="EV43" s="85">
        <v>105.17062803000012</v>
      </c>
      <c r="EW43" s="85">
        <v>107.70919804000015</v>
      </c>
      <c r="EX43" s="85">
        <v>113.42566241000002</v>
      </c>
      <c r="EY43" s="85">
        <v>169.18339923000016</v>
      </c>
      <c r="EZ43" s="88">
        <f t="shared" si="18"/>
        <v>1299.1032205800004</v>
      </c>
      <c r="FA43" s="85">
        <f>Valsts_Pamatbudžets!SY44+Valsts_Speciālais_Budžets!GU19</f>
        <v>1299.1031190000001</v>
      </c>
      <c r="FB43" s="85">
        <v>64.768592509999891</v>
      </c>
      <c r="FC43" s="85">
        <v>110.82604196000017</v>
      </c>
      <c r="FD43" s="85">
        <v>111.07669289000003</v>
      </c>
      <c r="FE43" s="85">
        <v>123.75719073999983</v>
      </c>
      <c r="FF43" s="85">
        <v>112.92296649000001</v>
      </c>
      <c r="FG43" s="85">
        <v>122.34946667000001</v>
      </c>
      <c r="FH43" s="85">
        <v>123.13167531000006</v>
      </c>
      <c r="FI43" s="85">
        <v>111.71284523000014</v>
      </c>
      <c r="FJ43" s="85">
        <v>112.19978655000006</v>
      </c>
      <c r="FK43" s="85">
        <v>115.78682055000003</v>
      </c>
      <c r="FL43" s="85">
        <v>119.57204159000013</v>
      </c>
      <c r="FM43" s="85">
        <v>182.19371784000003</v>
      </c>
      <c r="FN43" s="88">
        <f t="shared" si="11"/>
        <v>1410.2978383300003</v>
      </c>
      <c r="FO43" s="85">
        <v>65.403129780000029</v>
      </c>
      <c r="FP43" s="85">
        <v>110.93991969000005</v>
      </c>
      <c r="FQ43" s="85">
        <v>114.08045030000005</v>
      </c>
      <c r="FR43" s="85">
        <v>121.5082900000001</v>
      </c>
      <c r="FS43" s="85"/>
      <c r="FT43" s="85"/>
      <c r="FU43" s="85"/>
      <c r="FV43" s="85"/>
      <c r="FW43" s="85"/>
      <c r="FX43" s="85"/>
      <c r="FY43" s="85"/>
      <c r="FZ43" s="85"/>
      <c r="GA43" s="307">
        <f t="shared" si="19"/>
        <v>410.428518</v>
      </c>
      <c r="GB43" s="307">
        <f t="shared" si="20"/>
        <v>411.93178999999998</v>
      </c>
      <c r="GC43" s="308">
        <f t="shared" si="12"/>
        <v>1.5032719999999813</v>
      </c>
      <c r="GD43" s="308">
        <f t="shared" si="13"/>
        <v>0.36626889557416575</v>
      </c>
    </row>
    <row r="44" spans="1:186" s="12" customFormat="1" ht="20.5">
      <c r="A44" s="314" t="s">
        <v>125</v>
      </c>
      <c r="B44" s="13">
        <v>1200</v>
      </c>
      <c r="C44" s="77" t="s">
        <v>126</v>
      </c>
      <c r="D44" s="45">
        <v>12.794911750000001</v>
      </c>
      <c r="E44" s="50">
        <v>16.253782999999999</v>
      </c>
      <c r="F44" s="50">
        <v>15.614029859999999</v>
      </c>
      <c r="G44" s="50">
        <v>16.180185780000002</v>
      </c>
      <c r="H44" s="50">
        <v>16.013702399999993</v>
      </c>
      <c r="I44" s="50">
        <v>17.988992439999997</v>
      </c>
      <c r="J44" s="50">
        <v>18.802399859999991</v>
      </c>
      <c r="K44" s="50">
        <v>17.898959780000002</v>
      </c>
      <c r="L44" s="50">
        <v>16.943202859999985</v>
      </c>
      <c r="M44" s="50">
        <v>16.393930919999978</v>
      </c>
      <c r="N44" s="50">
        <v>17.743556820000016</v>
      </c>
      <c r="O44" s="50">
        <v>23.844151730000011</v>
      </c>
      <c r="P44" s="85">
        <f t="shared" si="7"/>
        <v>206.47180719999997</v>
      </c>
      <c r="Q44" s="85">
        <f>203.969591+2.459693</f>
        <v>206.429284</v>
      </c>
      <c r="R44" s="50">
        <v>12.087969770000001</v>
      </c>
      <c r="S44" s="50">
        <v>17.525972629999995</v>
      </c>
      <c r="T44" s="50">
        <v>18.168617139999998</v>
      </c>
      <c r="U44" s="50">
        <v>17.537482300000001</v>
      </c>
      <c r="V44" s="50">
        <v>17.841969710000001</v>
      </c>
      <c r="W44" s="50">
        <v>19.92932411999999</v>
      </c>
      <c r="X44" s="50">
        <v>21.980460450000002</v>
      </c>
      <c r="Y44" s="50">
        <v>20.60200317999999</v>
      </c>
      <c r="Z44" s="50">
        <v>18.197312830000005</v>
      </c>
      <c r="AA44" s="50">
        <v>17.686864870000012</v>
      </c>
      <c r="AB44" s="50">
        <v>17.573375519999971</v>
      </c>
      <c r="AC44" s="50">
        <v>22.99878069</v>
      </c>
      <c r="AD44" s="85">
        <f t="shared" si="8"/>
        <v>222.13013321</v>
      </c>
      <c r="AE44" s="85">
        <f>219.665452+2.4675</f>
        <v>222.13295199999999</v>
      </c>
      <c r="AF44" s="85">
        <v>13.026919859999987</v>
      </c>
      <c r="AG44" s="85">
        <v>17.902194719999976</v>
      </c>
      <c r="AH44" s="85">
        <v>18.977275659999957</v>
      </c>
      <c r="AI44" s="85">
        <v>19.086273070000004</v>
      </c>
      <c r="AJ44" s="85">
        <v>19.132973360000026</v>
      </c>
      <c r="AK44" s="85">
        <v>21.04871945999998</v>
      </c>
      <c r="AL44" s="85">
        <v>22.259421190000026</v>
      </c>
      <c r="AM44" s="85">
        <v>21.111343449999989</v>
      </c>
      <c r="AN44" s="85">
        <v>20.343976889999986</v>
      </c>
      <c r="AO44" s="85">
        <v>18.752132499999998</v>
      </c>
      <c r="AP44" s="85">
        <v>18.699748950000004</v>
      </c>
      <c r="AQ44" s="85">
        <v>30.156384680000009</v>
      </c>
      <c r="AR44" s="85">
        <f t="shared" si="9"/>
        <v>240.49736378999992</v>
      </c>
      <c r="AS44" s="85">
        <f>238.045835+2.496418</f>
        <v>240.54225300000002</v>
      </c>
      <c r="AT44" s="85">
        <v>13.996883850000005</v>
      </c>
      <c r="AU44" s="85">
        <v>19.833307539999993</v>
      </c>
      <c r="AV44" s="85">
        <v>21.134142599999976</v>
      </c>
      <c r="AW44" s="85">
        <v>21.035813489999981</v>
      </c>
      <c r="AX44" s="85">
        <v>21.28518181999997</v>
      </c>
      <c r="AY44" s="85">
        <v>22.292027390000012</v>
      </c>
      <c r="AZ44" s="85">
        <v>24.771613370000011</v>
      </c>
      <c r="BA44" s="85">
        <v>24.580380179999981</v>
      </c>
      <c r="BB44" s="85">
        <v>22.894693159999996</v>
      </c>
      <c r="BC44" s="85">
        <v>20.666724000000009</v>
      </c>
      <c r="BD44" s="85">
        <v>22.223849429999991</v>
      </c>
      <c r="BE44" s="85">
        <v>31.269070369999991</v>
      </c>
      <c r="BF44" s="85">
        <f t="shared" si="10"/>
        <v>265.98368719999996</v>
      </c>
      <c r="BG44" s="85">
        <f>262.797267+3.186621</f>
        <v>265.98388799999998</v>
      </c>
      <c r="BH44" s="85">
        <v>13.599954439999991</v>
      </c>
      <c r="BI44" s="85">
        <v>21.32889826000001</v>
      </c>
      <c r="BJ44" s="85">
        <v>22.487890669999995</v>
      </c>
      <c r="BK44" s="85">
        <v>23.162043349999987</v>
      </c>
      <c r="BL44" s="85">
        <v>23.216294009999991</v>
      </c>
      <c r="BM44" s="85">
        <v>26.443555249999982</v>
      </c>
      <c r="BN44" s="85">
        <v>26.292641569999994</v>
      </c>
      <c r="BO44" s="85">
        <v>27.118261759999992</v>
      </c>
      <c r="BP44" s="85">
        <v>24.864655500000019</v>
      </c>
      <c r="BQ44" s="85">
        <v>22.283569799999977</v>
      </c>
      <c r="BR44" s="85">
        <v>24.689639889999977</v>
      </c>
      <c r="BS44" s="85">
        <v>35.358426339999966</v>
      </c>
      <c r="BT44" s="88">
        <f t="shared" si="15"/>
        <v>290.84583083999985</v>
      </c>
      <c r="BU44" s="85">
        <f>287.205471+3.62887</f>
        <v>290.83434099999999</v>
      </c>
      <c r="BV44" s="85">
        <v>40.68204416999999</v>
      </c>
      <c r="BW44" s="85">
        <v>31.399229980000023</v>
      </c>
      <c r="BX44" s="85">
        <v>23.646413549999991</v>
      </c>
      <c r="BY44" s="85">
        <v>25.040058270000003</v>
      </c>
      <c r="BZ44" s="85">
        <v>24.886543340000021</v>
      </c>
      <c r="CA44" s="85">
        <v>27.373388559999967</v>
      </c>
      <c r="CB44" s="85">
        <v>27.037459249999987</v>
      </c>
      <c r="CC44" s="85">
        <v>28.507803429999999</v>
      </c>
      <c r="CD44" s="85">
        <v>26.220826919999986</v>
      </c>
      <c r="CE44" s="85">
        <v>24.548013030000007</v>
      </c>
      <c r="CF44" s="85">
        <v>25.720720320000002</v>
      </c>
      <c r="CG44" s="85">
        <v>36.178709579999939</v>
      </c>
      <c r="CH44" s="88">
        <f t="shared" si="16"/>
        <v>341.24121039999989</v>
      </c>
      <c r="CI44" s="85">
        <f>Valsts_Pamatbudžets!KW45+Valsts_Speciālais_Budžets!EC20</f>
        <v>341.24120999999991</v>
      </c>
      <c r="CJ44" s="85">
        <v>17.457031220000005</v>
      </c>
      <c r="CK44" s="85">
        <v>24.763238060000003</v>
      </c>
      <c r="CL44" s="85">
        <v>25.268961700000006</v>
      </c>
      <c r="CM44" s="85">
        <v>28.200016359999978</v>
      </c>
      <c r="CN44" s="85">
        <v>25.228335819999973</v>
      </c>
      <c r="CO44" s="85">
        <v>28.419080189999971</v>
      </c>
      <c r="CP44" s="85">
        <v>29.52691669</v>
      </c>
      <c r="CQ44" s="185">
        <v>30.118639769999994</v>
      </c>
      <c r="CR44" s="88">
        <v>28.920432780000002</v>
      </c>
      <c r="CS44" s="88">
        <v>25.451422960000027</v>
      </c>
      <c r="CT44" s="88">
        <v>26.432809330000019</v>
      </c>
      <c r="CU44" s="88">
        <v>38.63765223000005</v>
      </c>
      <c r="CV44" s="88">
        <f t="shared" si="21"/>
        <v>328.42453711000002</v>
      </c>
      <c r="CW44" s="85">
        <f>324.785549+3.632048</f>
        <v>328.417597</v>
      </c>
      <c r="CX44" s="88">
        <v>16.929696649999997</v>
      </c>
      <c r="CY44" s="88">
        <v>25.972181479999978</v>
      </c>
      <c r="CZ44" s="88">
        <v>26.527854739999984</v>
      </c>
      <c r="DA44" s="88">
        <v>28.020648989999977</v>
      </c>
      <c r="DB44" s="88">
        <v>28.017525660000011</v>
      </c>
      <c r="DC44" s="88">
        <v>31.175087969999975</v>
      </c>
      <c r="DD44" s="88">
        <v>31.334205250000004</v>
      </c>
      <c r="DE44" s="88">
        <v>32.690403879999984</v>
      </c>
      <c r="DF44" s="88">
        <v>31.471317789999986</v>
      </c>
      <c r="DG44" s="88">
        <v>27.009733259999983</v>
      </c>
      <c r="DH44" s="88">
        <v>29.189726159999989</v>
      </c>
      <c r="DI44" s="88">
        <v>41.324788209999994</v>
      </c>
      <c r="DJ44" s="88">
        <f t="shared" si="22"/>
        <v>349.66317003999984</v>
      </c>
      <c r="DK44" s="85">
        <f>Valsts_Pamatbudžets!OC45+Valsts_Speciālais_Budžets!FE20</f>
        <v>349.66316899999993</v>
      </c>
      <c r="DL44" s="85">
        <v>20.894130190000006</v>
      </c>
      <c r="DM44" s="85">
        <v>27.767454409999992</v>
      </c>
      <c r="DN44" s="85">
        <v>26.687155459999996</v>
      </c>
      <c r="DO44" s="85">
        <v>29.883738670000003</v>
      </c>
      <c r="DP44" s="85">
        <v>30.558757580000041</v>
      </c>
      <c r="DQ44" s="85">
        <v>31.943961670000039</v>
      </c>
      <c r="DR44" s="85">
        <v>33.902965799999997</v>
      </c>
      <c r="DS44" s="85">
        <v>33.866294700000026</v>
      </c>
      <c r="DT44" s="85">
        <v>34.920630300000028</v>
      </c>
      <c r="DU44" s="85">
        <v>30.290927579999988</v>
      </c>
      <c r="DV44" s="85">
        <v>32.919693300000056</v>
      </c>
      <c r="DW44" s="85">
        <v>52.008924950000001</v>
      </c>
      <c r="DX44" s="88">
        <f t="shared" si="23"/>
        <v>385.6446346100002</v>
      </c>
      <c r="DY44" s="85">
        <f>Valsts_Pamatbudžets!PS45+Valsts_Speciālais_Budžets!FS20</f>
        <v>385.63613699999996</v>
      </c>
      <c r="DZ44" s="85">
        <v>20.654023000000002</v>
      </c>
      <c r="EA44" s="85">
        <v>31.775667700000021</v>
      </c>
      <c r="EB44" s="85">
        <v>32.750088760000011</v>
      </c>
      <c r="EC44" s="85">
        <v>34.009562290000027</v>
      </c>
      <c r="ED44" s="85">
        <v>35.479017949999999</v>
      </c>
      <c r="EE44" s="85">
        <v>39.155864140000027</v>
      </c>
      <c r="EF44" s="85">
        <v>38.882131850000036</v>
      </c>
      <c r="EG44" s="85">
        <v>40.407553050000061</v>
      </c>
      <c r="EH44" s="85">
        <v>39.217058320000007</v>
      </c>
      <c r="EI44" s="85">
        <v>37.408863409999967</v>
      </c>
      <c r="EJ44" s="85">
        <v>38.321290390000001</v>
      </c>
      <c r="EK44" s="85">
        <v>60.68616930999994</v>
      </c>
      <c r="EL44" s="88">
        <f t="shared" si="17"/>
        <v>448.74729017000004</v>
      </c>
      <c r="EM44" s="85">
        <f>Valsts_Pamatbudžets!RI45+Valsts_Speciālais_Budžets!GG20</f>
        <v>448.74728899999991</v>
      </c>
      <c r="EN44" s="85">
        <v>51.443337449999973</v>
      </c>
      <c r="EO44" s="85">
        <v>45.079115449999961</v>
      </c>
      <c r="EP44" s="85">
        <v>39.187201450000011</v>
      </c>
      <c r="EQ44" s="85">
        <v>40.018604499999995</v>
      </c>
      <c r="ER44" s="85">
        <v>41.111352680000032</v>
      </c>
      <c r="ES44" s="85">
        <v>43.873238659999977</v>
      </c>
      <c r="ET44" s="85">
        <v>45.091678630000004</v>
      </c>
      <c r="EU44" s="85">
        <v>47.323120589999974</v>
      </c>
      <c r="EV44" s="85">
        <v>43.207791029999974</v>
      </c>
      <c r="EW44" s="85">
        <v>40.792842290000017</v>
      </c>
      <c r="EX44" s="85">
        <v>41.478782589999994</v>
      </c>
      <c r="EY44" s="85">
        <v>61.636817709999988</v>
      </c>
      <c r="EZ44" s="88">
        <f t="shared" si="18"/>
        <v>540.24388302999978</v>
      </c>
      <c r="FA44" s="85">
        <f>Valsts_Pamatbudžets!SY45+Valsts_Speciālais_Budžets!GU20</f>
        <v>540.24388899999985</v>
      </c>
      <c r="FB44" s="85">
        <v>27.148089910000017</v>
      </c>
      <c r="FC44" s="85">
        <v>41.937106149999984</v>
      </c>
      <c r="FD44" s="85">
        <v>42.142462339999966</v>
      </c>
      <c r="FE44" s="85">
        <v>45.741267369999967</v>
      </c>
      <c r="FF44" s="85">
        <v>43.686410599999967</v>
      </c>
      <c r="FG44" s="85">
        <v>47.422322760000014</v>
      </c>
      <c r="FH44" s="85">
        <v>49.231924619999965</v>
      </c>
      <c r="FI44" s="85">
        <v>51.109511809999972</v>
      </c>
      <c r="FJ44" s="85">
        <v>47.760906640000016</v>
      </c>
      <c r="FK44" s="85">
        <v>46.052444080000072</v>
      </c>
      <c r="FL44" s="85">
        <v>43.381015380000001</v>
      </c>
      <c r="FM44" s="85">
        <v>71.094106539999999</v>
      </c>
      <c r="FN44" s="88">
        <f t="shared" si="11"/>
        <v>556.70756819999997</v>
      </c>
      <c r="FO44" s="85">
        <v>27.830315569999993</v>
      </c>
      <c r="FP44" s="85">
        <v>42.863983790000027</v>
      </c>
      <c r="FQ44" s="85">
        <v>42.82053286999998</v>
      </c>
      <c r="FR44" s="85">
        <v>46.984509610000053</v>
      </c>
      <c r="FS44" s="85"/>
      <c r="FT44" s="85"/>
      <c r="FU44" s="85"/>
      <c r="FV44" s="85"/>
      <c r="FW44" s="85"/>
      <c r="FX44" s="85"/>
      <c r="FY44" s="85"/>
      <c r="FZ44" s="85"/>
      <c r="GA44" s="307">
        <f t="shared" si="19"/>
        <v>156.96892600000001</v>
      </c>
      <c r="GB44" s="307">
        <f t="shared" si="20"/>
        <v>160.49934200000001</v>
      </c>
      <c r="GC44" s="308">
        <f t="shared" si="12"/>
        <v>3.5304160000000024</v>
      </c>
      <c r="GD44" s="308">
        <f t="shared" si="13"/>
        <v>2.2491177648753364</v>
      </c>
    </row>
    <row r="45" spans="1:186" s="12" customFormat="1" ht="20.5">
      <c r="A45" s="47" t="s">
        <v>127</v>
      </c>
      <c r="B45" s="13">
        <v>2000</v>
      </c>
      <c r="C45" s="47" t="s">
        <v>128</v>
      </c>
      <c r="D45" s="45">
        <v>40.02375241</v>
      </c>
      <c r="E45" s="50">
        <v>40.076191999999999</v>
      </c>
      <c r="F45" s="50">
        <v>38.475698369999996</v>
      </c>
      <c r="G45" s="50">
        <v>41.176874579999996</v>
      </c>
      <c r="H45" s="50">
        <v>40.346518689999996</v>
      </c>
      <c r="I45" s="50">
        <v>52.353042619999997</v>
      </c>
      <c r="J45" s="50">
        <v>44.464657929999866</v>
      </c>
      <c r="K45" s="50">
        <v>39.820918060000004</v>
      </c>
      <c r="L45" s="50">
        <v>38.471373560000089</v>
      </c>
      <c r="M45" s="50">
        <v>46.350501249999965</v>
      </c>
      <c r="N45" s="50">
        <v>45.654032530000045</v>
      </c>
      <c r="O45" s="50">
        <v>85.067071529999936</v>
      </c>
      <c r="P45" s="85">
        <f t="shared" si="7"/>
        <v>552.28063352999993</v>
      </c>
      <c r="Q45" s="85">
        <f>548.604329+3.649403</f>
        <v>552.25373200000001</v>
      </c>
      <c r="R45" s="50">
        <v>43.609054269999945</v>
      </c>
      <c r="S45" s="50">
        <v>46.430977970000015</v>
      </c>
      <c r="T45" s="50">
        <v>46.391005680000035</v>
      </c>
      <c r="U45" s="50">
        <v>42.372210809999892</v>
      </c>
      <c r="V45" s="50">
        <v>41.50768099000004</v>
      </c>
      <c r="W45" s="50">
        <v>56.12464601000012</v>
      </c>
      <c r="X45" s="50">
        <v>45.476725149999922</v>
      </c>
      <c r="Y45" s="50">
        <v>39.309248570000051</v>
      </c>
      <c r="Z45" s="50">
        <v>44.420921120000031</v>
      </c>
      <c r="AA45" s="50">
        <v>41.096565500000196</v>
      </c>
      <c r="AB45" s="50">
        <v>41.736687470000021</v>
      </c>
      <c r="AC45" s="50">
        <v>96.696723410000288</v>
      </c>
      <c r="AD45" s="85">
        <f t="shared" si="8"/>
        <v>585.17244695000045</v>
      </c>
      <c r="AE45" s="85">
        <f>581.686007+3.47885</f>
        <v>585.16485699999998</v>
      </c>
      <c r="AF45" s="85">
        <v>39.636811099999939</v>
      </c>
      <c r="AG45" s="85">
        <v>42.533067990000013</v>
      </c>
      <c r="AH45" s="85">
        <v>49.546869760000035</v>
      </c>
      <c r="AI45" s="85">
        <v>41.592680660000013</v>
      </c>
      <c r="AJ45" s="85">
        <v>40.52742302000005</v>
      </c>
      <c r="AK45" s="85">
        <v>48.078230789999985</v>
      </c>
      <c r="AL45" s="85">
        <v>47.594800030000009</v>
      </c>
      <c r="AM45" s="85">
        <v>43.664215090000113</v>
      </c>
      <c r="AN45" s="85">
        <v>42.42527273999994</v>
      </c>
      <c r="AO45" s="85">
        <v>57.115663629999958</v>
      </c>
      <c r="AP45" s="85">
        <v>57.47845152999993</v>
      </c>
      <c r="AQ45" s="85">
        <v>92.938445520000144</v>
      </c>
      <c r="AR45" s="85">
        <f t="shared" si="9"/>
        <v>603.13193186000012</v>
      </c>
      <c r="AS45" s="85">
        <f>599.409712+3.354598</f>
        <v>602.76431000000002</v>
      </c>
      <c r="AT45" s="85">
        <v>50.027254340000027</v>
      </c>
      <c r="AU45" s="85">
        <v>50.320802789999917</v>
      </c>
      <c r="AV45" s="85">
        <v>43.687728470000025</v>
      </c>
      <c r="AW45" s="85">
        <v>57.22039714999994</v>
      </c>
      <c r="AX45" s="85">
        <v>46.025095840000006</v>
      </c>
      <c r="AY45" s="85">
        <v>48.859710359999987</v>
      </c>
      <c r="AZ45" s="85">
        <v>48.998723189999978</v>
      </c>
      <c r="BA45" s="85">
        <v>45.823656279999966</v>
      </c>
      <c r="BB45" s="85">
        <v>48.341422520000101</v>
      </c>
      <c r="BC45" s="85">
        <v>53.970631029999979</v>
      </c>
      <c r="BD45" s="85">
        <v>59.094418910000044</v>
      </c>
      <c r="BE45" s="85">
        <v>113.6319129200001</v>
      </c>
      <c r="BF45" s="85">
        <f t="shared" si="10"/>
        <v>666.00175380000007</v>
      </c>
      <c r="BG45" s="85">
        <f>662.719107+3.605603</f>
        <v>666.32470999999998</v>
      </c>
      <c r="BH45" s="85">
        <v>56.283710370000044</v>
      </c>
      <c r="BI45" s="85">
        <v>46.938391889999984</v>
      </c>
      <c r="BJ45" s="85">
        <v>49.768516070000111</v>
      </c>
      <c r="BK45" s="85">
        <v>56.133013760000104</v>
      </c>
      <c r="BL45" s="85">
        <v>58.659550309999979</v>
      </c>
      <c r="BM45" s="85">
        <v>67.974746070000009</v>
      </c>
      <c r="BN45" s="85">
        <v>61.919605110000184</v>
      </c>
      <c r="BO45" s="85">
        <v>52.725226670000083</v>
      </c>
      <c r="BP45" s="85">
        <v>65.152665960000022</v>
      </c>
      <c r="BQ45" s="85">
        <v>65.481771900000126</v>
      </c>
      <c r="BR45" s="85">
        <v>109.42227319000023</v>
      </c>
      <c r="BS45" s="85">
        <v>143.79801984000034</v>
      </c>
      <c r="BT45" s="88">
        <f t="shared" si="15"/>
        <v>834.25749114000109</v>
      </c>
      <c r="BU45" s="85">
        <f>830.508272+3.726052</f>
        <v>834.23432400000002</v>
      </c>
      <c r="BV45" s="85">
        <v>54.393290959999916</v>
      </c>
      <c r="BW45" s="85">
        <v>55.743233110000013</v>
      </c>
      <c r="BX45" s="85">
        <v>52.678451589999931</v>
      </c>
      <c r="BY45" s="85">
        <v>52.061520879999925</v>
      </c>
      <c r="BZ45" s="85">
        <v>55.888837029999962</v>
      </c>
      <c r="CA45" s="85">
        <v>53.705539690000009</v>
      </c>
      <c r="CB45" s="85">
        <v>57.21957035000014</v>
      </c>
      <c r="CC45" s="85">
        <v>57.757992800000054</v>
      </c>
      <c r="CD45" s="85">
        <v>51.205482169999989</v>
      </c>
      <c r="CE45" s="85">
        <v>70.907257610000158</v>
      </c>
      <c r="CF45" s="85">
        <v>79.613466639999984</v>
      </c>
      <c r="CG45" s="85">
        <v>132.9406141099997</v>
      </c>
      <c r="CH45" s="88">
        <f t="shared" si="16"/>
        <v>774.11525693999977</v>
      </c>
      <c r="CI45" s="85">
        <f>Valsts_Pamatbudžets!KW46+Valsts_Speciālais_Budžets!EC21</f>
        <v>773.42178899999999</v>
      </c>
      <c r="CJ45" s="85">
        <v>55.583882620000011</v>
      </c>
      <c r="CK45" s="85">
        <v>49.53476708000008</v>
      </c>
      <c r="CL45" s="85">
        <v>54.745921559999921</v>
      </c>
      <c r="CM45" s="85">
        <v>52.714906910000082</v>
      </c>
      <c r="CN45" s="85">
        <v>53.083495910000039</v>
      </c>
      <c r="CO45" s="85">
        <v>63.964592540000048</v>
      </c>
      <c r="CP45" s="85">
        <v>86.746922210000136</v>
      </c>
      <c r="CQ45" s="185">
        <v>56.246287299999892</v>
      </c>
      <c r="CR45" s="88">
        <v>57.029546730000035</v>
      </c>
      <c r="CS45" s="88">
        <v>68.005665970000095</v>
      </c>
      <c r="CT45" s="88">
        <v>68.709870469999871</v>
      </c>
      <c r="CU45" s="88">
        <v>137.14465828000024</v>
      </c>
      <c r="CV45" s="88">
        <f>CJ45+CK45+CL45+CM45+CN45+CO45+CP45+CQ45+CR45+CS45+CT45+CU45</f>
        <v>803.51051758000051</v>
      </c>
      <c r="CW45" s="85">
        <f>794.284728+3.811644</f>
        <v>798.09637199999997</v>
      </c>
      <c r="CX45" s="88">
        <v>45.841531069999931</v>
      </c>
      <c r="CY45" s="88">
        <v>52.520818859999977</v>
      </c>
      <c r="CZ45" s="88">
        <v>59.08789891000005</v>
      </c>
      <c r="DA45" s="88">
        <v>62.477942869999907</v>
      </c>
      <c r="DB45" s="88">
        <v>56.675821380000087</v>
      </c>
      <c r="DC45" s="88">
        <v>74.282469079999743</v>
      </c>
      <c r="DD45" s="88">
        <v>65.979070880000066</v>
      </c>
      <c r="DE45" s="88">
        <v>57.102232130000239</v>
      </c>
      <c r="DF45" s="88">
        <v>74.443923379999944</v>
      </c>
      <c r="DG45" s="88">
        <v>61.324022560000081</v>
      </c>
      <c r="DH45" s="88">
        <v>83.959935959999669</v>
      </c>
      <c r="DI45" s="88">
        <v>161.78702016999981</v>
      </c>
      <c r="DJ45" s="88">
        <f>CX45+CY45+CZ45+DA45+DB45+DC45+DD45+DE45+DF45+DG45+DH45+DI45</f>
        <v>855.48268724999946</v>
      </c>
      <c r="DK45" s="85">
        <f>Valsts_Pamatbudžets!OC46+Valsts_Speciālais_Budžets!FE21</f>
        <v>854.81157800000005</v>
      </c>
      <c r="DL45" s="85">
        <v>68.710390300000071</v>
      </c>
      <c r="DM45" s="85">
        <v>69.010532000000012</v>
      </c>
      <c r="DN45" s="85">
        <v>74.170507250000085</v>
      </c>
      <c r="DO45" s="85">
        <v>70.286921240000069</v>
      </c>
      <c r="DP45" s="85">
        <v>80.235537529999988</v>
      </c>
      <c r="DQ45" s="85">
        <v>75.621529479999964</v>
      </c>
      <c r="DR45" s="85">
        <v>75.688152550000055</v>
      </c>
      <c r="DS45" s="85">
        <v>67.689714940000044</v>
      </c>
      <c r="DT45" s="85">
        <v>267.6923366800001</v>
      </c>
      <c r="DU45" s="85">
        <v>305.08684795000084</v>
      </c>
      <c r="DV45" s="85">
        <v>85.32850308000009</v>
      </c>
      <c r="DW45" s="85">
        <v>208.87081667000004</v>
      </c>
      <c r="DX45" s="88">
        <f>DL45+DM45+DN45+DO45+DP45+DQ45+DR45+DS45+DT45+DU45+DV45+DW45</f>
        <v>1448.3917896700013</v>
      </c>
      <c r="DY45" s="85">
        <f>Valsts_Pamatbudžets!PS46+Valsts_Speciālais_Budžets!FS21</f>
        <v>1447.665311</v>
      </c>
      <c r="DZ45" s="85">
        <v>71.042850939999894</v>
      </c>
      <c r="EA45" s="85">
        <v>71.122622110000208</v>
      </c>
      <c r="EB45" s="85">
        <v>84.959641830000123</v>
      </c>
      <c r="EC45" s="85">
        <v>73.557866739999938</v>
      </c>
      <c r="ED45" s="85">
        <v>72.120725729999918</v>
      </c>
      <c r="EE45" s="85">
        <v>81.872837830000009</v>
      </c>
      <c r="EF45" s="85">
        <v>83.463104969999904</v>
      </c>
      <c r="EG45" s="85">
        <v>86.040237730000044</v>
      </c>
      <c r="EH45" s="85">
        <v>97.384258330000023</v>
      </c>
      <c r="EI45" s="85">
        <v>98.814357020000216</v>
      </c>
      <c r="EJ45" s="85">
        <v>91.727301250000167</v>
      </c>
      <c r="EK45" s="85">
        <v>418.45672002000003</v>
      </c>
      <c r="EL45" s="88">
        <f t="shared" si="17"/>
        <v>1330.5625245000006</v>
      </c>
      <c r="EM45" s="85">
        <f>Valsts_Pamatbudžets!RI46+Valsts_Speciālais_Budžets!GG21</f>
        <v>1329.692961</v>
      </c>
      <c r="EN45" s="85">
        <v>92.609823090000035</v>
      </c>
      <c r="EO45" s="85">
        <v>74.594244550000028</v>
      </c>
      <c r="EP45" s="85">
        <v>65.835331040000057</v>
      </c>
      <c r="EQ45" s="85">
        <v>73.997205769999951</v>
      </c>
      <c r="ER45" s="85">
        <v>77.416721080000102</v>
      </c>
      <c r="ES45" s="85">
        <v>91.060693719999989</v>
      </c>
      <c r="ET45" s="85">
        <v>80.608415710000287</v>
      </c>
      <c r="EU45" s="85">
        <v>76.143782209999969</v>
      </c>
      <c r="EV45" s="85">
        <v>93.492093750000052</v>
      </c>
      <c r="EW45" s="85">
        <v>97.037439520000035</v>
      </c>
      <c r="EX45" s="85">
        <v>126.04073685</v>
      </c>
      <c r="EY45" s="85">
        <v>249.41541022000064</v>
      </c>
      <c r="EZ45" s="88">
        <f t="shared" si="18"/>
        <v>1198.2518975100011</v>
      </c>
      <c r="FA45" s="85">
        <f>Valsts_Pamatbudžets!SY46+Valsts_Speciālais_Budžets!GU21</f>
        <v>1197.6973290000001</v>
      </c>
      <c r="FB45" s="85">
        <v>75.639545130000073</v>
      </c>
      <c r="FC45" s="85">
        <v>197.3024440199998</v>
      </c>
      <c r="FD45" s="85">
        <v>87.242097279999882</v>
      </c>
      <c r="FE45" s="85">
        <v>73.517667149999994</v>
      </c>
      <c r="FF45" s="85">
        <v>81.415109150000177</v>
      </c>
      <c r="FG45" s="85">
        <v>102.25800494999986</v>
      </c>
      <c r="FH45" s="85">
        <v>97.001097419999951</v>
      </c>
      <c r="FI45" s="85">
        <v>77.358025329999805</v>
      </c>
      <c r="FJ45" s="85">
        <v>107.8010950999998</v>
      </c>
      <c r="FK45" s="85">
        <v>91.065185689999822</v>
      </c>
      <c r="FL45" s="85">
        <v>108.95801200999983</v>
      </c>
      <c r="FM45" s="85">
        <v>247.48260849000022</v>
      </c>
      <c r="FN45" s="88">
        <f t="shared" si="11"/>
        <v>1347.0408917199991</v>
      </c>
      <c r="FO45" s="85">
        <v>77.671150590000082</v>
      </c>
      <c r="FP45" s="85">
        <v>79.913511170000078</v>
      </c>
      <c r="FQ45" s="85">
        <v>100.96672478000015</v>
      </c>
      <c r="FR45" s="85">
        <v>88.754975290000004</v>
      </c>
      <c r="FS45" s="85"/>
      <c r="FT45" s="85"/>
      <c r="FU45" s="85"/>
      <c r="FV45" s="85"/>
      <c r="FW45" s="85"/>
      <c r="FX45" s="85"/>
      <c r="FY45" s="85"/>
      <c r="FZ45" s="85"/>
      <c r="GA45" s="307">
        <f t="shared" si="19"/>
        <v>433.70175399999999</v>
      </c>
      <c r="GB45" s="307">
        <f t="shared" si="20"/>
        <v>347.30636199999998</v>
      </c>
      <c r="GC45" s="308">
        <f t="shared" si="12"/>
        <v>-86.395392000000015</v>
      </c>
      <c r="GD45" s="308">
        <f t="shared" si="13"/>
        <v>-19.920461746622323</v>
      </c>
    </row>
    <row r="46" spans="1:186" s="12" customFormat="1" ht="20.5">
      <c r="A46" s="46" t="s">
        <v>129</v>
      </c>
      <c r="B46" s="13" t="s">
        <v>130</v>
      </c>
      <c r="C46" s="46" t="s">
        <v>131</v>
      </c>
      <c r="D46" s="45">
        <v>58.704663320000002</v>
      </c>
      <c r="E46" s="50">
        <v>27.100311999999999</v>
      </c>
      <c r="F46" s="50">
        <v>56.583442650000002</v>
      </c>
      <c r="G46" s="50">
        <v>46.194176179999999</v>
      </c>
      <c r="H46" s="50">
        <v>4.4667239000000007</v>
      </c>
      <c r="I46" s="50">
        <v>9.9225645199999999</v>
      </c>
      <c r="J46" s="50">
        <v>21.619613659999999</v>
      </c>
      <c r="K46" s="50">
        <v>21.78771102</v>
      </c>
      <c r="L46" s="50">
        <v>5.1286546299999989</v>
      </c>
      <c r="M46" s="50">
        <v>19.399719430000001</v>
      </c>
      <c r="N46" s="50">
        <v>11.714536540000001</v>
      </c>
      <c r="O46" s="50">
        <v>17.641718740000002</v>
      </c>
      <c r="P46" s="85">
        <f t="shared" si="7"/>
        <v>300.26383658999998</v>
      </c>
      <c r="Q46" s="85">
        <v>300.26383700000002</v>
      </c>
      <c r="R46" s="50">
        <v>86.658232269999999</v>
      </c>
      <c r="S46" s="50">
        <v>28.959982960000001</v>
      </c>
      <c r="T46" s="50">
        <v>25.273879139999998</v>
      </c>
      <c r="U46" s="50">
        <v>53.933570550000006</v>
      </c>
      <c r="V46" s="50">
        <v>3.9273286299999999</v>
      </c>
      <c r="W46" s="50">
        <v>11.80410644</v>
      </c>
      <c r="X46" s="50">
        <v>23.994676490000003</v>
      </c>
      <c r="Y46" s="50">
        <v>24.62562681</v>
      </c>
      <c r="Z46" s="50">
        <v>4.9601224300000002</v>
      </c>
      <c r="AA46" s="50">
        <v>20.110437759999996</v>
      </c>
      <c r="AB46" s="50">
        <v>11.73161313</v>
      </c>
      <c r="AC46" s="50">
        <v>89.167021439999999</v>
      </c>
      <c r="AD46" s="85">
        <f t="shared" si="8"/>
        <v>385.14659805000008</v>
      </c>
      <c r="AE46" s="85">
        <f>385.146597</f>
        <v>385.14659699999999</v>
      </c>
      <c r="AF46" s="85">
        <v>43.103413780000004</v>
      </c>
      <c r="AG46" s="85">
        <v>29.527281939999998</v>
      </c>
      <c r="AH46" s="85">
        <v>25.17334237</v>
      </c>
      <c r="AI46" s="85">
        <v>25.165684640000006</v>
      </c>
      <c r="AJ46" s="85">
        <v>32.11428986</v>
      </c>
      <c r="AK46" s="85">
        <v>10.13609888</v>
      </c>
      <c r="AL46" s="85">
        <v>16.37698142</v>
      </c>
      <c r="AM46" s="85">
        <v>24.349924790000003</v>
      </c>
      <c r="AN46" s="85">
        <v>6.9236996799999995</v>
      </c>
      <c r="AO46" s="85">
        <v>20.460566750000002</v>
      </c>
      <c r="AP46" s="85">
        <v>11.52415349</v>
      </c>
      <c r="AQ46" s="85">
        <v>16.420406079999999</v>
      </c>
      <c r="AR46" s="85">
        <f t="shared" si="9"/>
        <v>261.27584367999998</v>
      </c>
      <c r="AS46" s="85">
        <v>261.27584400000001</v>
      </c>
      <c r="AT46" s="85">
        <v>40.709623999999998</v>
      </c>
      <c r="AU46" s="85">
        <v>36.53873755</v>
      </c>
      <c r="AV46" s="85">
        <v>29.440889410000004</v>
      </c>
      <c r="AW46" s="85">
        <v>25.902583669999999</v>
      </c>
      <c r="AX46" s="85">
        <v>42.444636789999997</v>
      </c>
      <c r="AY46" s="85">
        <v>10.353911260000002</v>
      </c>
      <c r="AZ46" s="85">
        <v>11.003590059999999</v>
      </c>
      <c r="BA46" s="85">
        <v>1.4814033100000001</v>
      </c>
      <c r="BB46" s="85">
        <v>7.0000281700000002</v>
      </c>
      <c r="BC46" s="85">
        <v>23.883085010000002</v>
      </c>
      <c r="BD46" s="85">
        <v>11.356115580000001</v>
      </c>
      <c r="BE46" s="85">
        <v>15.689110970000002</v>
      </c>
      <c r="BF46" s="85">
        <f t="shared" si="10"/>
        <v>255.80371577999998</v>
      </c>
      <c r="BG46" s="85">
        <v>255.80371600000001</v>
      </c>
      <c r="BH46" s="85">
        <v>38.517432769999999</v>
      </c>
      <c r="BI46" s="85">
        <v>17.423207190000003</v>
      </c>
      <c r="BJ46" s="85">
        <v>27.246666899999997</v>
      </c>
      <c r="BK46" s="85">
        <v>54.020054969999997</v>
      </c>
      <c r="BL46" s="85">
        <v>14.520364980000002</v>
      </c>
      <c r="BM46" s="85">
        <v>10.166817400000001</v>
      </c>
      <c r="BN46" s="85">
        <v>9.9649470000000004</v>
      </c>
      <c r="BO46" s="85">
        <v>2.2772843200000001</v>
      </c>
      <c r="BP46" s="85">
        <v>7.1247050200000004</v>
      </c>
      <c r="BQ46" s="85">
        <v>23.819136290000003</v>
      </c>
      <c r="BR46" s="85">
        <v>11.528739219999999</v>
      </c>
      <c r="BS46" s="85">
        <v>16.260627490000001</v>
      </c>
      <c r="BT46" s="88">
        <f t="shared" si="15"/>
        <v>232.86998355</v>
      </c>
      <c r="BU46" s="85">
        <v>232.86998399999999</v>
      </c>
      <c r="BV46" s="85">
        <v>36.17024984999999</v>
      </c>
      <c r="BW46" s="85">
        <v>29.351477370000001</v>
      </c>
      <c r="BX46" s="85">
        <v>3.5126007800000001</v>
      </c>
      <c r="BY46" s="85">
        <v>54.307025100000004</v>
      </c>
      <c r="BZ46" s="85">
        <v>22.075605439999993</v>
      </c>
      <c r="CA46" s="85">
        <v>10.44929052</v>
      </c>
      <c r="CB46" s="85">
        <v>9.5242951300000005</v>
      </c>
      <c r="CC46" s="85">
        <v>1.0384090100000001</v>
      </c>
      <c r="CD46" s="85">
        <v>7.5399079999999987</v>
      </c>
      <c r="CE46" s="85">
        <v>20.871897359999998</v>
      </c>
      <c r="CF46" s="85">
        <v>11.816741540000001</v>
      </c>
      <c r="CG46" s="85">
        <v>16.368020469999998</v>
      </c>
      <c r="CH46" s="88">
        <f t="shared" si="16"/>
        <v>223.02552057000003</v>
      </c>
      <c r="CI46" s="85">
        <f>Valsts_Pamatbudžets!KW47+Valsts_Speciālais_Budžets!EC22</f>
        <v>223.02552</v>
      </c>
      <c r="CJ46" s="85">
        <v>42.640369719999995</v>
      </c>
      <c r="CK46" s="85">
        <v>48.264721840000007</v>
      </c>
      <c r="CL46" s="85">
        <v>3.5968802499999999</v>
      </c>
      <c r="CM46" s="85">
        <v>36.578603439999995</v>
      </c>
      <c r="CN46" s="85">
        <v>16.46083458</v>
      </c>
      <c r="CO46" s="85">
        <v>17.842776000000001</v>
      </c>
      <c r="CP46" s="85">
        <v>1.57406629</v>
      </c>
      <c r="CQ46" s="185">
        <v>8.3634950000000013E-2</v>
      </c>
      <c r="CR46" s="88">
        <v>9.1918729299999988</v>
      </c>
      <c r="CS46" s="88">
        <v>21.962553019999998</v>
      </c>
      <c r="CT46" s="88">
        <v>10.197389259999998</v>
      </c>
      <c r="CU46" s="88">
        <v>16.880703539999999</v>
      </c>
      <c r="CV46" s="88">
        <f t="shared" si="21"/>
        <v>225.27440581999997</v>
      </c>
      <c r="CW46" s="85">
        <f>Valsts_Pamatbudžets!MM47</f>
        <v>225.274406</v>
      </c>
      <c r="CX46" s="88">
        <v>40.214358820000001</v>
      </c>
      <c r="CY46" s="88">
        <v>47.971966860000002</v>
      </c>
      <c r="CZ46" s="88">
        <v>3.72179729</v>
      </c>
      <c r="DA46" s="88">
        <v>39.032623350000001</v>
      </c>
      <c r="DB46" s="88">
        <v>20.97958083</v>
      </c>
      <c r="DC46" s="88">
        <v>15.797455150000001</v>
      </c>
      <c r="DD46" s="88">
        <v>0.75938311000000003</v>
      </c>
      <c r="DE46" s="88">
        <v>0.10992785000000001</v>
      </c>
      <c r="DF46" s="88">
        <v>9.3240285000000007</v>
      </c>
      <c r="DG46" s="88">
        <v>23.56312475</v>
      </c>
      <c r="DH46" s="88">
        <v>14.40398656</v>
      </c>
      <c r="DI46" s="88">
        <v>5.0350933600000003</v>
      </c>
      <c r="DJ46" s="88">
        <f t="shared" si="22"/>
        <v>220.91332642999998</v>
      </c>
      <c r="DK46" s="85">
        <f>Valsts_Pamatbudžets!OC47</f>
        <v>220.91163299999999</v>
      </c>
      <c r="DL46" s="85">
        <v>0.81408961000000002</v>
      </c>
      <c r="DM46" s="85">
        <v>43.528431010000006</v>
      </c>
      <c r="DN46" s="85">
        <v>4.5502851900000003</v>
      </c>
      <c r="DO46" s="85">
        <v>4.2079119699999996</v>
      </c>
      <c r="DP46" s="85">
        <v>56.611489639999995</v>
      </c>
      <c r="DQ46" s="85">
        <v>1.2658878699999998</v>
      </c>
      <c r="DR46" s="85">
        <v>1.2325750499999999</v>
      </c>
      <c r="DS46" s="85">
        <v>2.3129101199999997</v>
      </c>
      <c r="DT46" s="85">
        <v>15.24607999</v>
      </c>
      <c r="DU46" s="85">
        <v>18.473093519999999</v>
      </c>
      <c r="DV46" s="85">
        <v>10.786571399999998</v>
      </c>
      <c r="DW46" s="85">
        <v>5.7984635700000009</v>
      </c>
      <c r="DX46" s="88">
        <f t="shared" si="23"/>
        <v>164.82778893999998</v>
      </c>
      <c r="DY46" s="85">
        <f>Valsts_Pamatbudžets!PS47</f>
        <v>164.826266</v>
      </c>
      <c r="DZ46" s="85">
        <v>1.77754817</v>
      </c>
      <c r="EA46" s="85">
        <v>45.328847689999996</v>
      </c>
      <c r="EB46" s="85">
        <v>16.852384500000003</v>
      </c>
      <c r="EC46" s="85">
        <v>9.3187071299999999</v>
      </c>
      <c r="ED46" s="85">
        <v>67.166256709999999</v>
      </c>
      <c r="EE46" s="85">
        <v>0.39611251000000003</v>
      </c>
      <c r="EF46" s="85">
        <v>0.16963953000000001</v>
      </c>
      <c r="EG46" s="85">
        <v>5.4384423500000008</v>
      </c>
      <c r="EH46" s="85">
        <v>15.714095690000001</v>
      </c>
      <c r="EI46" s="85">
        <v>13.786926300000001</v>
      </c>
      <c r="EJ46" s="85">
        <v>18.980799920000003</v>
      </c>
      <c r="EK46" s="85">
        <v>0.87182040999999999</v>
      </c>
      <c r="EL46" s="88">
        <f t="shared" si="17"/>
        <v>195.80158091000001</v>
      </c>
      <c r="EM46" s="85">
        <f>Valsts_Pamatbudžets!RI47</f>
        <v>195.77479299999999</v>
      </c>
      <c r="EN46" s="85">
        <v>40.942956989999999</v>
      </c>
      <c r="EO46" s="85">
        <v>47.301288059999997</v>
      </c>
      <c r="EP46" s="85">
        <v>46.864213849999999</v>
      </c>
      <c r="EQ46" s="85">
        <v>46.617222009999992</v>
      </c>
      <c r="ER46" s="85">
        <v>50.119262899999995</v>
      </c>
      <c r="ES46" s="85">
        <v>13.594886459999998</v>
      </c>
      <c r="ET46" s="85">
        <v>38.75542849</v>
      </c>
      <c r="EU46" s="85">
        <v>6.8545357899999999</v>
      </c>
      <c r="EV46" s="85">
        <v>16.600176829999999</v>
      </c>
      <c r="EW46" s="85">
        <v>15.02494182</v>
      </c>
      <c r="EX46" s="85">
        <v>17.472334310000001</v>
      </c>
      <c r="EY46" s="85">
        <v>8.3229257200000006</v>
      </c>
      <c r="EZ46" s="88">
        <f t="shared" si="18"/>
        <v>348.47017323</v>
      </c>
      <c r="FA46" s="85">
        <f>Valsts_Pamatbudžets!SY47</f>
        <v>348.37397399999998</v>
      </c>
      <c r="FB46" s="85">
        <v>105.33951731000002</v>
      </c>
      <c r="FC46" s="85">
        <v>46.379284000000006</v>
      </c>
      <c r="FD46" s="85">
        <v>62.527129140000007</v>
      </c>
      <c r="FE46" s="85">
        <v>1.4611867000000001</v>
      </c>
      <c r="FF46" s="85">
        <v>75.256690910000003</v>
      </c>
      <c r="FG46" s="85">
        <v>13.83471069</v>
      </c>
      <c r="FH46" s="85">
        <v>65.673902460000008</v>
      </c>
      <c r="FI46" s="85">
        <v>5.8738185700000001</v>
      </c>
      <c r="FJ46" s="85">
        <v>20.859803589999999</v>
      </c>
      <c r="FK46" s="85">
        <v>14.594956660000001</v>
      </c>
      <c r="FL46" s="85">
        <v>9.1882145200000007</v>
      </c>
      <c r="FM46" s="85">
        <v>51.689644659999999</v>
      </c>
      <c r="FN46" s="88">
        <f t="shared" si="11"/>
        <v>472.67885921000004</v>
      </c>
      <c r="FO46" s="85">
        <v>123.98681594999999</v>
      </c>
      <c r="FP46" s="85">
        <v>45.551922929999996</v>
      </c>
      <c r="FQ46" s="85">
        <v>59.217580609999999</v>
      </c>
      <c r="FR46" s="85">
        <v>0.97116715000000009</v>
      </c>
      <c r="FS46" s="85"/>
      <c r="FT46" s="85"/>
      <c r="FU46" s="85"/>
      <c r="FV46" s="85"/>
      <c r="FW46" s="85"/>
      <c r="FX46" s="85"/>
      <c r="FY46" s="85"/>
      <c r="FZ46" s="85"/>
      <c r="GA46" s="307">
        <f t="shared" si="19"/>
        <v>215.70711700000001</v>
      </c>
      <c r="GB46" s="307">
        <f t="shared" si="20"/>
        <v>229.727487</v>
      </c>
      <c r="GC46" s="308">
        <f t="shared" si="12"/>
        <v>14.020369999999986</v>
      </c>
      <c r="GD46" s="308">
        <f t="shared" si="13"/>
        <v>6.4997252733204789</v>
      </c>
    </row>
    <row r="47" spans="1:186" s="12" customFormat="1" ht="20.5">
      <c r="A47" s="46" t="s">
        <v>132</v>
      </c>
      <c r="B47" s="13">
        <v>3000</v>
      </c>
      <c r="C47" s="46" t="s">
        <v>133</v>
      </c>
      <c r="D47" s="45">
        <f>D48+D49+D50+D51</f>
        <v>89.863525999999993</v>
      </c>
      <c r="E47" s="50">
        <f>E48+E49+E50+E51</f>
        <v>153.87995099999998</v>
      </c>
      <c r="F47" s="50">
        <f t="shared" ref="F47:M47" si="31">F48+F49+F50+F51</f>
        <v>114.945955</v>
      </c>
      <c r="G47" s="50">
        <f t="shared" si="31"/>
        <v>134.61707799999999</v>
      </c>
      <c r="H47" s="50">
        <f t="shared" si="31"/>
        <v>118.165688</v>
      </c>
      <c r="I47" s="50">
        <f t="shared" si="31"/>
        <v>108.57388599999999</v>
      </c>
      <c r="J47" s="50">
        <f t="shared" si="31"/>
        <v>130.88766831000004</v>
      </c>
      <c r="K47" s="50">
        <f t="shared" si="31"/>
        <v>113.91275399999999</v>
      </c>
      <c r="L47" s="50">
        <f t="shared" si="31"/>
        <v>117.52323535999994</v>
      </c>
      <c r="M47" s="50">
        <f t="shared" si="31"/>
        <v>161.02912182</v>
      </c>
      <c r="N47" s="50">
        <f>N48+N49+N50+N51</f>
        <v>200.63237071999998</v>
      </c>
      <c r="O47" s="50">
        <f>O48+O49+O50+O51</f>
        <v>342.13394119999998</v>
      </c>
      <c r="P47" s="85">
        <f t="shared" si="7"/>
        <v>1786.1651754099998</v>
      </c>
      <c r="Q47" s="85">
        <f>Q48+Q49+Q50+Q51</f>
        <v>1787.448711</v>
      </c>
      <c r="R47" s="50">
        <f>R48+R49+R50+R51</f>
        <v>105.45554024999998</v>
      </c>
      <c r="S47" s="50">
        <v>141.72920410999998</v>
      </c>
      <c r="T47" s="50">
        <v>135.58968465000004</v>
      </c>
      <c r="U47" s="50">
        <v>137.71557077000003</v>
      </c>
      <c r="V47" s="50">
        <v>101.49315515999994</v>
      </c>
      <c r="W47" s="50">
        <v>128.87997522999999</v>
      </c>
      <c r="X47" s="50">
        <v>134.97899105000008</v>
      </c>
      <c r="Y47" s="50">
        <v>125.65887728000001</v>
      </c>
      <c r="Z47" s="50">
        <v>122.82646107000002</v>
      </c>
      <c r="AA47" s="50">
        <v>114.21577036000004</v>
      </c>
      <c r="AB47" s="50">
        <v>152.88141450000001</v>
      </c>
      <c r="AC47" s="50">
        <v>245.78178226999995</v>
      </c>
      <c r="AD47" s="85">
        <f t="shared" si="8"/>
        <v>1647.2064267000001</v>
      </c>
      <c r="AE47" s="85">
        <f>AE48+AE49+AE50+AE51</f>
        <v>1647.2064328400002</v>
      </c>
      <c r="AF47" s="85">
        <v>133.59786368999997</v>
      </c>
      <c r="AG47" s="85">
        <v>169.70240986000005</v>
      </c>
      <c r="AH47" s="85">
        <v>172.07674239000002</v>
      </c>
      <c r="AI47" s="85">
        <v>206.13720805000003</v>
      </c>
      <c r="AJ47" s="85">
        <v>91.951220650000025</v>
      </c>
      <c r="AK47" s="85">
        <v>103.59961127000001</v>
      </c>
      <c r="AL47" s="85">
        <v>119.13883471000003</v>
      </c>
      <c r="AM47" s="85">
        <v>90.29846799000002</v>
      </c>
      <c r="AN47" s="85">
        <v>90.108362989999975</v>
      </c>
      <c r="AO47" s="85">
        <v>169.96871364000003</v>
      </c>
      <c r="AP47" s="85">
        <v>161.70962956000005</v>
      </c>
      <c r="AQ47" s="85">
        <v>238.02080002000002</v>
      </c>
      <c r="AR47" s="85">
        <f t="shared" si="9"/>
        <v>1746.3098648200003</v>
      </c>
      <c r="AS47" s="85">
        <f>AS48+AS49+AS50+AS51</f>
        <v>1746.3101449999999</v>
      </c>
      <c r="AT47" s="85">
        <v>118.46657041</v>
      </c>
      <c r="AU47" s="85">
        <v>144.0589506099999</v>
      </c>
      <c r="AV47" s="85">
        <v>117.67115263999993</v>
      </c>
      <c r="AW47" s="85">
        <v>104.40570765999999</v>
      </c>
      <c r="AX47" s="85">
        <v>107.83525836000005</v>
      </c>
      <c r="AY47" s="85">
        <v>161.43247678</v>
      </c>
      <c r="AZ47" s="85">
        <v>100.45953788999998</v>
      </c>
      <c r="BA47" s="85">
        <v>101.94184262999995</v>
      </c>
      <c r="BB47" s="85">
        <v>102.34144296000001</v>
      </c>
      <c r="BC47" s="85">
        <v>207.84901611999999</v>
      </c>
      <c r="BD47" s="85">
        <v>180.45050660000001</v>
      </c>
      <c r="BE47" s="85">
        <v>288.31775106999999</v>
      </c>
      <c r="BF47" s="85">
        <f t="shared" si="10"/>
        <v>1735.2302137299998</v>
      </c>
      <c r="BG47" s="85">
        <f>BG48+BG49+BG50+BG51</f>
        <v>1737.4362250000001</v>
      </c>
      <c r="BH47" s="85">
        <v>126.06741278999999</v>
      </c>
      <c r="BI47" s="85">
        <v>134.04094975000001</v>
      </c>
      <c r="BJ47" s="85">
        <v>128.25697316999998</v>
      </c>
      <c r="BK47" s="85">
        <v>195.25955900999992</v>
      </c>
      <c r="BL47" s="85">
        <v>121.07475296</v>
      </c>
      <c r="BM47" s="85">
        <v>141.35670590999999</v>
      </c>
      <c r="BN47" s="85">
        <v>134.09748945000001</v>
      </c>
      <c r="BO47" s="85">
        <v>159.23836101000003</v>
      </c>
      <c r="BP47" s="85">
        <v>122.29497181000002</v>
      </c>
      <c r="BQ47" s="85">
        <v>274.90022920000007</v>
      </c>
      <c r="BR47" s="85">
        <v>182.46272317999995</v>
      </c>
      <c r="BS47" s="85">
        <v>347.72362565000014</v>
      </c>
      <c r="BT47" s="88">
        <f t="shared" si="15"/>
        <v>2066.7737538900001</v>
      </c>
      <c r="BU47" s="85">
        <f>BU48+BU49+BU50+BU51</f>
        <v>2066.7585130000002</v>
      </c>
      <c r="BV47" s="85">
        <v>134.97092158000001</v>
      </c>
      <c r="BW47" s="85">
        <v>150.28307220999997</v>
      </c>
      <c r="BX47" s="85">
        <v>134.88098219999998</v>
      </c>
      <c r="BY47" s="85">
        <v>150.45352137</v>
      </c>
      <c r="BZ47" s="85">
        <v>137.30068849</v>
      </c>
      <c r="CA47" s="85">
        <v>129.58020160000004</v>
      </c>
      <c r="CB47" s="85">
        <v>170.14531826000007</v>
      </c>
      <c r="CC47" s="85">
        <v>141.10703818000002</v>
      </c>
      <c r="CD47" s="85">
        <v>130.64969705999999</v>
      </c>
      <c r="CE47" s="85">
        <v>251.58691426999999</v>
      </c>
      <c r="CF47" s="85">
        <v>187.41939500999996</v>
      </c>
      <c r="CG47" s="85">
        <v>398.02917314000013</v>
      </c>
      <c r="CH47" s="88">
        <f t="shared" si="16"/>
        <v>2116.4069233700002</v>
      </c>
      <c r="CI47" s="85">
        <f>CI48+CI49+CI50+CI51</f>
        <v>2116.4069250000002</v>
      </c>
      <c r="CJ47" s="85">
        <v>146.20165539999996</v>
      </c>
      <c r="CK47" s="85">
        <v>166.23927598000003</v>
      </c>
      <c r="CL47" s="85">
        <v>188.17737634999997</v>
      </c>
      <c r="CM47" s="85">
        <v>283.65014722000006</v>
      </c>
      <c r="CN47" s="85">
        <v>113.91306284999993</v>
      </c>
      <c r="CO47" s="85">
        <v>142.97967889999995</v>
      </c>
      <c r="CP47" s="85">
        <v>160.95235593999999</v>
      </c>
      <c r="CQ47" s="185">
        <v>247.33305191999989</v>
      </c>
      <c r="CR47" s="88">
        <v>172.86997689999998</v>
      </c>
      <c r="CS47" s="88">
        <v>288.70824695000005</v>
      </c>
      <c r="CT47" s="88">
        <v>165.27703204000002</v>
      </c>
      <c r="CU47" s="88">
        <v>459.24723096000008</v>
      </c>
      <c r="CV47" s="88">
        <f t="shared" si="21"/>
        <v>2535.5490914100001</v>
      </c>
      <c r="CW47" s="85">
        <f>CW48+CW49+CW50+CW51</f>
        <v>2535.5786679999997</v>
      </c>
      <c r="CX47" s="88">
        <v>134.86169048999994</v>
      </c>
      <c r="CY47" s="88">
        <v>231.96840586999994</v>
      </c>
      <c r="CZ47" s="88">
        <v>209.66039629000008</v>
      </c>
      <c r="DA47" s="88">
        <v>217.82415866000005</v>
      </c>
      <c r="DB47" s="88">
        <v>197.46247381000001</v>
      </c>
      <c r="DC47" s="88">
        <v>206.14171650000003</v>
      </c>
      <c r="DD47" s="88">
        <v>204.23455484000002</v>
      </c>
      <c r="DE47" s="88">
        <v>198.70033294999999</v>
      </c>
      <c r="DF47" s="88">
        <v>225.94464344000005</v>
      </c>
      <c r="DG47" s="88">
        <v>320.90036195999994</v>
      </c>
      <c r="DH47" s="88">
        <v>214.12887195000005</v>
      </c>
      <c r="DI47" s="88">
        <v>1048.9268411300002</v>
      </c>
      <c r="DJ47" s="88">
        <f t="shared" si="22"/>
        <v>3410.7544478899999</v>
      </c>
      <c r="DK47" s="85">
        <f>DK48+DK49+DK50+DK51</f>
        <v>3401.8399979999999</v>
      </c>
      <c r="DL47" s="85">
        <v>240.14923273000005</v>
      </c>
      <c r="DM47" s="85">
        <v>258.29404482000001</v>
      </c>
      <c r="DN47" s="85">
        <v>310.17403509000002</v>
      </c>
      <c r="DO47" s="85">
        <v>284.88028853000009</v>
      </c>
      <c r="DP47" s="85">
        <v>291.47501974999983</v>
      </c>
      <c r="DQ47" s="85">
        <v>261.23924817000028</v>
      </c>
      <c r="DR47" s="85">
        <v>208.65553136999986</v>
      </c>
      <c r="DS47" s="85">
        <v>212.96265226999998</v>
      </c>
      <c r="DT47" s="85">
        <v>220.49293833999988</v>
      </c>
      <c r="DU47" s="85">
        <v>337.74221859000005</v>
      </c>
      <c r="DV47" s="85">
        <v>251.22869103999997</v>
      </c>
      <c r="DW47" s="85">
        <v>721.35377900000003</v>
      </c>
      <c r="DX47" s="88">
        <f t="shared" si="23"/>
        <v>3598.6476797</v>
      </c>
      <c r="DY47" s="85">
        <f>DY48+DY49+DY50+DY51</f>
        <v>3594.409541</v>
      </c>
      <c r="DZ47" s="85">
        <v>201.87244082000015</v>
      </c>
      <c r="EA47" s="85">
        <v>423.58076650999999</v>
      </c>
      <c r="EB47" s="85">
        <v>343.82289350000002</v>
      </c>
      <c r="EC47" s="85">
        <v>294.85892145999992</v>
      </c>
      <c r="ED47" s="85">
        <v>263.59943043999999</v>
      </c>
      <c r="EE47" s="85">
        <v>250.33718143000004</v>
      </c>
      <c r="EF47" s="85">
        <v>253.90489989</v>
      </c>
      <c r="EG47" s="85">
        <v>243.97920503999998</v>
      </c>
      <c r="EH47" s="85">
        <v>241.46814390999998</v>
      </c>
      <c r="EI47" s="85">
        <v>285.33246097000006</v>
      </c>
      <c r="EJ47" s="85">
        <v>339.08767627000009</v>
      </c>
      <c r="EK47" s="85">
        <v>627.20634036999979</v>
      </c>
      <c r="EL47" s="88">
        <f t="shared" si="17"/>
        <v>3769.0503606100006</v>
      </c>
      <c r="EM47" s="85">
        <f>EM48+EM49+EM50+EM51</f>
        <v>3766.8573329999999</v>
      </c>
      <c r="EN47" s="85">
        <v>300.01209310999991</v>
      </c>
      <c r="EO47" s="85">
        <v>223.46375987999986</v>
      </c>
      <c r="EP47" s="85">
        <v>287.12948795999995</v>
      </c>
      <c r="EQ47" s="85">
        <v>424.13928898</v>
      </c>
      <c r="ER47" s="85">
        <v>253.88547071999994</v>
      </c>
      <c r="ES47" s="85">
        <v>275.88962012000013</v>
      </c>
      <c r="ET47" s="85">
        <v>303.82501347000004</v>
      </c>
      <c r="EU47" s="85">
        <v>274.24082184999986</v>
      </c>
      <c r="EV47" s="85">
        <v>230.79051858000005</v>
      </c>
      <c r="EW47" s="85">
        <v>346.36846818999999</v>
      </c>
      <c r="EX47" s="85">
        <v>273.32029047000009</v>
      </c>
      <c r="EY47" s="85">
        <v>584.10478529000045</v>
      </c>
      <c r="EZ47" s="88">
        <f t="shared" si="18"/>
        <v>3777.1696186200006</v>
      </c>
      <c r="FA47" s="85">
        <f>FA48+FA49+FA50+FA51</f>
        <v>3773.8100469999999</v>
      </c>
      <c r="FB47" s="85">
        <v>310.69392767999994</v>
      </c>
      <c r="FC47" s="85">
        <v>290.00794562000004</v>
      </c>
      <c r="FD47" s="85">
        <v>369.95799934000001</v>
      </c>
      <c r="FE47" s="85">
        <v>395.42115528999994</v>
      </c>
      <c r="FF47" s="85">
        <v>267.34643705000002</v>
      </c>
      <c r="FG47" s="85">
        <v>237.26013530999998</v>
      </c>
      <c r="FH47" s="85">
        <v>297.12347305999987</v>
      </c>
      <c r="FI47" s="85">
        <v>316.18768325000002</v>
      </c>
      <c r="FJ47" s="85">
        <v>302.03915287000001</v>
      </c>
      <c r="FK47" s="85">
        <v>376.68150486000002</v>
      </c>
      <c r="FL47" s="85">
        <v>299.12782449000002</v>
      </c>
      <c r="FM47" s="85">
        <v>611.33879087000048</v>
      </c>
      <c r="FN47" s="88">
        <f t="shared" si="11"/>
        <v>4073.1860296900009</v>
      </c>
      <c r="FO47" s="85">
        <v>346.95638257000007</v>
      </c>
      <c r="FP47" s="85">
        <v>297.60771926000012</v>
      </c>
      <c r="FQ47" s="85">
        <v>307.72456663000008</v>
      </c>
      <c r="FR47" s="85">
        <v>334.59515645000005</v>
      </c>
      <c r="FS47" s="85"/>
      <c r="FT47" s="85"/>
      <c r="FU47" s="85"/>
      <c r="FV47" s="85"/>
      <c r="FW47" s="85"/>
      <c r="FX47" s="85"/>
      <c r="FY47" s="85"/>
      <c r="FZ47" s="85"/>
      <c r="GA47" s="307">
        <f t="shared" si="19"/>
        <v>1366.0810280000001</v>
      </c>
      <c r="GB47" s="307">
        <f t="shared" si="20"/>
        <v>1286.8838249999999</v>
      </c>
      <c r="GC47" s="308">
        <f t="shared" si="12"/>
        <v>-79.197203000000172</v>
      </c>
      <c r="GD47" s="308">
        <f t="shared" si="13"/>
        <v>-5.7974015725808243</v>
      </c>
    </row>
    <row r="48" spans="1:186" s="12" customFormat="1" ht="20.5">
      <c r="A48" s="314" t="s">
        <v>134</v>
      </c>
      <c r="B48" s="13">
        <v>3100</v>
      </c>
      <c r="C48" s="47" t="s">
        <v>135</v>
      </c>
      <c r="D48" s="45"/>
      <c r="E48" s="50">
        <v>0.748529</v>
      </c>
      <c r="F48" s="50">
        <v>0.98456299999999997</v>
      </c>
      <c r="G48" s="50">
        <v>1.29769</v>
      </c>
      <c r="H48" s="50">
        <v>0.56555</v>
      </c>
      <c r="I48" s="50">
        <v>0.81716299999999997</v>
      </c>
      <c r="J48" s="50">
        <v>1.05894621</v>
      </c>
      <c r="K48" s="50">
        <v>0.65972500000000001</v>
      </c>
      <c r="L48" s="50">
        <v>6.8669434599999999</v>
      </c>
      <c r="M48" s="50">
        <v>0.77430683000000011</v>
      </c>
      <c r="N48" s="50">
        <v>0.91527996</v>
      </c>
      <c r="O48" s="50">
        <v>9.1470301000000003</v>
      </c>
      <c r="P48" s="85">
        <f t="shared" si="7"/>
        <v>23.835726559999998</v>
      </c>
      <c r="Q48" s="85">
        <f>23.835727</f>
        <v>23.835726999999999</v>
      </c>
      <c r="R48" s="50">
        <v>6.2620000000000004E-4</v>
      </c>
      <c r="S48" s="50">
        <v>0.36018211999999999</v>
      </c>
      <c r="T48" s="50">
        <v>1.3636492900000001</v>
      </c>
      <c r="U48" s="50">
        <v>1.1565622099999999</v>
      </c>
      <c r="V48" s="50">
        <v>0.68131443999999997</v>
      </c>
      <c r="W48" s="50">
        <v>1.01073244</v>
      </c>
      <c r="X48" s="50">
        <v>0.71952517000000005</v>
      </c>
      <c r="Y48" s="50">
        <v>0.46222083000000003</v>
      </c>
      <c r="Z48" s="50">
        <v>0.74140005000000009</v>
      </c>
      <c r="AA48" s="50">
        <v>1.38150156</v>
      </c>
      <c r="AB48" s="50">
        <v>0.75056452000000007</v>
      </c>
      <c r="AC48" s="50">
        <v>0.36765101</v>
      </c>
      <c r="AD48" s="85">
        <f t="shared" si="8"/>
        <v>8.9959298399999987</v>
      </c>
      <c r="AE48" s="85">
        <v>8.9959298399999987</v>
      </c>
      <c r="AF48" s="85">
        <v>0.13374770000000002</v>
      </c>
      <c r="AG48" s="85">
        <v>1.74246071</v>
      </c>
      <c r="AH48" s="85">
        <v>2.6343886200000002</v>
      </c>
      <c r="AI48" s="85">
        <v>1.36088411</v>
      </c>
      <c r="AJ48" s="85">
        <v>0.58813802999999998</v>
      </c>
      <c r="AK48" s="85">
        <v>3.7838964900000001</v>
      </c>
      <c r="AL48" s="85">
        <v>1.7408942200000002</v>
      </c>
      <c r="AM48" s="85">
        <v>1.75093918</v>
      </c>
      <c r="AN48" s="85">
        <v>0.93376891999999989</v>
      </c>
      <c r="AO48" s="85">
        <v>0.23175949000000001</v>
      </c>
      <c r="AP48" s="85">
        <v>0.1734087</v>
      </c>
      <c r="AQ48" s="85">
        <v>0.62083712000000002</v>
      </c>
      <c r="AR48" s="85">
        <f t="shared" si="9"/>
        <v>15.695123289999998</v>
      </c>
      <c r="AS48" s="85">
        <v>15.695123000000001</v>
      </c>
      <c r="AT48" s="85">
        <v>0</v>
      </c>
      <c r="AU48" s="85">
        <v>0.10009827</v>
      </c>
      <c r="AV48" s="85">
        <v>1.44467243</v>
      </c>
      <c r="AW48" s="85">
        <v>3.1663042300000002</v>
      </c>
      <c r="AX48" s="85">
        <v>0.43104913</v>
      </c>
      <c r="AY48" s="85">
        <v>0.91536731000000005</v>
      </c>
      <c r="AZ48" s="85">
        <v>0.66774911999999997</v>
      </c>
      <c r="BA48" s="85">
        <v>0.59250002000000002</v>
      </c>
      <c r="BB48" s="85">
        <v>0.70365630999999995</v>
      </c>
      <c r="BC48" s="85">
        <v>2.0398162800000001</v>
      </c>
      <c r="BD48" s="85">
        <v>15.01302641</v>
      </c>
      <c r="BE48" s="85">
        <v>0.85764262000000002</v>
      </c>
      <c r="BF48" s="85">
        <f t="shared" si="10"/>
        <v>25.931882129999998</v>
      </c>
      <c r="BG48" s="85">
        <v>25.931882000000002</v>
      </c>
      <c r="BH48" s="85">
        <v>1.41047E-3</v>
      </c>
      <c r="BI48" s="85">
        <v>0</v>
      </c>
      <c r="BJ48" s="85">
        <v>1.63075656</v>
      </c>
      <c r="BK48" s="85">
        <v>0.57742054999999992</v>
      </c>
      <c r="BL48" s="85">
        <v>0.79059857000000011</v>
      </c>
      <c r="BM48" s="85">
        <v>0.43052953999999999</v>
      </c>
      <c r="BN48" s="85">
        <v>1.1880545899999999</v>
      </c>
      <c r="BO48" s="85">
        <v>0.4690491</v>
      </c>
      <c r="BP48" s="85">
        <v>1.26988436</v>
      </c>
      <c r="BQ48" s="85">
        <v>1.5357783</v>
      </c>
      <c r="BR48" s="85">
        <v>0.23274235999999998</v>
      </c>
      <c r="BS48" s="85">
        <v>0.95868307000000008</v>
      </c>
      <c r="BT48" s="88">
        <f t="shared" si="15"/>
        <v>9.0849074699999992</v>
      </c>
      <c r="BU48" s="85">
        <v>9.0849080000000004</v>
      </c>
      <c r="BV48" s="85">
        <v>5.0509999999999999E-2</v>
      </c>
      <c r="BW48" s="85">
        <v>2.3000000000000001E-4</v>
      </c>
      <c r="BX48" s="85">
        <v>0.67354546000000004</v>
      </c>
      <c r="BY48" s="85">
        <v>0.46113604000000002</v>
      </c>
      <c r="BZ48" s="85">
        <v>2.4096089600000004</v>
      </c>
      <c r="CA48" s="85">
        <v>0.54139895999999998</v>
      </c>
      <c r="CB48" s="85">
        <v>0.36487720000000001</v>
      </c>
      <c r="CC48" s="85">
        <v>1.23198048</v>
      </c>
      <c r="CD48" s="85">
        <v>0.33469336999999999</v>
      </c>
      <c r="CE48" s="85">
        <v>0.55381502999999987</v>
      </c>
      <c r="CF48" s="85">
        <v>0.46298914000000002</v>
      </c>
      <c r="CG48" s="85">
        <v>1.1383910400000001</v>
      </c>
      <c r="CH48" s="88">
        <f t="shared" si="16"/>
        <v>8.2231756800000007</v>
      </c>
      <c r="CI48" s="85">
        <f>Valsts_Pamatbudžets!KW49</f>
        <v>8.2231760000000005</v>
      </c>
      <c r="CJ48" s="85">
        <v>9.4390000000000002E-2</v>
      </c>
      <c r="CK48" s="85">
        <v>4.6951900000000005E-2</v>
      </c>
      <c r="CL48" s="85">
        <v>5.6596819000000007</v>
      </c>
      <c r="CM48" s="85">
        <v>12.372859949999999</v>
      </c>
      <c r="CN48" s="85">
        <v>0.89066498999999999</v>
      </c>
      <c r="CO48" s="85">
        <v>4.5790041800000001</v>
      </c>
      <c r="CP48" s="85">
        <v>0.88259222999999998</v>
      </c>
      <c r="CQ48" s="185">
        <v>12.57066163</v>
      </c>
      <c r="CR48" s="88">
        <v>2.9233329699999997</v>
      </c>
      <c r="CS48" s="88">
        <v>0.99403675999999996</v>
      </c>
      <c r="CT48" s="88">
        <v>5.0643632200000006</v>
      </c>
      <c r="CU48" s="88">
        <v>27.896619100000002</v>
      </c>
      <c r="CV48" s="88">
        <f t="shared" si="21"/>
        <v>73.975158829999998</v>
      </c>
      <c r="CW48" s="85">
        <v>73.975159000000005</v>
      </c>
      <c r="CX48" s="88">
        <v>4.6677449999999995E-2</v>
      </c>
      <c r="CY48" s="88">
        <v>6.3948820000000003E-2</v>
      </c>
      <c r="CZ48" s="88">
        <v>4.1374883599999999</v>
      </c>
      <c r="DA48" s="88">
        <v>1.4875127299999999</v>
      </c>
      <c r="DB48" s="88">
        <v>5.0548215599999997</v>
      </c>
      <c r="DC48" s="88">
        <v>2.1981288299999999</v>
      </c>
      <c r="DD48" s="88">
        <v>1.4197062499999999</v>
      </c>
      <c r="DE48" s="88">
        <v>1.65283366</v>
      </c>
      <c r="DF48" s="88">
        <v>1.59127262</v>
      </c>
      <c r="DG48" s="88">
        <v>1.7697983400000001</v>
      </c>
      <c r="DH48" s="88">
        <v>4.5695189699999998</v>
      </c>
      <c r="DI48" s="88">
        <v>12.879310969999999</v>
      </c>
      <c r="DJ48" s="88">
        <f t="shared" si="22"/>
        <v>36.871018559999996</v>
      </c>
      <c r="DK48" s="85">
        <f>Valsts_Pamatbudžets!OC49</f>
        <v>36.871017999999999</v>
      </c>
      <c r="DL48" s="85">
        <v>6.7839999999999998E-2</v>
      </c>
      <c r="DM48" s="85">
        <v>0.12101000000000001</v>
      </c>
      <c r="DN48" s="85">
        <v>7.8235781099999997</v>
      </c>
      <c r="DO48" s="85">
        <v>1.69506625</v>
      </c>
      <c r="DP48" s="85">
        <v>7.0371868799999993</v>
      </c>
      <c r="DQ48" s="85">
        <v>4.4067030100000002</v>
      </c>
      <c r="DR48" s="85">
        <v>3.9280400200000001</v>
      </c>
      <c r="DS48" s="85">
        <v>3.5010338399999998</v>
      </c>
      <c r="DT48" s="85">
        <v>0.47918132000000002</v>
      </c>
      <c r="DU48" s="85">
        <v>1.07729081</v>
      </c>
      <c r="DV48" s="85">
        <v>0.90496171000000003</v>
      </c>
      <c r="DW48" s="85">
        <v>4.4376617299999994</v>
      </c>
      <c r="DX48" s="88">
        <f t="shared" si="23"/>
        <v>35.479553680000002</v>
      </c>
      <c r="DY48" s="85">
        <f>Valsts_Pamatbudžets!PS49</f>
        <v>35.479554</v>
      </c>
      <c r="DZ48" s="85">
        <v>6.8750000000000006E-2</v>
      </c>
      <c r="EA48" s="85">
        <v>9.7449999999999995E-2</v>
      </c>
      <c r="EB48" s="85">
        <v>0.27375748</v>
      </c>
      <c r="EC48" s="85">
        <v>16.335296179999997</v>
      </c>
      <c r="ED48" s="85">
        <v>5.9710667599999994</v>
      </c>
      <c r="EE48" s="85">
        <v>3.6405937900000001</v>
      </c>
      <c r="EF48" s="85">
        <v>0.69792360999999992</v>
      </c>
      <c r="EG48" s="85">
        <v>4.07643311</v>
      </c>
      <c r="EH48" s="85">
        <v>6.5083541800000004</v>
      </c>
      <c r="EI48" s="85">
        <v>4.6008403599999994</v>
      </c>
      <c r="EJ48" s="85">
        <v>4.2191365599999999</v>
      </c>
      <c r="EK48" s="85">
        <v>0.92008075</v>
      </c>
      <c r="EL48" s="88">
        <f t="shared" si="17"/>
        <v>47.409682779999997</v>
      </c>
      <c r="EM48" s="85">
        <f>Valsts_Pamatbudžets!RI49</f>
        <v>47.409683000000001</v>
      </c>
      <c r="EN48" s="85">
        <v>4.7219999999999998E-2</v>
      </c>
      <c r="EO48" s="85">
        <v>0.55091204999999999</v>
      </c>
      <c r="EP48" s="85">
        <v>2.05112235</v>
      </c>
      <c r="EQ48" s="85">
        <v>16.481018469999999</v>
      </c>
      <c r="ER48" s="85">
        <v>1.8378633200000001</v>
      </c>
      <c r="ES48" s="85">
        <v>5.8186296900000007</v>
      </c>
      <c r="ET48" s="85">
        <v>1.4241074499999999</v>
      </c>
      <c r="EU48" s="85">
        <v>3.9845432000000001</v>
      </c>
      <c r="EV48" s="85">
        <v>0.75396249999999987</v>
      </c>
      <c r="EW48" s="85">
        <v>3.8079524899999999</v>
      </c>
      <c r="EX48" s="85">
        <v>2.2440351500000002</v>
      </c>
      <c r="EY48" s="85">
        <v>4.4831189899999995</v>
      </c>
      <c r="EZ48" s="88">
        <f t="shared" si="18"/>
        <v>43.484485660000004</v>
      </c>
      <c r="FA48" s="85">
        <f>Valsts_Pamatbudžets!SY49</f>
        <v>43.484485999999997</v>
      </c>
      <c r="FB48" s="85">
        <v>2.5250000000000002E-2</v>
      </c>
      <c r="FC48" s="85">
        <v>6.5540000000000001E-2</v>
      </c>
      <c r="FD48" s="85">
        <v>2.2875883099999998</v>
      </c>
      <c r="FE48" s="85">
        <v>8.2862957299999991</v>
      </c>
      <c r="FF48" s="85">
        <v>9.0953784100000004</v>
      </c>
      <c r="FG48" s="85">
        <v>5.2419931299999991</v>
      </c>
      <c r="FH48" s="85">
        <v>0.46110453999999995</v>
      </c>
      <c r="FI48" s="85">
        <v>3.1743925500000003</v>
      </c>
      <c r="FJ48" s="85">
        <v>7.384618689999999</v>
      </c>
      <c r="FK48" s="85">
        <v>4.4337265600000011</v>
      </c>
      <c r="FL48" s="85">
        <v>0.32661216999999998</v>
      </c>
      <c r="FM48" s="85">
        <v>4.3533221900000001</v>
      </c>
      <c r="FN48" s="88">
        <f t="shared" si="11"/>
        <v>45.135822279999999</v>
      </c>
      <c r="FO48" s="85">
        <v>5.8404999999999999E-2</v>
      </c>
      <c r="FP48" s="85">
        <v>0.10022411000000001</v>
      </c>
      <c r="FQ48" s="85">
        <v>3.0742872699999997</v>
      </c>
      <c r="FR48" s="85">
        <v>14.58687336</v>
      </c>
      <c r="FS48" s="85"/>
      <c r="FT48" s="85"/>
      <c r="FU48" s="85"/>
      <c r="FV48" s="85"/>
      <c r="FW48" s="85"/>
      <c r="FX48" s="85"/>
      <c r="FY48" s="85"/>
      <c r="FZ48" s="85"/>
      <c r="GA48" s="307">
        <f t="shared" si="19"/>
        <v>10.664674</v>
      </c>
      <c r="GB48" s="307">
        <f t="shared" si="20"/>
        <v>17.819790000000001</v>
      </c>
      <c r="GC48" s="308">
        <f t="shared" si="12"/>
        <v>7.1551160000000014</v>
      </c>
      <c r="GD48" s="308">
        <f t="shared" si="13"/>
        <v>67.09174607681399</v>
      </c>
    </row>
    <row r="49" spans="1:186" s="12" customFormat="1" ht="20.5">
      <c r="A49" s="314" t="s">
        <v>136</v>
      </c>
      <c r="B49" s="13">
        <v>3200</v>
      </c>
      <c r="C49" s="47" t="s">
        <v>259</v>
      </c>
      <c r="D49" s="45">
        <v>83.993747999999997</v>
      </c>
      <c r="E49" s="50">
        <v>147.26164399999999</v>
      </c>
      <c r="F49" s="50">
        <v>108.09161400000001</v>
      </c>
      <c r="G49" s="50">
        <v>127.982906</v>
      </c>
      <c r="H49" s="50">
        <v>111.93535199999999</v>
      </c>
      <c r="I49" s="50">
        <v>102.176936</v>
      </c>
      <c r="J49" s="50">
        <v>124.32036210000004</v>
      </c>
      <c r="K49" s="50">
        <v>107.3318</v>
      </c>
      <c r="L49" s="50">
        <v>105.03303964999995</v>
      </c>
      <c r="M49" s="50">
        <v>153.48141588999999</v>
      </c>
      <c r="N49" s="50">
        <v>192.61024676</v>
      </c>
      <c r="O49" s="50">
        <v>316.70674068</v>
      </c>
      <c r="P49" s="85">
        <f t="shared" si="7"/>
        <v>1680.9258050799997</v>
      </c>
      <c r="Q49" s="85">
        <f>1675.127375+7.081966</f>
        <v>1682.209341</v>
      </c>
      <c r="R49" s="50">
        <v>101.67063204999998</v>
      </c>
      <c r="S49" s="50">
        <v>137.68313999</v>
      </c>
      <c r="T49" s="50">
        <v>130.51464736000003</v>
      </c>
      <c r="U49" s="50">
        <v>133.41793656000002</v>
      </c>
      <c r="V49" s="50">
        <v>97.672592719999955</v>
      </c>
      <c r="W49" s="50">
        <v>124.35521879</v>
      </c>
      <c r="X49" s="50">
        <v>129.81507788000008</v>
      </c>
      <c r="Y49" s="50">
        <v>121.72453545</v>
      </c>
      <c r="Z49" s="50">
        <v>118.60725206000002</v>
      </c>
      <c r="AA49" s="50">
        <v>108.89152868000004</v>
      </c>
      <c r="AB49" s="50">
        <v>148.45321597999998</v>
      </c>
      <c r="AC49" s="50">
        <v>239.56789033999996</v>
      </c>
      <c r="AD49" s="85">
        <f t="shared" si="8"/>
        <v>1592.3736678599998</v>
      </c>
      <c r="AE49" s="85">
        <f>1587.938274+4.4354</f>
        <v>1592.3736740000002</v>
      </c>
      <c r="AF49" s="85">
        <v>129.48557144999998</v>
      </c>
      <c r="AG49" s="85">
        <v>163.97815715000004</v>
      </c>
      <c r="AH49" s="85">
        <v>165.70055577000002</v>
      </c>
      <c r="AI49" s="85">
        <v>201.65624194000003</v>
      </c>
      <c r="AJ49" s="85">
        <v>88.215270690000025</v>
      </c>
      <c r="AK49" s="85">
        <v>96.193487970000007</v>
      </c>
      <c r="AL49" s="85">
        <v>114.18810546000003</v>
      </c>
      <c r="AM49" s="85">
        <v>85.235121570000018</v>
      </c>
      <c r="AN49" s="85">
        <v>85.840848939999972</v>
      </c>
      <c r="AO49" s="85">
        <v>165.77119966000004</v>
      </c>
      <c r="AP49" s="85">
        <v>157.46801555000005</v>
      </c>
      <c r="AQ49" s="85">
        <v>233.35629538000001</v>
      </c>
      <c r="AR49" s="85">
        <f t="shared" si="9"/>
        <v>1687.0888715300002</v>
      </c>
      <c r="AS49" s="85">
        <f>1684.781211+2.307941</f>
        <v>1687.089152</v>
      </c>
      <c r="AT49" s="85">
        <v>114.11822841</v>
      </c>
      <c r="AU49" s="85">
        <v>139.97640133999991</v>
      </c>
      <c r="AV49" s="85">
        <v>112.22902920999994</v>
      </c>
      <c r="AW49" s="85">
        <v>97.43274842999999</v>
      </c>
      <c r="AX49" s="85">
        <v>103.59755423000004</v>
      </c>
      <c r="AY49" s="85">
        <v>152.45867939000001</v>
      </c>
      <c r="AZ49" s="85">
        <v>95.554121279999976</v>
      </c>
      <c r="BA49" s="85">
        <v>97.235242309999947</v>
      </c>
      <c r="BB49" s="85">
        <v>97.901222020000006</v>
      </c>
      <c r="BC49" s="85">
        <v>202.03049549000002</v>
      </c>
      <c r="BD49" s="85">
        <v>158.32189042000005</v>
      </c>
      <c r="BE49" s="85">
        <v>281.98054107000007</v>
      </c>
      <c r="BF49" s="85">
        <f t="shared" si="10"/>
        <v>1652.8361536</v>
      </c>
      <c r="BG49" s="85">
        <f>1653.428378+1.613787</f>
        <v>1655.0421650000001</v>
      </c>
      <c r="BH49" s="85">
        <v>121.74554713999999</v>
      </c>
      <c r="BI49" s="85">
        <v>130.01441075000002</v>
      </c>
      <c r="BJ49" s="85">
        <v>122.58460769</v>
      </c>
      <c r="BK49" s="85">
        <v>190.83166645999992</v>
      </c>
      <c r="BL49" s="85">
        <v>114.74233965999998</v>
      </c>
      <c r="BM49" s="85">
        <v>136.04932470999998</v>
      </c>
      <c r="BN49" s="85">
        <v>128.05811023000001</v>
      </c>
      <c r="BO49" s="85">
        <v>154.27093446000003</v>
      </c>
      <c r="BP49" s="85">
        <v>116.52557351999999</v>
      </c>
      <c r="BQ49" s="85">
        <v>268.30773438000006</v>
      </c>
      <c r="BR49" s="85">
        <v>178.00229983999995</v>
      </c>
      <c r="BS49" s="85">
        <v>335.92682158000014</v>
      </c>
      <c r="BT49" s="88">
        <f t="shared" si="15"/>
        <v>1997.0593704200001</v>
      </c>
      <c r="BU49" s="85">
        <f>1995.278951+1.765178</f>
        <v>1997.0441290000001</v>
      </c>
      <c r="BV49" s="85">
        <v>130.15715981</v>
      </c>
      <c r="BW49" s="85">
        <v>145.48269720999997</v>
      </c>
      <c r="BX49" s="85">
        <v>129.35539853999998</v>
      </c>
      <c r="BY49" s="85">
        <v>145.89827432999999</v>
      </c>
      <c r="BZ49" s="85">
        <v>129.74673307</v>
      </c>
      <c r="CA49" s="85">
        <v>124.18447529000004</v>
      </c>
      <c r="CB49" s="85">
        <v>165.04113999000009</v>
      </c>
      <c r="CC49" s="85">
        <v>135.10062068000002</v>
      </c>
      <c r="CD49" s="85">
        <v>125.67116970000002</v>
      </c>
      <c r="CE49" s="85">
        <v>246.85087324</v>
      </c>
      <c r="CF49" s="85">
        <v>178.99465303999997</v>
      </c>
      <c r="CG49" s="85">
        <v>387.39402879000011</v>
      </c>
      <c r="CH49" s="88">
        <f t="shared" si="16"/>
        <v>2043.8772236900004</v>
      </c>
      <c r="CI49" s="85">
        <f>Valsts_Pamatbudžets!KW50+Valsts_Speciālais_Budžets!EC24</f>
        <v>2043.8772240000001</v>
      </c>
      <c r="CJ49" s="85">
        <v>141.11386639999998</v>
      </c>
      <c r="CK49" s="85">
        <v>161.26122708000003</v>
      </c>
      <c r="CL49" s="85">
        <v>177.44199443999997</v>
      </c>
      <c r="CM49" s="85">
        <v>266.51388827000005</v>
      </c>
      <c r="CN49" s="85">
        <v>106.80343985999993</v>
      </c>
      <c r="CO49" s="85">
        <v>132.36381692999998</v>
      </c>
      <c r="CP49" s="85">
        <v>155.46207612999999</v>
      </c>
      <c r="CQ49" s="185">
        <v>223.60351229999989</v>
      </c>
      <c r="CR49" s="88">
        <v>165.42763256999996</v>
      </c>
      <c r="CS49" s="88">
        <v>284.72293496000003</v>
      </c>
      <c r="CT49" s="88">
        <v>159.02311326000003</v>
      </c>
      <c r="CU49" s="88">
        <v>412.35108438000009</v>
      </c>
      <c r="CV49" s="88">
        <f t="shared" si="21"/>
        <v>2386.0885865799996</v>
      </c>
      <c r="CW49" s="85">
        <f>2384.52717+1.590993</f>
        <v>2386.1181629999996</v>
      </c>
      <c r="CX49" s="88">
        <v>128.95577403999994</v>
      </c>
      <c r="CY49" s="88">
        <v>226.54521704999996</v>
      </c>
      <c r="CZ49" s="88">
        <v>199.94366793000006</v>
      </c>
      <c r="DA49" s="88">
        <v>210.71907293000007</v>
      </c>
      <c r="DB49" s="44">
        <v>186.61974556999999</v>
      </c>
      <c r="DC49" s="44">
        <v>186.56790082000003</v>
      </c>
      <c r="DD49" s="44">
        <v>198.06129459000002</v>
      </c>
      <c r="DE49" s="44">
        <v>191.933368</v>
      </c>
      <c r="DF49" s="44">
        <v>219.43021724000002</v>
      </c>
      <c r="DG49" s="44">
        <v>318.42583044999992</v>
      </c>
      <c r="DH49" s="44">
        <v>194.88042926999989</v>
      </c>
      <c r="DI49" s="44">
        <v>1023.4604631000001</v>
      </c>
      <c r="DJ49" s="88">
        <f t="shared" si="22"/>
        <v>3285.5429809899997</v>
      </c>
      <c r="DK49" s="85">
        <f>Valsts_Pamatbudžets!OC50+Valsts_Speciālais_Budžets!FE24</f>
        <v>3276.6285310000003</v>
      </c>
      <c r="DL49" s="85">
        <v>235.00030973000005</v>
      </c>
      <c r="DM49" s="85">
        <v>253.54995181999999</v>
      </c>
      <c r="DN49" s="85">
        <v>297.57777689</v>
      </c>
      <c r="DO49" s="85">
        <v>277.27284951000013</v>
      </c>
      <c r="DP49" s="85">
        <v>278.50154086999987</v>
      </c>
      <c r="DQ49" s="85">
        <v>249.85108996</v>
      </c>
      <c r="DR49" s="85">
        <v>198.06614532999987</v>
      </c>
      <c r="DS49" s="85">
        <v>202.72376779000001</v>
      </c>
      <c r="DT49" s="85">
        <v>214.08877102999989</v>
      </c>
      <c r="DU49" s="85">
        <v>333.64587713000003</v>
      </c>
      <c r="DV49" s="85">
        <v>241.38039532999997</v>
      </c>
      <c r="DW49" s="85">
        <v>692.21187463000001</v>
      </c>
      <c r="DX49" s="88">
        <f t="shared" si="23"/>
        <v>3473.8703500199999</v>
      </c>
      <c r="DY49" s="85">
        <f>Valsts_Pamatbudžets!PS50+Valsts_Speciālais_Budžets!FS24</f>
        <v>3469.6322110000001</v>
      </c>
      <c r="DZ49" s="85">
        <v>195.06985782000015</v>
      </c>
      <c r="EA49" s="85">
        <v>416.89348443999995</v>
      </c>
      <c r="EB49" s="85">
        <v>337.05820302000001</v>
      </c>
      <c r="EC49" s="85">
        <v>272.50464689</v>
      </c>
      <c r="ED49" s="85">
        <v>251.36253067999996</v>
      </c>
      <c r="EE49" s="85">
        <v>240.67541018000003</v>
      </c>
      <c r="EF49" s="85">
        <v>247.49118295000002</v>
      </c>
      <c r="EG49" s="85">
        <v>234.32693892999998</v>
      </c>
      <c r="EH49" s="85">
        <v>228.92878464999995</v>
      </c>
      <c r="EI49" s="85">
        <v>274.50578761000003</v>
      </c>
      <c r="EJ49" s="85">
        <v>334.56770671000004</v>
      </c>
      <c r="EK49" s="85">
        <v>595.02300604999982</v>
      </c>
      <c r="EL49" s="88">
        <f t="shared" si="17"/>
        <v>3628.40753993</v>
      </c>
      <c r="EM49" s="85">
        <f>Valsts_Pamatbudžets!RI50+Valsts_Speciālais_Budžets!GG24</f>
        <v>3626.214512</v>
      </c>
      <c r="EN49" s="85">
        <v>291.79567510999993</v>
      </c>
      <c r="EO49" s="85">
        <v>216.33593613999986</v>
      </c>
      <c r="EP49" s="85">
        <v>278.79604060999998</v>
      </c>
      <c r="EQ49" s="85">
        <v>400.10724551000004</v>
      </c>
      <c r="ER49" s="85">
        <v>246.19580239999993</v>
      </c>
      <c r="ES49" s="85">
        <v>264.25100543000008</v>
      </c>
      <c r="ET49" s="85">
        <v>295.36893526000006</v>
      </c>
      <c r="EU49" s="85">
        <v>264.72424864999982</v>
      </c>
      <c r="EV49" s="85">
        <v>224.31351108000007</v>
      </c>
      <c r="EW49" s="85">
        <v>335.20949069999995</v>
      </c>
      <c r="EX49" s="85">
        <v>258.93204051999993</v>
      </c>
      <c r="EY49" s="85">
        <v>566.28040955000063</v>
      </c>
      <c r="EZ49" s="88">
        <f t="shared" si="18"/>
        <v>3642.3103409600003</v>
      </c>
      <c r="FA49" s="85">
        <f>Valsts_Pamatbudžets!SY50+Valsts_Speciālais_Budžets!GU24</f>
        <v>3638.950769</v>
      </c>
      <c r="FB49" s="85">
        <v>302.96803267999991</v>
      </c>
      <c r="FC49" s="85">
        <v>283.68176062000003</v>
      </c>
      <c r="FD49" s="85">
        <v>361.38304061000002</v>
      </c>
      <c r="FE49" s="85">
        <v>379.77603300999988</v>
      </c>
      <c r="FF49" s="85">
        <v>252.01677907999994</v>
      </c>
      <c r="FG49" s="85">
        <v>226.22804061999992</v>
      </c>
      <c r="FH49" s="85">
        <v>289.61122347999998</v>
      </c>
      <c r="FI49" s="85">
        <v>307.00506176000005</v>
      </c>
      <c r="FJ49" s="85">
        <v>288.77138917999997</v>
      </c>
      <c r="FK49" s="85">
        <v>364.79804230000002</v>
      </c>
      <c r="FL49" s="85">
        <v>292.83252714000008</v>
      </c>
      <c r="FM49" s="85">
        <v>593.70180393000055</v>
      </c>
      <c r="FN49" s="88">
        <f t="shared" si="11"/>
        <v>3942.7737344099996</v>
      </c>
      <c r="FO49" s="85">
        <v>336.74733257000014</v>
      </c>
      <c r="FP49" s="85">
        <v>292.60685015000018</v>
      </c>
      <c r="FQ49" s="85">
        <v>298.2171343600001</v>
      </c>
      <c r="FR49" s="85">
        <v>308.20586899000006</v>
      </c>
      <c r="FS49" s="85"/>
      <c r="FT49" s="85"/>
      <c r="FU49" s="85"/>
      <c r="FV49" s="85"/>
      <c r="FW49" s="85"/>
      <c r="FX49" s="85"/>
      <c r="FY49" s="85"/>
      <c r="FZ49" s="85"/>
      <c r="GA49" s="307">
        <f t="shared" si="19"/>
        <v>1327.808867</v>
      </c>
      <c r="GB49" s="307">
        <f t="shared" si="20"/>
        <v>1235.777186</v>
      </c>
      <c r="GC49" s="308">
        <f t="shared" si="12"/>
        <v>-92.031680999999935</v>
      </c>
      <c r="GD49" s="308">
        <f t="shared" si="13"/>
        <v>-6.9310940216819574</v>
      </c>
    </row>
    <row r="50" spans="1:186" s="12" customFormat="1" ht="18" customHeight="1">
      <c r="A50" s="314" t="s">
        <v>138</v>
      </c>
      <c r="B50" s="13">
        <v>3300</v>
      </c>
      <c r="C50" s="47" t="s">
        <v>139</v>
      </c>
      <c r="D50" s="45">
        <v>5.8697780000000002</v>
      </c>
      <c r="E50" s="50">
        <v>5.8697780000000002</v>
      </c>
      <c r="F50" s="50">
        <v>5.8697780000000002</v>
      </c>
      <c r="G50" s="50">
        <v>5.3364820000000002</v>
      </c>
      <c r="H50" s="50">
        <v>5.6647860000000003</v>
      </c>
      <c r="I50" s="50">
        <v>5.5797869999999996</v>
      </c>
      <c r="J50" s="50">
        <v>5.5083599999999997</v>
      </c>
      <c r="K50" s="50">
        <v>5.9212290000000003</v>
      </c>
      <c r="L50" s="50">
        <v>5.6232522500000002</v>
      </c>
      <c r="M50" s="50">
        <v>6.7733990999999998</v>
      </c>
      <c r="N50" s="50">
        <v>7.1068439999999997</v>
      </c>
      <c r="O50" s="50">
        <v>16.280170420000001</v>
      </c>
      <c r="P50" s="85">
        <f t="shared" si="7"/>
        <v>81.403643769999988</v>
      </c>
      <c r="Q50" s="85">
        <v>81.403643000000002</v>
      </c>
      <c r="R50" s="50">
        <v>3.7842820000000001</v>
      </c>
      <c r="S50" s="50">
        <v>3.6858819999999999</v>
      </c>
      <c r="T50" s="50">
        <v>3.7113879999999999</v>
      </c>
      <c r="U50" s="50">
        <v>3.1410719999999999</v>
      </c>
      <c r="V50" s="50">
        <v>3.1392479999999998</v>
      </c>
      <c r="W50" s="50">
        <v>3.514024</v>
      </c>
      <c r="X50" s="50">
        <v>4.444388</v>
      </c>
      <c r="Y50" s="50">
        <v>3.472121</v>
      </c>
      <c r="Z50" s="50">
        <v>3.4778089599999999</v>
      </c>
      <c r="AA50" s="50">
        <v>3.9427401200000003</v>
      </c>
      <c r="AB50" s="50">
        <v>3.6776339999999998</v>
      </c>
      <c r="AC50" s="50">
        <v>5.8462409199999996</v>
      </c>
      <c r="AD50" s="85">
        <f t="shared" si="8"/>
        <v>45.836829000000002</v>
      </c>
      <c r="AE50" s="85">
        <v>45.836829000000002</v>
      </c>
      <c r="AF50" s="85">
        <v>3.9785445400000001</v>
      </c>
      <c r="AG50" s="85">
        <v>3.981792</v>
      </c>
      <c r="AH50" s="85">
        <v>3.7417980000000002</v>
      </c>
      <c r="AI50" s="85">
        <v>3.120082</v>
      </c>
      <c r="AJ50" s="85">
        <v>3.14781193</v>
      </c>
      <c r="AK50" s="85">
        <v>3.6222268099999999</v>
      </c>
      <c r="AL50" s="85">
        <v>3.2098350300000003</v>
      </c>
      <c r="AM50" s="85">
        <v>3.3124072399999998</v>
      </c>
      <c r="AN50" s="85">
        <v>3.3337451300000001</v>
      </c>
      <c r="AO50" s="85">
        <v>3.9657544900000001</v>
      </c>
      <c r="AP50" s="85">
        <v>4.0682053099999997</v>
      </c>
      <c r="AQ50" s="85">
        <v>4.0436675199999996</v>
      </c>
      <c r="AR50" s="85">
        <f t="shared" si="9"/>
        <v>43.525869999999998</v>
      </c>
      <c r="AS50" s="85">
        <v>43.525869999999998</v>
      </c>
      <c r="AT50" s="85">
        <v>4.3483419999999997</v>
      </c>
      <c r="AU50" s="85">
        <v>3.9824510000000002</v>
      </c>
      <c r="AV50" s="85">
        <v>3.9974509999999999</v>
      </c>
      <c r="AW50" s="85">
        <v>3.8066550000000001</v>
      </c>
      <c r="AX50" s="85">
        <v>3.8066550000000001</v>
      </c>
      <c r="AY50" s="85">
        <v>8.0584300800000008</v>
      </c>
      <c r="AZ50" s="85">
        <v>4.2376674900000006</v>
      </c>
      <c r="BA50" s="85">
        <v>4.1141002999999996</v>
      </c>
      <c r="BB50" s="85">
        <v>3.7365646299999997</v>
      </c>
      <c r="BC50" s="85">
        <v>3.7787043499999999</v>
      </c>
      <c r="BD50" s="85">
        <v>7.1155897699999997</v>
      </c>
      <c r="BE50" s="85">
        <v>5.4795673799999998</v>
      </c>
      <c r="BF50" s="85">
        <f t="shared" si="10"/>
        <v>56.462177999999994</v>
      </c>
      <c r="BG50" s="85">
        <v>56.462178000000002</v>
      </c>
      <c r="BH50" s="85">
        <v>4.3204551799999997</v>
      </c>
      <c r="BI50" s="85">
        <v>4.0265389999999996</v>
      </c>
      <c r="BJ50" s="85">
        <v>4.0416089199999998</v>
      </c>
      <c r="BK50" s="85">
        <v>3.8504719999999999</v>
      </c>
      <c r="BL50" s="85">
        <v>5.5418147300000005</v>
      </c>
      <c r="BM50" s="85">
        <v>4.8768516599999998</v>
      </c>
      <c r="BN50" s="85">
        <v>4.8513246299999997</v>
      </c>
      <c r="BO50" s="85">
        <v>4.4983774500000004</v>
      </c>
      <c r="BP50" s="85">
        <v>4.49951393</v>
      </c>
      <c r="BQ50" s="85">
        <v>5.0567165199999993</v>
      </c>
      <c r="BR50" s="85">
        <v>4.2276809800000006</v>
      </c>
      <c r="BS50" s="85">
        <v>10.838120999999999</v>
      </c>
      <c r="BT50" s="88">
        <f t="shared" si="15"/>
        <v>60.629476000000004</v>
      </c>
      <c r="BU50" s="85">
        <v>60.629475999999997</v>
      </c>
      <c r="BV50" s="85">
        <v>4.7632517699999992</v>
      </c>
      <c r="BW50" s="85">
        <v>4.8001449999999997</v>
      </c>
      <c r="BX50" s="85">
        <v>4.8520382</v>
      </c>
      <c r="BY50" s="85">
        <v>4.0941109999999998</v>
      </c>
      <c r="BZ50" s="85">
        <v>5.1443464600000004</v>
      </c>
      <c r="CA50" s="85">
        <v>4.8543273499999993</v>
      </c>
      <c r="CB50" s="85">
        <v>4.7393010700000007</v>
      </c>
      <c r="CC50" s="85">
        <v>4.7744370199999997</v>
      </c>
      <c r="CD50" s="85">
        <v>4.6438339900000001</v>
      </c>
      <c r="CE50" s="85">
        <v>4.182226</v>
      </c>
      <c r="CF50" s="85">
        <v>7.96175283</v>
      </c>
      <c r="CG50" s="85">
        <v>9.4967533100000008</v>
      </c>
      <c r="CH50" s="88">
        <f t="shared" si="16"/>
        <v>64.306523999999996</v>
      </c>
      <c r="CI50" s="85">
        <f>Valsts_Pamatbudžets!KW51</f>
        <v>64.306524999999965</v>
      </c>
      <c r="CJ50" s="85">
        <v>4.9933990000000001</v>
      </c>
      <c r="CK50" s="85">
        <v>4.9310970000000003</v>
      </c>
      <c r="CL50" s="85">
        <v>5.0757000099999994</v>
      </c>
      <c r="CM50" s="85">
        <v>4.7633989999999997</v>
      </c>
      <c r="CN50" s="85">
        <v>6.2189579999999998</v>
      </c>
      <c r="CO50" s="85">
        <v>6.03685779</v>
      </c>
      <c r="CP50" s="85">
        <v>4.6076875800000003</v>
      </c>
      <c r="CQ50" s="185">
        <v>11.158877990000001</v>
      </c>
      <c r="CR50" s="88">
        <v>4.5190113599999995</v>
      </c>
      <c r="CS50" s="88">
        <v>2.9912752299999998</v>
      </c>
      <c r="CT50" s="88">
        <v>1.1895555600000001</v>
      </c>
      <c r="CU50" s="88">
        <v>18.999527480000001</v>
      </c>
      <c r="CV50" s="88">
        <f t="shared" si="21"/>
        <v>75.485346000000007</v>
      </c>
      <c r="CW50" s="85">
        <v>75.485346000000007</v>
      </c>
      <c r="CX50" s="88">
        <v>5.8592389999999996</v>
      </c>
      <c r="CY50" s="88">
        <v>5.3592399999999998</v>
      </c>
      <c r="CZ50" s="88">
        <v>5.5792400000000004</v>
      </c>
      <c r="DA50" s="88">
        <v>5.6175730000000001</v>
      </c>
      <c r="DB50" s="88">
        <v>5.7879066799999999</v>
      </c>
      <c r="DC50" s="88">
        <v>17.375686850000001</v>
      </c>
      <c r="DD50" s="88">
        <v>4.7535540000000003</v>
      </c>
      <c r="DE50" s="88">
        <v>5.1141312900000004</v>
      </c>
      <c r="DF50" s="88">
        <v>4.9231535800000001</v>
      </c>
      <c r="DG50" s="88">
        <v>0.70473316999999991</v>
      </c>
      <c r="DH50" s="88">
        <v>14.678924369999999</v>
      </c>
      <c r="DI50" s="88">
        <v>12.587067060000001</v>
      </c>
      <c r="DJ50" s="88">
        <f t="shared" si="22"/>
        <v>88.340448999999992</v>
      </c>
      <c r="DK50" s="85">
        <f>Valsts_Pamatbudžets!OC51</f>
        <v>88.340449000000007</v>
      </c>
      <c r="DL50" s="85">
        <v>5.0810829999999996</v>
      </c>
      <c r="DM50" s="85">
        <v>4.6230830000000003</v>
      </c>
      <c r="DN50" s="85">
        <v>4.7726800899999997</v>
      </c>
      <c r="DO50" s="85">
        <v>5.9123727699999993</v>
      </c>
      <c r="DP50" s="85">
        <v>5.9362919999999999</v>
      </c>
      <c r="DQ50" s="85">
        <v>6.9814552000000001</v>
      </c>
      <c r="DR50" s="85">
        <v>6.6613460199999999</v>
      </c>
      <c r="DS50" s="85">
        <v>6.7378506399999996</v>
      </c>
      <c r="DT50" s="85">
        <v>5.9249859900000006</v>
      </c>
      <c r="DU50" s="85">
        <v>3.0190506500000001</v>
      </c>
      <c r="DV50" s="85">
        <v>8.9433340000000001</v>
      </c>
      <c r="DW50" s="85">
        <v>24.70424264</v>
      </c>
      <c r="DX50" s="88">
        <f t="shared" si="23"/>
        <v>89.297776000000013</v>
      </c>
      <c r="DY50" s="85">
        <f>Valsts_Pamatbudžets!PS51</f>
        <v>89.297775999999999</v>
      </c>
      <c r="DZ50" s="85">
        <v>6.7338329999999997</v>
      </c>
      <c r="EA50" s="85">
        <v>6.5898320699999999</v>
      </c>
      <c r="EB50" s="85">
        <v>6.4909330000000001</v>
      </c>
      <c r="EC50" s="85">
        <v>6.01897839</v>
      </c>
      <c r="ED50" s="85">
        <v>6.2658329999999998</v>
      </c>
      <c r="EE50" s="85">
        <v>6.0211774599999996</v>
      </c>
      <c r="EF50" s="85">
        <v>5.7157933300000003</v>
      </c>
      <c r="EG50" s="85">
        <v>5.5758330000000003</v>
      </c>
      <c r="EH50" s="85">
        <v>6.0310050799999999</v>
      </c>
      <c r="EI50" s="85">
        <v>6.2258329999999997</v>
      </c>
      <c r="EJ50" s="85">
        <v>0.30083300000000002</v>
      </c>
      <c r="EK50" s="85">
        <v>31.26325357</v>
      </c>
      <c r="EL50" s="88">
        <f t="shared" si="17"/>
        <v>93.233137900000003</v>
      </c>
      <c r="EM50" s="85">
        <f>Valsts_Pamatbudžets!RI51</f>
        <v>93.233137999999997</v>
      </c>
      <c r="EN50" s="85">
        <v>8.1691979999999997</v>
      </c>
      <c r="EO50" s="85">
        <v>6.5769116900000002</v>
      </c>
      <c r="EP50" s="85">
        <v>6.2823250000000002</v>
      </c>
      <c r="EQ50" s="85">
        <v>7.5510250000000001</v>
      </c>
      <c r="ER50" s="85">
        <v>5.8518049999999997</v>
      </c>
      <c r="ES50" s="85">
        <v>5.819985</v>
      </c>
      <c r="ET50" s="85">
        <v>7.0319707600000001</v>
      </c>
      <c r="EU50" s="85">
        <v>5.5320299999999998</v>
      </c>
      <c r="EV50" s="85">
        <v>5.7230449999999999</v>
      </c>
      <c r="EW50" s="85">
        <v>7.3510249999999999</v>
      </c>
      <c r="EX50" s="85">
        <v>12.1442148</v>
      </c>
      <c r="EY50" s="85">
        <v>13.341256749999999</v>
      </c>
      <c r="EZ50" s="88">
        <f t="shared" si="18"/>
        <v>91.374791999999999</v>
      </c>
      <c r="FA50" s="85">
        <f>Valsts_Pamatbudžets!SY51</f>
        <v>91.374791999999999</v>
      </c>
      <c r="FB50" s="85">
        <v>7.7006449999999997</v>
      </c>
      <c r="FC50" s="85">
        <v>6.2606450000000002</v>
      </c>
      <c r="FD50" s="85">
        <v>6.2873704200000002</v>
      </c>
      <c r="FE50" s="85">
        <v>7.3588265499999999</v>
      </c>
      <c r="FF50" s="85">
        <v>6.2342795599999992</v>
      </c>
      <c r="FG50" s="85">
        <v>5.7901015599999992</v>
      </c>
      <c r="FH50" s="85">
        <v>7.0511450399999998</v>
      </c>
      <c r="FI50" s="85">
        <v>6.0082289400000004</v>
      </c>
      <c r="FJ50" s="85">
        <v>5.8831449999999998</v>
      </c>
      <c r="FK50" s="85">
        <v>7.4497359999999997</v>
      </c>
      <c r="FL50" s="85">
        <v>5.9686851799999996</v>
      </c>
      <c r="FM50" s="85">
        <v>13.28366475</v>
      </c>
      <c r="FN50" s="88">
        <f t="shared" si="11"/>
        <v>85.276472999999996</v>
      </c>
      <c r="FO50" s="85">
        <v>10.150645000000001</v>
      </c>
      <c r="FP50" s="85">
        <v>4.9006449999999999</v>
      </c>
      <c r="FQ50" s="85">
        <v>6.4331449999999997</v>
      </c>
      <c r="FR50" s="85">
        <v>11.8024141</v>
      </c>
      <c r="FS50" s="85"/>
      <c r="FT50" s="85"/>
      <c r="FU50" s="85"/>
      <c r="FV50" s="85"/>
      <c r="FW50" s="85"/>
      <c r="FX50" s="85"/>
      <c r="FY50" s="85"/>
      <c r="FZ50" s="85"/>
      <c r="GA50" s="307">
        <f t="shared" si="19"/>
        <v>27.607486999999999</v>
      </c>
      <c r="GB50" s="307">
        <f t="shared" si="20"/>
        <v>33.286848999999997</v>
      </c>
      <c r="GC50" s="308">
        <f t="shared" si="12"/>
        <v>5.6793619999999976</v>
      </c>
      <c r="GD50" s="308">
        <f t="shared" si="13"/>
        <v>20.571818072394635</v>
      </c>
    </row>
    <row r="51" spans="1:186" s="12" customFormat="1" ht="18" hidden="1" customHeight="1">
      <c r="A51" s="56" t="s">
        <v>140</v>
      </c>
      <c r="B51" s="13" t="s">
        <v>141</v>
      </c>
      <c r="C51" s="56" t="s">
        <v>140</v>
      </c>
      <c r="D51" s="4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131">
        <f t="shared" si="7"/>
        <v>0</v>
      </c>
      <c r="Q51" s="131"/>
      <c r="R51" s="36"/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>
        <v>0</v>
      </c>
      <c r="Z51" s="50">
        <v>0</v>
      </c>
      <c r="AA51" s="50">
        <v>0</v>
      </c>
      <c r="AB51" s="50">
        <v>0</v>
      </c>
      <c r="AC51" s="50">
        <v>0</v>
      </c>
      <c r="AD51" s="85">
        <f t="shared" si="8"/>
        <v>0</v>
      </c>
      <c r="AE51" s="85"/>
      <c r="AF51" s="85">
        <v>0</v>
      </c>
      <c r="AG51" s="85">
        <v>0</v>
      </c>
      <c r="AH51" s="85">
        <v>0</v>
      </c>
      <c r="AI51" s="85">
        <v>0</v>
      </c>
      <c r="AJ51" s="85">
        <v>0</v>
      </c>
      <c r="AK51" s="85">
        <v>0</v>
      </c>
      <c r="AL51" s="85">
        <v>0</v>
      </c>
      <c r="AM51" s="85">
        <v>0</v>
      </c>
      <c r="AN51" s="85">
        <v>0</v>
      </c>
      <c r="AO51" s="85">
        <v>0</v>
      </c>
      <c r="AP51" s="85">
        <v>0</v>
      </c>
      <c r="AQ51" s="85">
        <v>0</v>
      </c>
      <c r="AR51" s="85">
        <f t="shared" si="9"/>
        <v>0</v>
      </c>
      <c r="AS51" s="85"/>
      <c r="AT51" s="85">
        <v>0</v>
      </c>
      <c r="AU51" s="85">
        <v>0</v>
      </c>
      <c r="AV51" s="85">
        <v>0</v>
      </c>
      <c r="AW51" s="85">
        <v>0</v>
      </c>
      <c r="AX51" s="85">
        <v>0</v>
      </c>
      <c r="AY51" s="85">
        <v>0</v>
      </c>
      <c r="AZ51" s="85">
        <v>0</v>
      </c>
      <c r="BA51" s="85">
        <v>0</v>
      </c>
      <c r="BB51" s="85">
        <v>0</v>
      </c>
      <c r="BC51" s="85">
        <v>0</v>
      </c>
      <c r="BD51" s="85">
        <v>0</v>
      </c>
      <c r="BE51" s="85">
        <v>0</v>
      </c>
      <c r="BF51" s="85">
        <f t="shared" si="10"/>
        <v>0</v>
      </c>
      <c r="BG51" s="85"/>
      <c r="BH51" s="85">
        <v>0</v>
      </c>
      <c r="BI51" s="85">
        <v>0</v>
      </c>
      <c r="BJ51" s="85">
        <v>0</v>
      </c>
      <c r="BK51" s="85">
        <v>0</v>
      </c>
      <c r="BL51" s="85">
        <v>0</v>
      </c>
      <c r="BM51" s="85">
        <v>0</v>
      </c>
      <c r="BN51" s="85">
        <v>0</v>
      </c>
      <c r="BO51" s="85">
        <v>0</v>
      </c>
      <c r="BP51" s="85">
        <v>0</v>
      </c>
      <c r="BQ51" s="85">
        <v>0</v>
      </c>
      <c r="BR51" s="85">
        <v>0</v>
      </c>
      <c r="BS51" s="85">
        <v>0</v>
      </c>
      <c r="BT51" s="88">
        <f t="shared" si="15"/>
        <v>0</v>
      </c>
      <c r="BU51" s="85"/>
      <c r="BV51" s="85">
        <v>0</v>
      </c>
      <c r="BW51" s="85">
        <v>0</v>
      </c>
      <c r="BX51" s="85">
        <v>0</v>
      </c>
      <c r="BY51" s="85">
        <v>0</v>
      </c>
      <c r="BZ51" s="85">
        <v>0</v>
      </c>
      <c r="CA51" s="85">
        <v>0</v>
      </c>
      <c r="CB51" s="85">
        <v>0</v>
      </c>
      <c r="CC51" s="85">
        <v>0</v>
      </c>
      <c r="CD51" s="85">
        <v>0</v>
      </c>
      <c r="CE51" s="85">
        <v>0</v>
      </c>
      <c r="CF51" s="85">
        <v>0</v>
      </c>
      <c r="CG51" s="85">
        <v>0</v>
      </c>
      <c r="CH51" s="88">
        <f t="shared" si="16"/>
        <v>0</v>
      </c>
      <c r="CI51" s="85"/>
      <c r="CJ51" s="85">
        <v>0</v>
      </c>
      <c r="CK51" s="85">
        <v>0</v>
      </c>
      <c r="CL51" s="85">
        <v>0</v>
      </c>
      <c r="CM51" s="85"/>
      <c r="CN51" s="85">
        <v>0</v>
      </c>
      <c r="CO51" s="185">
        <v>0</v>
      </c>
      <c r="CP51" s="44">
        <v>0</v>
      </c>
      <c r="CQ51" s="49">
        <v>0</v>
      </c>
      <c r="CR51" s="88">
        <v>0</v>
      </c>
      <c r="CS51" s="88">
        <v>0</v>
      </c>
      <c r="CT51" s="88">
        <v>0</v>
      </c>
      <c r="CU51" s="88">
        <v>0</v>
      </c>
      <c r="CV51" s="88">
        <f t="shared" si="21"/>
        <v>0</v>
      </c>
      <c r="CW51" s="88"/>
      <c r="CX51" s="88">
        <v>0</v>
      </c>
      <c r="CY51" s="88"/>
      <c r="CZ51" s="88"/>
      <c r="DA51" s="88"/>
      <c r="DB51" s="183"/>
      <c r="DC51" s="183"/>
      <c r="DD51" s="183"/>
      <c r="DE51" s="183"/>
      <c r="DF51" s="183"/>
      <c r="DG51" s="183"/>
      <c r="DH51" s="183"/>
      <c r="DI51" s="183"/>
      <c r="DJ51" s="88">
        <f t="shared" si="22"/>
        <v>0</v>
      </c>
      <c r="DK51" s="138"/>
      <c r="DL51" s="196"/>
      <c r="DM51" s="196"/>
      <c r="DN51" s="196"/>
      <c r="DO51" s="196"/>
      <c r="DP51" s="196"/>
      <c r="DQ51" s="196"/>
      <c r="DR51" s="196"/>
      <c r="DS51" s="196"/>
      <c r="DT51" s="196"/>
      <c r="DU51" s="196"/>
      <c r="DV51" s="196"/>
      <c r="DW51" s="196"/>
      <c r="DX51" s="88">
        <f t="shared" si="23"/>
        <v>0</v>
      </c>
      <c r="DY51" s="138"/>
      <c r="DZ51" s="196"/>
      <c r="EA51" s="196"/>
      <c r="EB51" s="196"/>
      <c r="EC51" s="196"/>
      <c r="ED51" s="196"/>
      <c r="EE51" s="196"/>
      <c r="EF51" s="196"/>
      <c r="EG51" s="196"/>
      <c r="EH51" s="196"/>
      <c r="EI51" s="196"/>
      <c r="EJ51" s="196"/>
      <c r="EK51" s="196"/>
      <c r="EL51" s="88">
        <f t="shared" si="17"/>
        <v>0</v>
      </c>
      <c r="EM51" s="85"/>
      <c r="EN51" s="85"/>
      <c r="EO51" s="85"/>
      <c r="EP51" s="85"/>
      <c r="EQ51" s="85"/>
      <c r="ER51" s="85"/>
      <c r="ES51" s="85"/>
      <c r="ET51" s="85"/>
      <c r="EU51" s="85"/>
      <c r="EV51" s="85"/>
      <c r="EW51" s="85"/>
      <c r="EX51" s="85"/>
      <c r="EY51" s="85"/>
      <c r="EZ51" s="88">
        <f t="shared" si="18"/>
        <v>0</v>
      </c>
      <c r="FA51" s="85"/>
      <c r="FB51" s="85"/>
      <c r="FC51" s="85"/>
      <c r="FD51" s="85"/>
      <c r="FE51" s="85"/>
      <c r="FF51" s="85"/>
      <c r="FG51" s="85"/>
      <c r="FH51" s="85"/>
      <c r="FI51" s="85"/>
      <c r="FJ51" s="85"/>
      <c r="FK51" s="85"/>
      <c r="FL51" s="85"/>
      <c r="FM51" s="85"/>
      <c r="FN51" s="88">
        <f t="shared" si="11"/>
        <v>0</v>
      </c>
      <c r="FO51" s="85"/>
      <c r="FP51" s="85"/>
      <c r="FQ51" s="85"/>
      <c r="FR51" s="85"/>
      <c r="FS51" s="85"/>
      <c r="FT51" s="85"/>
      <c r="FU51" s="85"/>
      <c r="FV51" s="85"/>
      <c r="FW51" s="85"/>
      <c r="FX51" s="85"/>
      <c r="FY51" s="85"/>
      <c r="FZ51" s="85"/>
      <c r="GA51" s="307">
        <f t="shared" si="19"/>
        <v>0</v>
      </c>
      <c r="GB51" s="307">
        <f t="shared" si="20"/>
        <v>0</v>
      </c>
      <c r="GC51" s="312">
        <f t="shared" si="12"/>
        <v>0</v>
      </c>
      <c r="GD51" s="312" t="e">
        <f t="shared" si="13"/>
        <v>#DIV/0!</v>
      </c>
    </row>
    <row r="52" spans="1:186" s="12" customFormat="1" ht="20.25" customHeight="1">
      <c r="A52" s="46" t="s">
        <v>143</v>
      </c>
      <c r="B52" s="13" t="s">
        <v>144</v>
      </c>
      <c r="C52" s="46" t="s">
        <v>145</v>
      </c>
      <c r="D52" s="45">
        <f>D53+D54+D55</f>
        <v>47.447968250000002</v>
      </c>
      <c r="E52" s="50">
        <f>E53+E54+E55</f>
        <v>51.167407999999995</v>
      </c>
      <c r="F52" s="50">
        <f t="shared" ref="F52:M52" si="32">F53+F54+F55</f>
        <v>54.998116190000005</v>
      </c>
      <c r="G52" s="50">
        <f t="shared" si="32"/>
        <v>55.27746166</v>
      </c>
      <c r="H52" s="50">
        <f t="shared" si="32"/>
        <v>50.072433029999999</v>
      </c>
      <c r="I52" s="50">
        <f t="shared" si="32"/>
        <v>89.58187654000001</v>
      </c>
      <c r="J52" s="50">
        <f t="shared" si="32"/>
        <v>43.741333560000001</v>
      </c>
      <c r="K52" s="50">
        <f t="shared" si="32"/>
        <v>24.791927319999999</v>
      </c>
      <c r="L52" s="50">
        <f t="shared" si="32"/>
        <v>54.782358249999987</v>
      </c>
      <c r="M52" s="50">
        <f t="shared" si="32"/>
        <v>67.360806220000001</v>
      </c>
      <c r="N52" s="50">
        <f>N53+N54+N55</f>
        <v>53.638840820000013</v>
      </c>
      <c r="O52" s="50">
        <f>O53+O54+O55</f>
        <v>62.610827649999997</v>
      </c>
      <c r="P52" s="85">
        <f t="shared" si="7"/>
        <v>655.47135749000006</v>
      </c>
      <c r="Q52" s="85">
        <f>Q53+Q54+Q55</f>
        <v>654.18773899999997</v>
      </c>
      <c r="R52" s="50">
        <f>R53+R54+R55</f>
        <v>49.586025630000002</v>
      </c>
      <c r="S52" s="50">
        <v>56.96884687</v>
      </c>
      <c r="T52" s="50">
        <v>58.256385420000015</v>
      </c>
      <c r="U52" s="50">
        <v>62.119935169999998</v>
      </c>
      <c r="V52" s="50">
        <v>60.62139346</v>
      </c>
      <c r="W52" s="50">
        <v>112.14210556000002</v>
      </c>
      <c r="X52" s="50">
        <v>45.863276739999996</v>
      </c>
      <c r="Y52" s="50">
        <v>26.858544750000007</v>
      </c>
      <c r="Z52" s="50">
        <v>51.844323289999998</v>
      </c>
      <c r="AA52" s="50">
        <v>58.941823699999986</v>
      </c>
      <c r="AB52" s="50">
        <v>67.919365490000004</v>
      </c>
      <c r="AC52" s="50">
        <v>55.813229660000005</v>
      </c>
      <c r="AD52" s="85">
        <f t="shared" si="8"/>
        <v>706.93525574000012</v>
      </c>
      <c r="AE52" s="85">
        <f>AE53+AE54+AE55</f>
        <v>706.94286199999988</v>
      </c>
      <c r="AF52" s="85">
        <v>51.992389280000005</v>
      </c>
      <c r="AG52" s="85">
        <v>56.094638679999996</v>
      </c>
      <c r="AH52" s="85">
        <v>61.113295690000001</v>
      </c>
      <c r="AI52" s="85">
        <v>68.489875659999996</v>
      </c>
      <c r="AJ52" s="85">
        <v>52.443572450000005</v>
      </c>
      <c r="AK52" s="85">
        <v>97.92344408999999</v>
      </c>
      <c r="AL52" s="85">
        <v>48.265386629999995</v>
      </c>
      <c r="AM52" s="85">
        <v>26.960779960000004</v>
      </c>
      <c r="AN52" s="85">
        <v>32.835110549999996</v>
      </c>
      <c r="AO52" s="85">
        <v>82.998716659999999</v>
      </c>
      <c r="AP52" s="85">
        <v>64.598766519999998</v>
      </c>
      <c r="AQ52" s="85">
        <v>57.578247439999977</v>
      </c>
      <c r="AR52" s="85">
        <f t="shared" si="9"/>
        <v>701.29422361000002</v>
      </c>
      <c r="AS52" s="85">
        <f>AS53+AS54+AS55</f>
        <v>701.35317399999985</v>
      </c>
      <c r="AT52" s="85">
        <v>50.678503020000015</v>
      </c>
      <c r="AU52" s="85">
        <v>65.588734049999999</v>
      </c>
      <c r="AV52" s="85">
        <v>69.732877860000002</v>
      </c>
      <c r="AW52" s="85">
        <v>70.519459820000009</v>
      </c>
      <c r="AX52" s="85">
        <v>58.887718229999997</v>
      </c>
      <c r="AY52" s="85">
        <v>115.81874789</v>
      </c>
      <c r="AZ52" s="85">
        <v>47.579419599999994</v>
      </c>
      <c r="BA52" s="85">
        <v>30.762553660000002</v>
      </c>
      <c r="BB52" s="85">
        <v>39.920043159999992</v>
      </c>
      <c r="BC52" s="85">
        <v>89.866104679999992</v>
      </c>
      <c r="BD52" s="85">
        <v>67.043144819999995</v>
      </c>
      <c r="BE52" s="85">
        <v>60.884067400000006</v>
      </c>
      <c r="BF52" s="85">
        <f t="shared" si="10"/>
        <v>767.28137419000007</v>
      </c>
      <c r="BG52" s="85">
        <f>BG53+BG54+BG55</f>
        <v>767.28137300000003</v>
      </c>
      <c r="BH52" s="85">
        <v>57.835555589999984</v>
      </c>
      <c r="BI52" s="85">
        <v>66.431156119999983</v>
      </c>
      <c r="BJ52" s="85">
        <v>67.792456430000001</v>
      </c>
      <c r="BK52" s="85">
        <v>75.946158439999977</v>
      </c>
      <c r="BL52" s="85">
        <v>60.298810969999991</v>
      </c>
      <c r="BM52" s="85">
        <v>112.97870559000002</v>
      </c>
      <c r="BN52" s="85">
        <v>59.433167709999999</v>
      </c>
      <c r="BO52" s="85">
        <v>35.856073510000009</v>
      </c>
      <c r="BP52" s="85">
        <v>60.880023540000025</v>
      </c>
      <c r="BQ52" s="85">
        <v>91.138149320000025</v>
      </c>
      <c r="BR52" s="85">
        <v>65.39001884000001</v>
      </c>
      <c r="BS52" s="85">
        <v>82.328889469999993</v>
      </c>
      <c r="BT52" s="88">
        <f t="shared" si="15"/>
        <v>836.30916553000009</v>
      </c>
      <c r="BU52" s="85">
        <f>BU53+BU54+BU55</f>
        <v>836.35503600000004</v>
      </c>
      <c r="BV52" s="85">
        <v>75.510368659999997</v>
      </c>
      <c r="BW52" s="85">
        <v>78.725869079999995</v>
      </c>
      <c r="BX52" s="85">
        <v>71.830530719999956</v>
      </c>
      <c r="BY52" s="85">
        <v>98.50054562000004</v>
      </c>
      <c r="BZ52" s="85">
        <v>66.932651359999994</v>
      </c>
      <c r="CA52" s="85">
        <v>112.37262836000001</v>
      </c>
      <c r="CB52" s="85">
        <v>82.326656360000001</v>
      </c>
      <c r="CC52" s="85">
        <v>37.633026579999999</v>
      </c>
      <c r="CD52" s="85">
        <v>71.299063920000023</v>
      </c>
      <c r="CE52" s="85">
        <v>106.86744925999997</v>
      </c>
      <c r="CF52" s="85">
        <v>63.690035759999994</v>
      </c>
      <c r="CG52" s="85">
        <v>66.420478030000012</v>
      </c>
      <c r="CH52" s="88">
        <f t="shared" si="16"/>
        <v>932.10930370999995</v>
      </c>
      <c r="CI52" s="85">
        <f>CI53+CI54+CI55</f>
        <v>932.46151499999996</v>
      </c>
      <c r="CJ52" s="85">
        <v>78.389191029999978</v>
      </c>
      <c r="CK52" s="85">
        <v>92.781403760000018</v>
      </c>
      <c r="CL52" s="85">
        <v>76.902320799999998</v>
      </c>
      <c r="CM52" s="85">
        <v>103.91473397999978</v>
      </c>
      <c r="CN52" s="185">
        <v>65.658547649999988</v>
      </c>
      <c r="CO52" s="49">
        <v>113.86318798000002</v>
      </c>
      <c r="CP52" s="88">
        <v>84.839184679999974</v>
      </c>
      <c r="CQ52" s="89">
        <v>51.070389530000007</v>
      </c>
      <c r="CR52" s="88">
        <v>77.942255729999985</v>
      </c>
      <c r="CS52" s="88">
        <v>112.60285519000001</v>
      </c>
      <c r="CT52" s="88">
        <v>69.289060230000004</v>
      </c>
      <c r="CU52" s="88">
        <v>74.434420949999492</v>
      </c>
      <c r="CV52" s="88">
        <f t="shared" si="21"/>
        <v>1001.6875515099994</v>
      </c>
      <c r="CW52" s="85">
        <f>CW53+CW54+CW55</f>
        <v>1010.8326830000001</v>
      </c>
      <c r="CX52" s="88">
        <v>95.012013999999994</v>
      </c>
      <c r="CY52" s="88">
        <v>95.711452540000025</v>
      </c>
      <c r="CZ52" s="88">
        <v>104.301922</v>
      </c>
      <c r="DA52" s="88">
        <v>114.07501000000001</v>
      </c>
      <c r="DB52" s="88">
        <v>72.916781999999998</v>
      </c>
      <c r="DC52" s="88">
        <v>137.49799999999999</v>
      </c>
      <c r="DD52" s="88">
        <v>71.967445999999995</v>
      </c>
      <c r="DE52" s="88">
        <v>39.174567000000003</v>
      </c>
      <c r="DF52" s="88">
        <v>66.412099999999995</v>
      </c>
      <c r="DG52" s="88">
        <v>126.17057</v>
      </c>
      <c r="DH52" s="88">
        <v>77.833873199999971</v>
      </c>
      <c r="DI52" s="88">
        <v>91.118820440000022</v>
      </c>
      <c r="DJ52" s="88">
        <f t="shared" si="22"/>
        <v>1092.19255718</v>
      </c>
      <c r="DK52" s="85">
        <f>DK53+DK54+DK55</f>
        <v>1092.397841</v>
      </c>
      <c r="DL52" s="85">
        <v>95.739848839999993</v>
      </c>
      <c r="DM52" s="85">
        <v>103.18563746</v>
      </c>
      <c r="DN52" s="85">
        <v>87.293046249999961</v>
      </c>
      <c r="DO52" s="85">
        <v>135.72076686</v>
      </c>
      <c r="DP52" s="85">
        <v>75.753521619999958</v>
      </c>
      <c r="DQ52" s="85">
        <v>155.82287763000002</v>
      </c>
      <c r="DR52" s="85">
        <v>100.61699397999998</v>
      </c>
      <c r="DS52" s="85">
        <v>53.82242543000001</v>
      </c>
      <c r="DT52" s="85">
        <v>90.939448089999956</v>
      </c>
      <c r="DU52" s="85">
        <v>156.61278452999994</v>
      </c>
      <c r="DV52" s="85">
        <v>83.908665400000075</v>
      </c>
      <c r="DW52" s="85">
        <v>103.37145534000001</v>
      </c>
      <c r="DX52" s="88">
        <f t="shared" si="23"/>
        <v>1242.7874714299999</v>
      </c>
      <c r="DY52" s="85">
        <f>DY53+DY54+DY55</f>
        <v>1242.9027619999999</v>
      </c>
      <c r="DZ52" s="85">
        <v>99.427705979999956</v>
      </c>
      <c r="EA52" s="85">
        <v>103.18279883000002</v>
      </c>
      <c r="EB52" s="85">
        <v>89.625025670000056</v>
      </c>
      <c r="EC52" s="85">
        <v>148.67381523999998</v>
      </c>
      <c r="ED52" s="85">
        <v>84.033932030000003</v>
      </c>
      <c r="EE52" s="85">
        <v>180.42571133999985</v>
      </c>
      <c r="EF52" s="85">
        <v>103.92855416000005</v>
      </c>
      <c r="EG52" s="85">
        <v>44.052520709999996</v>
      </c>
      <c r="EH52" s="85">
        <v>68.401844290000028</v>
      </c>
      <c r="EI52" s="85">
        <v>169.71200469000016</v>
      </c>
      <c r="EJ52" s="85">
        <v>91.53882224999991</v>
      </c>
      <c r="EK52" s="85">
        <v>95.773250589999989</v>
      </c>
      <c r="EL52" s="88">
        <f t="shared" si="17"/>
        <v>1278.7759857799999</v>
      </c>
      <c r="EM52" s="85">
        <f>EM53+EM54+EM55</f>
        <v>1279.0819080000001</v>
      </c>
      <c r="EN52" s="85">
        <v>117.23966976999998</v>
      </c>
      <c r="EO52" s="85">
        <v>105.68441608999998</v>
      </c>
      <c r="EP52" s="85">
        <v>106.52121515999998</v>
      </c>
      <c r="EQ52" s="85">
        <v>173.14425561000002</v>
      </c>
      <c r="ER52" s="85">
        <v>84.837601100000015</v>
      </c>
      <c r="ES52" s="85">
        <v>196.12170296000005</v>
      </c>
      <c r="ET52" s="85">
        <v>96.100860699999984</v>
      </c>
      <c r="EU52" s="85">
        <v>27.871503220000012</v>
      </c>
      <c r="EV52" s="85">
        <v>73.335092740000022</v>
      </c>
      <c r="EW52" s="85">
        <v>151.28113802999999</v>
      </c>
      <c r="EX52" s="85">
        <v>122.18141272000004</v>
      </c>
      <c r="EY52" s="85">
        <v>126.24267847000007</v>
      </c>
      <c r="EZ52" s="88">
        <f t="shared" si="18"/>
        <v>1380.5615465700002</v>
      </c>
      <c r="FA52" s="85">
        <f>FA53+FA54+FA55</f>
        <v>1380.561461</v>
      </c>
      <c r="FB52" s="85">
        <v>123.02197769999995</v>
      </c>
      <c r="FC52" s="85">
        <v>118.39462192000001</v>
      </c>
      <c r="FD52" s="85">
        <v>105.25442782999998</v>
      </c>
      <c r="FE52" s="85">
        <v>158.1746525799999</v>
      </c>
      <c r="FF52" s="85">
        <v>137.61280842999994</v>
      </c>
      <c r="FG52" s="85">
        <v>266.09066803000002</v>
      </c>
      <c r="FH52" s="85">
        <v>106.01141949000005</v>
      </c>
      <c r="FI52" s="85">
        <v>46.632313949999983</v>
      </c>
      <c r="FJ52" s="85">
        <v>145.01917215999993</v>
      </c>
      <c r="FK52" s="85">
        <v>142.28139950000002</v>
      </c>
      <c r="FL52" s="85">
        <v>95.059439740000002</v>
      </c>
      <c r="FM52" s="85">
        <v>107.5181266700001</v>
      </c>
      <c r="FN52" s="88">
        <f t="shared" si="11"/>
        <v>1551.0710279999998</v>
      </c>
      <c r="FO52" s="85">
        <v>149.46028608</v>
      </c>
      <c r="FP52" s="85">
        <v>128.0108073399999</v>
      </c>
      <c r="FQ52" s="85">
        <v>116.75157446999998</v>
      </c>
      <c r="FR52" s="85">
        <v>171.82905256000004</v>
      </c>
      <c r="FS52" s="85"/>
      <c r="FT52" s="85"/>
      <c r="FU52" s="85"/>
      <c r="FV52" s="85"/>
      <c r="FW52" s="85"/>
      <c r="FX52" s="85"/>
      <c r="FY52" s="85"/>
      <c r="FZ52" s="85"/>
      <c r="GA52" s="307">
        <f t="shared" si="19"/>
        <v>504.84568000000002</v>
      </c>
      <c r="GB52" s="307">
        <f t="shared" si="20"/>
        <v>566.05172000000005</v>
      </c>
      <c r="GC52" s="308">
        <f t="shared" si="12"/>
        <v>61.20604000000003</v>
      </c>
      <c r="GD52" s="308">
        <f t="shared" si="13"/>
        <v>12.12371273534518</v>
      </c>
    </row>
    <row r="53" spans="1:186" s="12" customFormat="1" ht="19" hidden="1" customHeight="1">
      <c r="A53" s="56" t="s">
        <v>208</v>
      </c>
      <c r="B53" s="13"/>
      <c r="C53" s="47" t="s">
        <v>209</v>
      </c>
      <c r="D53" s="45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85">
        <f t="shared" si="7"/>
        <v>0</v>
      </c>
      <c r="Q53" s="85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85">
        <f t="shared" si="8"/>
        <v>0</v>
      </c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>
        <f t="shared" si="9"/>
        <v>0</v>
      </c>
      <c r="AS53" s="131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>
        <f t="shared" si="10"/>
        <v>0</v>
      </c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8">
        <f t="shared" si="15"/>
        <v>0</v>
      </c>
      <c r="BU53" s="85"/>
      <c r="BV53" s="85"/>
      <c r="BW53" s="85"/>
      <c r="BX53" s="85"/>
      <c r="BY53" s="85"/>
      <c r="BZ53" s="85"/>
      <c r="CA53" s="85"/>
      <c r="CB53" s="85"/>
      <c r="CC53" s="85"/>
      <c r="CD53" s="85"/>
      <c r="CE53" s="85"/>
      <c r="CF53" s="85"/>
      <c r="CG53" s="85"/>
      <c r="CH53" s="88">
        <f t="shared" si="16"/>
        <v>0</v>
      </c>
      <c r="CI53" s="85"/>
      <c r="CJ53" s="85"/>
      <c r="CK53" s="85"/>
      <c r="CL53" s="85"/>
      <c r="CM53" s="85"/>
      <c r="CN53" s="85"/>
      <c r="CO53" s="180"/>
      <c r="CP53" s="180"/>
      <c r="CQ53" s="180"/>
      <c r="CR53" s="88"/>
      <c r="CS53" s="88"/>
      <c r="CT53" s="88"/>
      <c r="CU53" s="88"/>
      <c r="CV53" s="88">
        <f t="shared" si="21"/>
        <v>0</v>
      </c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>
        <f t="shared" si="22"/>
        <v>0</v>
      </c>
      <c r="DK53" s="85"/>
      <c r="DL53" s="85"/>
      <c r="DM53" s="85"/>
      <c r="DN53" s="85"/>
      <c r="DO53" s="85"/>
      <c r="DP53" s="85"/>
      <c r="DR53" s="85">
        <v>100.61699397999998</v>
      </c>
      <c r="DS53" s="85">
        <v>53.82242543000001</v>
      </c>
      <c r="DT53" s="85">
        <v>90.939448089999956</v>
      </c>
      <c r="DU53" s="85"/>
      <c r="DV53" s="85"/>
      <c r="DW53" s="85"/>
      <c r="DX53" s="88">
        <f t="shared" si="23"/>
        <v>245.37886749999993</v>
      </c>
      <c r="DY53" s="85"/>
      <c r="DZ53" s="85"/>
      <c r="EA53" s="85"/>
      <c r="EB53" s="85"/>
      <c r="EC53" s="85"/>
      <c r="ED53" s="85">
        <v>84.033932030000003</v>
      </c>
      <c r="EE53" s="85"/>
      <c r="EF53" s="85"/>
      <c r="EG53" s="85"/>
      <c r="EH53" s="85"/>
      <c r="EI53" s="85"/>
      <c r="EJ53" s="85"/>
      <c r="EK53" s="85">
        <v>95.773250589999989</v>
      </c>
      <c r="EL53" s="88">
        <f t="shared" si="17"/>
        <v>179.80718261999999</v>
      </c>
      <c r="EM53" s="85"/>
      <c r="EN53" s="85"/>
      <c r="EO53" s="85"/>
      <c r="EP53" s="85"/>
      <c r="EQ53" s="85"/>
      <c r="ER53" s="85"/>
      <c r="ES53" s="85"/>
      <c r="ET53" s="85"/>
      <c r="EU53" s="85"/>
      <c r="EV53" s="85"/>
      <c r="EW53" s="85"/>
      <c r="EX53" s="85"/>
      <c r="EY53" s="85"/>
      <c r="EZ53" s="88">
        <f t="shared" si="18"/>
        <v>0</v>
      </c>
      <c r="FA53" s="85"/>
      <c r="FB53" s="85"/>
      <c r="FC53" s="85"/>
      <c r="FD53" s="85"/>
      <c r="FE53" s="85"/>
      <c r="FF53" s="85"/>
      <c r="FG53" s="85"/>
      <c r="FH53" s="85"/>
      <c r="FI53" s="85"/>
      <c r="FJ53" s="85"/>
      <c r="FK53" s="85"/>
      <c r="FL53" s="85"/>
      <c r="FM53" s="85"/>
      <c r="FN53" s="88">
        <f t="shared" si="11"/>
        <v>0</v>
      </c>
      <c r="FO53" s="85"/>
      <c r="FP53" s="85"/>
      <c r="FQ53" s="85"/>
      <c r="FR53" s="85"/>
      <c r="FS53" s="85"/>
      <c r="FT53" s="85"/>
      <c r="FU53" s="85"/>
      <c r="FV53" s="85"/>
      <c r="FW53" s="85"/>
      <c r="FX53" s="85"/>
      <c r="FY53" s="85"/>
      <c r="FZ53" s="85"/>
      <c r="GA53" s="307">
        <f t="shared" si="19"/>
        <v>0</v>
      </c>
      <c r="GB53" s="307">
        <f t="shared" si="20"/>
        <v>0</v>
      </c>
      <c r="GC53" s="308">
        <f t="shared" si="12"/>
        <v>0</v>
      </c>
      <c r="GD53" s="308" t="e">
        <f t="shared" si="13"/>
        <v>#DIV/0!</v>
      </c>
    </row>
    <row r="54" spans="1:186" s="12" customFormat="1" ht="18" customHeight="1">
      <c r="A54" s="56" t="s">
        <v>210</v>
      </c>
      <c r="B54" s="13"/>
      <c r="C54" s="47" t="s">
        <v>212</v>
      </c>
      <c r="D54" s="45">
        <v>38.983201450000003</v>
      </c>
      <c r="E54" s="50">
        <v>38.101433999999998</v>
      </c>
      <c r="F54" s="50">
        <v>40.505922340000005</v>
      </c>
      <c r="G54" s="50">
        <v>42.230191920000003</v>
      </c>
      <c r="H54" s="50">
        <v>38.698756420000002</v>
      </c>
      <c r="I54" s="50">
        <v>75.812978720000004</v>
      </c>
      <c r="J54" s="50">
        <v>28.444886060000002</v>
      </c>
      <c r="K54" s="50">
        <v>13.887399009999999</v>
      </c>
      <c r="L54" s="50">
        <v>43.244221559999986</v>
      </c>
      <c r="M54" s="50">
        <v>48.79395976</v>
      </c>
      <c r="N54" s="50">
        <v>40.319568980000014</v>
      </c>
      <c r="O54" s="50">
        <v>42.141455409999999</v>
      </c>
      <c r="P54" s="85">
        <f t="shared" si="7"/>
        <v>491.16397563000004</v>
      </c>
      <c r="Q54" s="85">
        <f>436.58892+22.486722+30.30252+0.502277</f>
        <v>489.88043899999997</v>
      </c>
      <c r="R54" s="50">
        <v>41.065709910000002</v>
      </c>
      <c r="S54" s="50">
        <v>42.11365636</v>
      </c>
      <c r="T54" s="50">
        <v>44.024397110000017</v>
      </c>
      <c r="U54" s="50">
        <v>47.499720619999998</v>
      </c>
      <c r="V54" s="50">
        <v>44.867189830000001</v>
      </c>
      <c r="W54" s="50">
        <v>89.255113340000008</v>
      </c>
      <c r="X54" s="50">
        <v>29.449239179999992</v>
      </c>
      <c r="Y54" s="50">
        <v>16.226283610000007</v>
      </c>
      <c r="Z54" s="50">
        <v>40.819282199999996</v>
      </c>
      <c r="AA54" s="50">
        <v>45.593103219999989</v>
      </c>
      <c r="AB54" s="50">
        <v>44.220395450000005</v>
      </c>
      <c r="AC54" s="50">
        <v>39.185022920000009</v>
      </c>
      <c r="AD54" s="85">
        <f t="shared" si="8"/>
        <v>524.31911375000004</v>
      </c>
      <c r="AE54" s="85">
        <f>520.218275+4.100837</f>
        <v>524.3191119999999</v>
      </c>
      <c r="AF54" s="85">
        <v>43.659520200000003</v>
      </c>
      <c r="AG54" s="85">
        <v>41.805046789999999</v>
      </c>
      <c r="AH54" s="85">
        <v>44.26443536</v>
      </c>
      <c r="AI54" s="85">
        <v>48.888910010000004</v>
      </c>
      <c r="AJ54" s="85">
        <v>38.701324490000012</v>
      </c>
      <c r="AK54" s="85">
        <v>82.349749839999987</v>
      </c>
      <c r="AL54" s="85">
        <v>29.199704989999997</v>
      </c>
      <c r="AM54" s="85">
        <v>15.958450060000004</v>
      </c>
      <c r="AN54" s="85">
        <v>21.004786779999996</v>
      </c>
      <c r="AO54" s="85">
        <v>67.123012200000005</v>
      </c>
      <c r="AP54" s="85">
        <v>51.32521306999999</v>
      </c>
      <c r="AQ54" s="85">
        <v>39.753296049999982</v>
      </c>
      <c r="AR54" s="85">
        <f t="shared" si="9"/>
        <v>524.03344984</v>
      </c>
      <c r="AS54" s="85">
        <f>518.925361+5.108089+0.058948</f>
        <v>524.09239799999989</v>
      </c>
      <c r="AT54" s="85">
        <v>46.048892940000016</v>
      </c>
      <c r="AU54" s="85">
        <v>44.833943909999995</v>
      </c>
      <c r="AV54" s="85">
        <v>50.220977640000001</v>
      </c>
      <c r="AW54" s="85">
        <v>53.275798180000002</v>
      </c>
      <c r="AX54" s="85">
        <v>44.189522269999998</v>
      </c>
      <c r="AY54" s="85">
        <v>95.30457955</v>
      </c>
      <c r="AZ54" s="85">
        <v>26.910455989999996</v>
      </c>
      <c r="BA54" s="85">
        <v>15.944722100000002</v>
      </c>
      <c r="BB54" s="85">
        <v>27.369379299999995</v>
      </c>
      <c r="BC54" s="85">
        <v>71.985869269999995</v>
      </c>
      <c r="BD54" s="85">
        <v>48.304911750000009</v>
      </c>
      <c r="BE54" s="85">
        <v>41.361432440000016</v>
      </c>
      <c r="BF54" s="85">
        <f t="shared" si="10"/>
        <v>565.75048533999995</v>
      </c>
      <c r="BG54" s="85">
        <f>559.574865+6.175619</f>
        <v>565.75048400000003</v>
      </c>
      <c r="BH54" s="85">
        <v>48.792549549999983</v>
      </c>
      <c r="BI54" s="85">
        <v>45.351419789999994</v>
      </c>
      <c r="BJ54" s="85">
        <v>48.731701150000006</v>
      </c>
      <c r="BK54" s="85">
        <v>52.544877909999983</v>
      </c>
      <c r="BL54" s="85">
        <v>45.487859039999989</v>
      </c>
      <c r="BM54" s="85">
        <v>95.786331200000021</v>
      </c>
      <c r="BN54" s="85">
        <v>34.507514570000005</v>
      </c>
      <c r="BO54" s="85">
        <v>19.249875830000001</v>
      </c>
      <c r="BP54" s="85">
        <v>44.646947710000013</v>
      </c>
      <c r="BQ54" s="85">
        <v>67.285827040000015</v>
      </c>
      <c r="BR54" s="85">
        <v>50.987079229999999</v>
      </c>
      <c r="BS54" s="85">
        <v>58.362477689999999</v>
      </c>
      <c r="BT54" s="88">
        <f t="shared" si="15"/>
        <v>611.73446071000001</v>
      </c>
      <c r="BU54" s="85">
        <f>605.901998+5.829356</f>
        <v>611.73135400000001</v>
      </c>
      <c r="BV54" s="85">
        <v>64.123255040000004</v>
      </c>
      <c r="BW54" s="85">
        <v>54.091611449999995</v>
      </c>
      <c r="BX54" s="85">
        <v>57.041730989999998</v>
      </c>
      <c r="BY54" s="85">
        <v>60.826838500000008</v>
      </c>
      <c r="BZ54" s="85">
        <v>57.666365140000003</v>
      </c>
      <c r="CA54" s="85">
        <v>102.13875305999998</v>
      </c>
      <c r="CB54" s="85">
        <v>42.607016570000006</v>
      </c>
      <c r="CC54" s="85">
        <v>23.804202349999994</v>
      </c>
      <c r="CD54" s="85">
        <v>56.530511190000006</v>
      </c>
      <c r="CE54" s="85">
        <v>66.752341649999991</v>
      </c>
      <c r="CF54" s="85">
        <v>54.339199479999998</v>
      </c>
      <c r="CG54" s="85">
        <v>52.173693360000001</v>
      </c>
      <c r="CH54" s="88">
        <f t="shared" si="16"/>
        <v>692.09551877999991</v>
      </c>
      <c r="CI54" s="85">
        <f>Valsts_Pamatbudžets!KW55+Valsts_Speciālais_Budžets!EQ28</f>
        <v>692.36379799999997</v>
      </c>
      <c r="CJ54" s="85">
        <v>67.678090619999978</v>
      </c>
      <c r="CK54" s="85">
        <v>59.838812770000004</v>
      </c>
      <c r="CL54" s="85">
        <v>61.926207939999991</v>
      </c>
      <c r="CM54" s="85">
        <v>67.578653900000006</v>
      </c>
      <c r="CN54" s="185">
        <v>57.975125559999995</v>
      </c>
      <c r="CO54" s="49">
        <v>104.11118743</v>
      </c>
      <c r="CP54" s="88">
        <v>45.394789569999993</v>
      </c>
      <c r="CQ54" s="89">
        <v>33.099798999999997</v>
      </c>
      <c r="CR54" s="88">
        <v>62.957884920000005</v>
      </c>
      <c r="CS54" s="88">
        <v>68.554203900000005</v>
      </c>
      <c r="CT54" s="88">
        <v>59.985528660000007</v>
      </c>
      <c r="CU54" s="88">
        <v>58.268790439999542</v>
      </c>
      <c r="CV54" s="88">
        <f t="shared" si="21"/>
        <v>747.3690747099995</v>
      </c>
      <c r="CW54" s="85">
        <f>Valsts_Pamatbudžets!MM55+Valsts_Speciālais_Budžets!EQ28</f>
        <v>747.31847500000003</v>
      </c>
      <c r="CX54" s="88">
        <v>62.608864679999996</v>
      </c>
      <c r="CY54" s="88">
        <v>77.513282650000022</v>
      </c>
      <c r="CZ54" s="88">
        <v>73.366314959999983</v>
      </c>
      <c r="DA54" s="88">
        <v>71.856711570000044</v>
      </c>
      <c r="DB54" s="88">
        <v>59.975706039999992</v>
      </c>
      <c r="DC54" s="88">
        <v>124.40860585999998</v>
      </c>
      <c r="DD54" s="88">
        <v>27.467483589999993</v>
      </c>
      <c r="DE54" s="88">
        <v>27.763574730000002</v>
      </c>
      <c r="DF54" s="88">
        <v>56.05014524000002</v>
      </c>
      <c r="DG54" s="88">
        <v>82.642088389999998</v>
      </c>
      <c r="DH54" s="88">
        <v>61.663264910000009</v>
      </c>
      <c r="DI54" s="88">
        <v>65.716219770000009</v>
      </c>
      <c r="DJ54" s="88">
        <f t="shared" si="22"/>
        <v>791.03226238999991</v>
      </c>
      <c r="DK54" s="85">
        <f>Valsts_Pamatbudžets!OC55+Valsts_Speciālais_Budžets!FE28</f>
        <v>791.03226299999994</v>
      </c>
      <c r="DL54" s="85">
        <v>76.40521096999997</v>
      </c>
      <c r="DM54" s="85">
        <v>60.920990650000007</v>
      </c>
      <c r="DN54" s="85">
        <v>70.504414389999994</v>
      </c>
      <c r="DO54" s="85">
        <v>83.381213110000004</v>
      </c>
      <c r="DP54" s="85">
        <v>63.975765979999998</v>
      </c>
      <c r="DQ54" s="85">
        <v>137.44986274999999</v>
      </c>
      <c r="DR54" s="85">
        <v>53.710732040000025</v>
      </c>
      <c r="DS54" s="85">
        <v>36.983006900000007</v>
      </c>
      <c r="DT54" s="85">
        <v>78.996421739999974</v>
      </c>
      <c r="DU54" s="85">
        <v>101.00283044999996</v>
      </c>
      <c r="DV54" s="85">
        <v>71.110497370000033</v>
      </c>
      <c r="DW54" s="85">
        <v>78.146866250000002</v>
      </c>
      <c r="DX54" s="88">
        <f t="shared" si="23"/>
        <v>912.58781259999989</v>
      </c>
      <c r="DY54" s="85">
        <f>Valsts_Pamatbudžets!PS55+Valsts_Speciālais_Budžets!FS28</f>
        <v>912.60274199999992</v>
      </c>
      <c r="DZ54" s="85">
        <v>82.184464169999998</v>
      </c>
      <c r="EA54" s="85">
        <v>67.524643740000002</v>
      </c>
      <c r="EB54" s="85">
        <v>65.144595709999976</v>
      </c>
      <c r="EC54" s="85">
        <v>93.350090239999986</v>
      </c>
      <c r="ED54" s="85">
        <v>64.260834389999999</v>
      </c>
      <c r="EE54" s="85">
        <v>161.12489200000002</v>
      </c>
      <c r="EF54" s="85">
        <v>41.359791900000005</v>
      </c>
      <c r="EG54" s="85">
        <v>22.778949460000007</v>
      </c>
      <c r="EH54" s="85">
        <v>54.484295110000005</v>
      </c>
      <c r="EI54" s="85">
        <v>110.01202133</v>
      </c>
      <c r="EJ54" s="85">
        <v>68.041893529999967</v>
      </c>
      <c r="EK54" s="85">
        <v>74.407513260000016</v>
      </c>
      <c r="EL54" s="88">
        <f t="shared" si="17"/>
        <v>904.67398484</v>
      </c>
      <c r="EM54" s="85">
        <f>Valsts_Pamatbudžets!RI55+Valsts_Speciālais_Budžets!GG28</f>
        <v>904.67398900000001</v>
      </c>
      <c r="EN54" s="85">
        <v>91.895911929999983</v>
      </c>
      <c r="EO54" s="85">
        <v>74.898156859999972</v>
      </c>
      <c r="EP54" s="85">
        <v>80.28033173999998</v>
      </c>
      <c r="EQ54" s="85">
        <v>106.00715694000004</v>
      </c>
      <c r="ER54" s="85">
        <v>69.773257079999993</v>
      </c>
      <c r="ES54" s="85">
        <v>178.60468536000008</v>
      </c>
      <c r="ET54" s="85">
        <v>34.722615900000008</v>
      </c>
      <c r="EU54" s="85">
        <v>18.211976930000002</v>
      </c>
      <c r="EV54" s="85">
        <v>57.048979840000008</v>
      </c>
      <c r="EW54" s="85">
        <v>107.70984554</v>
      </c>
      <c r="EX54" s="85">
        <v>77.151165820000031</v>
      </c>
      <c r="EY54" s="85">
        <v>71.257409940000031</v>
      </c>
      <c r="EZ54" s="88">
        <f t="shared" si="18"/>
        <v>967.56149388000017</v>
      </c>
      <c r="FA54" s="85">
        <f>Valsts_Pamatbudžets!SY55+Valsts_Speciālais_Budžets!GU28</f>
        <v>967.56099299999994</v>
      </c>
      <c r="FB54" s="85">
        <v>110.43973575999996</v>
      </c>
      <c r="FC54" s="85">
        <v>80.494805739999975</v>
      </c>
      <c r="FD54" s="85">
        <v>82.88694461</v>
      </c>
      <c r="FE54" s="85">
        <v>107.01376252999997</v>
      </c>
      <c r="FF54" s="85">
        <v>83.847137250000017</v>
      </c>
      <c r="FG54" s="85">
        <v>183.76030493000002</v>
      </c>
      <c r="FH54" s="85">
        <v>45.837537949999991</v>
      </c>
      <c r="FI54" s="85">
        <v>27.204539019999995</v>
      </c>
      <c r="FJ54" s="85">
        <v>113.79239237</v>
      </c>
      <c r="FK54" s="85">
        <v>82.789221040000015</v>
      </c>
      <c r="FL54" s="85">
        <v>79.917007370000022</v>
      </c>
      <c r="FM54" s="85">
        <v>82.347839870000129</v>
      </c>
      <c r="FN54" s="88">
        <f t="shared" si="11"/>
        <v>1080.3312284399999</v>
      </c>
      <c r="FO54" s="85">
        <v>107.54573420000004</v>
      </c>
      <c r="FP54" s="85">
        <v>104.83508116999997</v>
      </c>
      <c r="FQ54" s="85">
        <v>87.124418629999994</v>
      </c>
      <c r="FR54" s="85">
        <v>109.63645661999996</v>
      </c>
      <c r="FS54" s="85"/>
      <c r="FT54" s="85"/>
      <c r="FU54" s="85"/>
      <c r="FV54" s="85"/>
      <c r="FW54" s="85"/>
      <c r="FX54" s="85"/>
      <c r="FY54" s="85"/>
      <c r="FZ54" s="85"/>
      <c r="GA54" s="307">
        <f t="shared" si="19"/>
        <v>380.83524899999998</v>
      </c>
      <c r="GB54" s="307">
        <f t="shared" si="20"/>
        <v>409.14169099999998</v>
      </c>
      <c r="GC54" s="308">
        <f t="shared" si="12"/>
        <v>28.306442000000004</v>
      </c>
      <c r="GD54" s="308">
        <f t="shared" si="13"/>
        <v>7.4327263755987047</v>
      </c>
    </row>
    <row r="55" spans="1:186" s="12" customFormat="1" ht="18" customHeight="1">
      <c r="A55" s="56" t="s">
        <v>213</v>
      </c>
      <c r="B55" s="13"/>
      <c r="C55" s="47" t="s">
        <v>215</v>
      </c>
      <c r="D55" s="45">
        <v>8.4647667999999996</v>
      </c>
      <c r="E55" s="50">
        <v>13.065974000000001</v>
      </c>
      <c r="F55" s="50">
        <v>14.49219385</v>
      </c>
      <c r="G55" s="50">
        <v>13.047269740000001</v>
      </c>
      <c r="H55" s="50">
        <v>11.37367661</v>
      </c>
      <c r="I55" s="50">
        <v>13.768897820000001</v>
      </c>
      <c r="J55" s="50">
        <v>15.296447499999996</v>
      </c>
      <c r="K55" s="50">
        <v>10.90452831</v>
      </c>
      <c r="L55" s="50">
        <v>11.53813669</v>
      </c>
      <c r="M55" s="50">
        <v>18.566846460000001</v>
      </c>
      <c r="N55" s="50">
        <v>13.319271839999999</v>
      </c>
      <c r="O55" s="50">
        <v>20.469372239999998</v>
      </c>
      <c r="P55" s="85">
        <f t="shared" si="7"/>
        <v>164.30738186000002</v>
      </c>
      <c r="Q55" s="85">
        <f>161.690416+2.273428+0.214437+0.129019</f>
        <v>164.3073</v>
      </c>
      <c r="R55" s="50">
        <v>8.5203157199999993</v>
      </c>
      <c r="S55" s="50">
        <v>14.85519051</v>
      </c>
      <c r="T55" s="50">
        <v>14.231988309999998</v>
      </c>
      <c r="U55" s="50">
        <v>14.620214549999998</v>
      </c>
      <c r="V55" s="50">
        <v>15.754203630000001</v>
      </c>
      <c r="W55" s="50">
        <v>22.886992220000007</v>
      </c>
      <c r="X55" s="50">
        <v>16.414037560000004</v>
      </c>
      <c r="Y55" s="50">
        <v>10.632261140000001</v>
      </c>
      <c r="Z55" s="50">
        <v>11.02504109</v>
      </c>
      <c r="AA55" s="50">
        <v>13.348720480000001</v>
      </c>
      <c r="AB55" s="50">
        <v>23.698970040000003</v>
      </c>
      <c r="AC55" s="50">
        <v>16.62820674</v>
      </c>
      <c r="AD55" s="85">
        <f t="shared" si="8"/>
        <v>182.61614199000002</v>
      </c>
      <c r="AE55" s="85">
        <f>182.490631+0.133119</f>
        <v>182.62375</v>
      </c>
      <c r="AF55" s="85">
        <v>8.3328690800000018</v>
      </c>
      <c r="AG55" s="85">
        <v>14.289591889999999</v>
      </c>
      <c r="AH55" s="85">
        <v>16.848860329999997</v>
      </c>
      <c r="AI55" s="85">
        <v>19.600965649999999</v>
      </c>
      <c r="AJ55" s="85">
        <v>13.742247959999997</v>
      </c>
      <c r="AK55" s="85">
        <v>15.573694250000003</v>
      </c>
      <c r="AL55" s="85">
        <v>19.065681640000001</v>
      </c>
      <c r="AM55" s="85">
        <v>11.002329899999998</v>
      </c>
      <c r="AN55" s="85">
        <v>11.830323770000001</v>
      </c>
      <c r="AO55" s="85">
        <v>15.87570446</v>
      </c>
      <c r="AP55" s="85">
        <v>13.273553450000001</v>
      </c>
      <c r="AQ55" s="85">
        <v>17.824951389999995</v>
      </c>
      <c r="AR55" s="85">
        <f t="shared" si="9"/>
        <v>177.26077376999999</v>
      </c>
      <c r="AS55" s="85">
        <f>177.12763+0.133146</f>
        <v>177.26077600000002</v>
      </c>
      <c r="AT55" s="85">
        <v>4.6296100799999991</v>
      </c>
      <c r="AU55" s="85">
        <v>20.754790139999997</v>
      </c>
      <c r="AV55" s="85">
        <v>19.511900219999998</v>
      </c>
      <c r="AW55" s="85">
        <v>17.243661639999999</v>
      </c>
      <c r="AX55" s="85">
        <v>14.698195960000001</v>
      </c>
      <c r="AY55" s="85">
        <v>20.514168339999998</v>
      </c>
      <c r="AZ55" s="85">
        <v>20.668963610000002</v>
      </c>
      <c r="BA55" s="85">
        <v>14.817831559999998</v>
      </c>
      <c r="BB55" s="85">
        <v>12.55066386</v>
      </c>
      <c r="BC55" s="85">
        <v>17.880235410000001</v>
      </c>
      <c r="BD55" s="85">
        <v>18.73823307</v>
      </c>
      <c r="BE55" s="85">
        <v>19.522634960000005</v>
      </c>
      <c r="BF55" s="85">
        <f t="shared" si="10"/>
        <v>201.53088885000003</v>
      </c>
      <c r="BG55" s="85">
        <f>201.40346+0.127429</f>
        <v>201.530889</v>
      </c>
      <c r="BH55" s="85">
        <v>9.0430060399999999</v>
      </c>
      <c r="BI55" s="85">
        <v>21.079736329999999</v>
      </c>
      <c r="BJ55" s="85">
        <v>19.060755279999995</v>
      </c>
      <c r="BK55" s="85">
        <v>23.401280530000005</v>
      </c>
      <c r="BL55" s="85">
        <v>14.810951930000002</v>
      </c>
      <c r="BM55" s="85">
        <v>17.192374390000008</v>
      </c>
      <c r="BN55" s="85">
        <v>24.925653140000001</v>
      </c>
      <c r="BO55" s="85">
        <v>16.606197680000001</v>
      </c>
      <c r="BP55" s="85">
        <v>16.233075830000001</v>
      </c>
      <c r="BQ55" s="85">
        <v>23.852322280000003</v>
      </c>
      <c r="BR55" s="85">
        <v>14.402939609999999</v>
      </c>
      <c r="BS55" s="85">
        <v>23.966411780000001</v>
      </c>
      <c r="BT55" s="88">
        <f t="shared" si="15"/>
        <v>224.57470482000002</v>
      </c>
      <c r="BU55" s="85">
        <f>224.408004+0.135889+0.079789</f>
        <v>224.623682</v>
      </c>
      <c r="BV55" s="85">
        <v>11.387113620000003</v>
      </c>
      <c r="BW55" s="85">
        <v>24.634257630000004</v>
      </c>
      <c r="BX55" s="85">
        <v>14.788799729999999</v>
      </c>
      <c r="BY55" s="85">
        <v>37.673707120000024</v>
      </c>
      <c r="BZ55" s="85">
        <v>9.2662862199999996</v>
      </c>
      <c r="CA55" s="85">
        <v>10.233875300000001</v>
      </c>
      <c r="CB55" s="85">
        <v>39.719639789999995</v>
      </c>
      <c r="CC55" s="85">
        <v>13.828824230000002</v>
      </c>
      <c r="CD55" s="85">
        <v>14.768552730000001</v>
      </c>
      <c r="CE55" s="85">
        <v>40.115107609999995</v>
      </c>
      <c r="CF55" s="85">
        <v>9.3508362800000011</v>
      </c>
      <c r="CG55" s="85">
        <v>14.24678467</v>
      </c>
      <c r="CH55" s="88">
        <f t="shared" si="16"/>
        <v>240.01378493000007</v>
      </c>
      <c r="CI55" s="85">
        <f>Valsts_Pamatbudžets!KW56+Valsts_Speciālais_Budžets!EC29</f>
        <v>240.09771700000002</v>
      </c>
      <c r="CJ55" s="85">
        <v>10.711100410000002</v>
      </c>
      <c r="CK55" s="85">
        <v>32.942590989999999</v>
      </c>
      <c r="CL55" s="85">
        <v>14.976112860000001</v>
      </c>
      <c r="CM55" s="85">
        <v>45.559388189999986</v>
      </c>
      <c r="CN55" s="85">
        <v>7.6834220899999979</v>
      </c>
      <c r="CO55" s="85">
        <v>9.7520005499999964</v>
      </c>
      <c r="CP55" s="85">
        <v>39.444395110000016</v>
      </c>
      <c r="CQ55" s="185">
        <v>17.970590530000003</v>
      </c>
      <c r="CR55" s="88">
        <v>14.984370810000003</v>
      </c>
      <c r="CS55" s="88">
        <v>44.048651289999995</v>
      </c>
      <c r="CT55" s="88">
        <v>9.3035315700000005</v>
      </c>
      <c r="CU55" s="88">
        <v>16.16563051</v>
      </c>
      <c r="CV55" s="88">
        <f t="shared" si="21"/>
        <v>263.54178490999999</v>
      </c>
      <c r="CW55" s="85">
        <f>Valsts_Pamatbudžets!MM56+Valsts_Speciālais_Budžets!EQ29</f>
        <v>263.514208</v>
      </c>
      <c r="CX55" s="88">
        <v>32.403148559999998</v>
      </c>
      <c r="CY55" s="88">
        <v>18.198169889999999</v>
      </c>
      <c r="CZ55" s="88">
        <v>30.935606710000005</v>
      </c>
      <c r="DA55" s="88">
        <v>42.21829846</v>
      </c>
      <c r="DB55" s="88">
        <v>12.941076339999999</v>
      </c>
      <c r="DC55" s="88">
        <v>13.089394139999996</v>
      </c>
      <c r="DD55" s="88">
        <v>44.49996239</v>
      </c>
      <c r="DE55" s="88">
        <v>11.410991829999999</v>
      </c>
      <c r="DF55" s="88">
        <v>10.361954269999998</v>
      </c>
      <c r="DG55" s="88">
        <v>43.528481980000002</v>
      </c>
      <c r="DH55" s="88">
        <v>16.170608290000004</v>
      </c>
      <c r="DI55" s="88">
        <v>25.402600670000005</v>
      </c>
      <c r="DJ55" s="88">
        <f t="shared" si="22"/>
        <v>301.16029353000005</v>
      </c>
      <c r="DK55" s="85">
        <f>Valsts_Pamatbudžets!OC56+Valsts_Speciālais_Budžets!FE29</f>
        <v>301.36557799999997</v>
      </c>
      <c r="DL55" s="85">
        <v>19.334637869999998</v>
      </c>
      <c r="DM55" s="85">
        <v>42.264646809999995</v>
      </c>
      <c r="DN55" s="85">
        <v>16.788631859999999</v>
      </c>
      <c r="DO55" s="85">
        <v>52.33955375</v>
      </c>
      <c r="DP55" s="85">
        <v>11.777755640000002</v>
      </c>
      <c r="DQ55" s="85">
        <v>18.373014879999996</v>
      </c>
      <c r="DR55" s="85">
        <v>46.906261939999993</v>
      </c>
      <c r="DS55" s="85">
        <v>16.839418529999996</v>
      </c>
      <c r="DT55" s="85">
        <v>11.943026349999998</v>
      </c>
      <c r="DU55" s="85">
        <v>55.609954079999994</v>
      </c>
      <c r="DV55" s="85">
        <v>12.798168029999999</v>
      </c>
      <c r="DW55" s="85">
        <v>25.224589089999998</v>
      </c>
      <c r="DX55" s="88">
        <f t="shared" si="23"/>
        <v>330.19965882999998</v>
      </c>
      <c r="DY55" s="85">
        <f>Valsts_Pamatbudžets!PS56+Valsts_Speciālais_Budžets!FS29</f>
        <v>330.30001999999996</v>
      </c>
      <c r="DZ55" s="85">
        <v>17.243241809999997</v>
      </c>
      <c r="EA55" s="85">
        <v>35.658155090000001</v>
      </c>
      <c r="EB55" s="85">
        <v>24.480429960000002</v>
      </c>
      <c r="EC55" s="85">
        <v>55.323724999999982</v>
      </c>
      <c r="ED55" s="85">
        <v>19.773097639999996</v>
      </c>
      <c r="EE55" s="85">
        <v>19.300819339999997</v>
      </c>
      <c r="EF55" s="85">
        <v>62.568762260000007</v>
      </c>
      <c r="EG55" s="85">
        <v>21.273571250000007</v>
      </c>
      <c r="EH55" s="85">
        <v>13.917549179999996</v>
      </c>
      <c r="EI55" s="85">
        <v>59.69998335999999</v>
      </c>
      <c r="EJ55" s="85">
        <v>23.49692872</v>
      </c>
      <c r="EK55" s="85">
        <v>21.365737329999988</v>
      </c>
      <c r="EL55" s="88">
        <f t="shared" si="17"/>
        <v>374.10200093999993</v>
      </c>
      <c r="EM55" s="85">
        <f>Valsts_Pamatbudžets!RI56+Valsts_Speciālais_Budžets!GG29</f>
        <v>374.40791899999999</v>
      </c>
      <c r="EN55" s="85">
        <v>25.343757839999988</v>
      </c>
      <c r="EO55" s="85">
        <v>30.786259230000002</v>
      </c>
      <c r="EP55" s="85">
        <v>26.240883419999989</v>
      </c>
      <c r="EQ55" s="85">
        <v>67.13709867</v>
      </c>
      <c r="ER55" s="85">
        <v>15.064344019999995</v>
      </c>
      <c r="ES55" s="85">
        <v>17.517015980000014</v>
      </c>
      <c r="ET55" s="85">
        <v>61.378244800000019</v>
      </c>
      <c r="EU55" s="85">
        <v>9.6595262900000005</v>
      </c>
      <c r="EV55" s="85">
        <v>16.286112899999999</v>
      </c>
      <c r="EW55" s="85">
        <v>43.57129248999999</v>
      </c>
      <c r="EX55" s="85">
        <v>45.030246900000016</v>
      </c>
      <c r="EY55" s="85">
        <v>54.985268530000049</v>
      </c>
      <c r="EZ55" s="88">
        <f t="shared" si="18"/>
        <v>413.00005107000004</v>
      </c>
      <c r="FA55" s="85">
        <f>Valsts_Pamatbudžets!SY56+Valsts_Speciālais_Budžets!GU29</f>
        <v>413.00046800000001</v>
      </c>
      <c r="FB55" s="85">
        <v>12.582241940000003</v>
      </c>
      <c r="FC55" s="85">
        <v>37.899816180000009</v>
      </c>
      <c r="FD55" s="85">
        <v>22.367483220000004</v>
      </c>
      <c r="FE55" s="85">
        <v>51.160890049999985</v>
      </c>
      <c r="FF55" s="85">
        <v>53.765671179999991</v>
      </c>
      <c r="FG55" s="85">
        <v>82.330363100000014</v>
      </c>
      <c r="FH55" s="85">
        <v>60.173881540000004</v>
      </c>
      <c r="FI55" s="85">
        <v>19.427774929999998</v>
      </c>
      <c r="FJ55" s="85">
        <v>31.226779789999998</v>
      </c>
      <c r="FK55" s="85">
        <v>59.492178460000012</v>
      </c>
      <c r="FL55" s="85">
        <v>15.142432369999998</v>
      </c>
      <c r="FM55" s="85">
        <v>25.170286799999992</v>
      </c>
      <c r="FN55" s="88">
        <f t="shared" si="11"/>
        <v>470.73979956000005</v>
      </c>
      <c r="FO55" s="85">
        <v>41.914551880000005</v>
      </c>
      <c r="FP55" s="85">
        <v>23.175726170000001</v>
      </c>
      <c r="FQ55" s="85">
        <v>29.627155839999997</v>
      </c>
      <c r="FR55" s="85">
        <v>62.192595940000004</v>
      </c>
      <c r="FS55" s="85"/>
      <c r="FT55" s="85"/>
      <c r="FU55" s="85"/>
      <c r="FV55" s="85"/>
      <c r="FW55" s="85"/>
      <c r="FX55" s="85"/>
      <c r="FY55" s="85"/>
      <c r="FZ55" s="85"/>
      <c r="GA55" s="307">
        <f t="shared" si="19"/>
        <v>124.010431</v>
      </c>
      <c r="GB55" s="307">
        <f t="shared" si="20"/>
        <v>156.91003000000001</v>
      </c>
      <c r="GC55" s="308">
        <f t="shared" si="12"/>
        <v>32.899599000000009</v>
      </c>
      <c r="GD55" s="308">
        <f t="shared" si="13"/>
        <v>26.52970297313135</v>
      </c>
    </row>
    <row r="56" spans="1:186" s="12" customFormat="1" ht="20.5">
      <c r="A56" s="46" t="s">
        <v>150</v>
      </c>
      <c r="B56" s="13">
        <v>6000</v>
      </c>
      <c r="C56" s="46" t="s">
        <v>151</v>
      </c>
      <c r="D56" s="45">
        <f>D57+D58</f>
        <v>156.215317</v>
      </c>
      <c r="E56" s="50">
        <f>E57+E58</f>
        <v>195.108542</v>
      </c>
      <c r="F56" s="50">
        <f t="shared" ref="F56:M56" si="33">F57+F58</f>
        <v>192.86862146999999</v>
      </c>
      <c r="G56" s="50">
        <f t="shared" si="33"/>
        <v>236.45559564000001</v>
      </c>
      <c r="H56" s="50">
        <f t="shared" si="33"/>
        <v>152.23138442000001</v>
      </c>
      <c r="I56" s="50">
        <f t="shared" si="33"/>
        <v>197.15435152999999</v>
      </c>
      <c r="J56" s="50">
        <f t="shared" si="33"/>
        <v>196.49705752999998</v>
      </c>
      <c r="K56" s="50">
        <f t="shared" si="33"/>
        <v>187.97198924000003</v>
      </c>
      <c r="L56" s="50">
        <f t="shared" si="33"/>
        <v>202.62585797999998</v>
      </c>
      <c r="M56" s="50">
        <f t="shared" si="33"/>
        <v>198.50004696000002</v>
      </c>
      <c r="N56" s="50">
        <f>N57+N58</f>
        <v>194.21627715</v>
      </c>
      <c r="O56" s="50">
        <f>O57+O58</f>
        <v>240.61214091000002</v>
      </c>
      <c r="P56" s="85">
        <f t="shared" si="7"/>
        <v>2350.4571818299996</v>
      </c>
      <c r="Q56" s="85">
        <f>Q57+Q58</f>
        <v>2350.4571809999998</v>
      </c>
      <c r="R56" s="50">
        <f>R57+R58</f>
        <v>167.81686456</v>
      </c>
      <c r="S56" s="50">
        <v>208.12913479000002</v>
      </c>
      <c r="T56" s="50">
        <v>247.51470737</v>
      </c>
      <c r="U56" s="50">
        <v>209.63190389000005</v>
      </c>
      <c r="V56" s="50">
        <v>167.73150370000002</v>
      </c>
      <c r="W56" s="50">
        <v>229.14533663999998</v>
      </c>
      <c r="X56" s="50">
        <v>206.84183967999996</v>
      </c>
      <c r="Y56" s="50">
        <v>191.80334011000002</v>
      </c>
      <c r="Z56" s="50">
        <v>227.54378777999992</v>
      </c>
      <c r="AA56" s="50">
        <v>194.903435</v>
      </c>
      <c r="AB56" s="50">
        <v>213.02085855000001</v>
      </c>
      <c r="AC56" s="50">
        <v>234.78721476999999</v>
      </c>
      <c r="AD56" s="85">
        <f t="shared" si="8"/>
        <v>2498.8699268400001</v>
      </c>
      <c r="AE56" s="85">
        <f>AE57+AE58</f>
        <v>2498.869901</v>
      </c>
      <c r="AF56" s="85">
        <v>194.42759629</v>
      </c>
      <c r="AG56" s="85">
        <v>219.81204568000004</v>
      </c>
      <c r="AH56" s="85">
        <v>236.83690209</v>
      </c>
      <c r="AI56" s="85">
        <v>220.65576091999998</v>
      </c>
      <c r="AJ56" s="85">
        <v>216.31622779</v>
      </c>
      <c r="AK56" s="85">
        <v>218.48457043000002</v>
      </c>
      <c r="AL56" s="85">
        <v>196.08742472</v>
      </c>
      <c r="AM56" s="85">
        <v>234.64258089999998</v>
      </c>
      <c r="AN56" s="85">
        <v>220.29393087000003</v>
      </c>
      <c r="AO56" s="85">
        <v>202.05450998000001</v>
      </c>
      <c r="AP56" s="85">
        <v>238.50656762999998</v>
      </c>
      <c r="AQ56" s="85">
        <v>209.37484851999994</v>
      </c>
      <c r="AR56" s="85">
        <f t="shared" si="9"/>
        <v>2607.4929658199999</v>
      </c>
      <c r="AS56" s="85">
        <f>AS57+AS58</f>
        <v>2607.4929659999998</v>
      </c>
      <c r="AT56" s="85">
        <v>240.10612308</v>
      </c>
      <c r="AU56" s="85">
        <v>224.89313358000001</v>
      </c>
      <c r="AV56" s="85">
        <v>231.41887554000004</v>
      </c>
      <c r="AW56" s="85">
        <v>245.79782957999998</v>
      </c>
      <c r="AX56" s="85">
        <v>202.69334011999996</v>
      </c>
      <c r="AY56" s="85">
        <v>227.31138041000003</v>
      </c>
      <c r="AZ56" s="85">
        <v>205.10109580999998</v>
      </c>
      <c r="BA56" s="85">
        <v>240.18902087999999</v>
      </c>
      <c r="BB56" s="85">
        <v>211.25129188000011</v>
      </c>
      <c r="BC56" s="85">
        <v>247.06604674999994</v>
      </c>
      <c r="BD56" s="85">
        <v>231.22373855999996</v>
      </c>
      <c r="BE56" s="85">
        <v>220.98686468000011</v>
      </c>
      <c r="BF56" s="85">
        <f t="shared" si="10"/>
        <v>2728.0387408700003</v>
      </c>
      <c r="BG56" s="85">
        <f>BG57+BG58</f>
        <v>2728.0428899999997</v>
      </c>
      <c r="BH56" s="85">
        <v>247.1352493</v>
      </c>
      <c r="BI56" s="85">
        <v>235.7567013799999</v>
      </c>
      <c r="BJ56" s="85">
        <v>242.82960283999998</v>
      </c>
      <c r="BK56" s="85">
        <v>259.06306369999982</v>
      </c>
      <c r="BL56" s="85">
        <v>225.12673211999996</v>
      </c>
      <c r="BM56" s="85">
        <v>228.53520586999988</v>
      </c>
      <c r="BN56" s="85">
        <v>251.47764555999998</v>
      </c>
      <c r="BO56" s="85">
        <v>240.73596861000004</v>
      </c>
      <c r="BP56" s="85">
        <v>225.24159858999994</v>
      </c>
      <c r="BQ56" s="85">
        <v>270.34637752999998</v>
      </c>
      <c r="BR56" s="85">
        <v>254.74898554999993</v>
      </c>
      <c r="BS56" s="85">
        <v>275.08053133000016</v>
      </c>
      <c r="BT56" s="88">
        <f t="shared" si="15"/>
        <v>2956.0776623799998</v>
      </c>
      <c r="BU56" s="85">
        <f>BU57+BU58</f>
        <v>2956.0767539999997</v>
      </c>
      <c r="BV56" s="85">
        <v>238.28133258000005</v>
      </c>
      <c r="BW56" s="85">
        <v>257.43402872999997</v>
      </c>
      <c r="BX56" s="85">
        <v>244.01976440999999</v>
      </c>
      <c r="BY56" s="85">
        <v>291.06418537999997</v>
      </c>
      <c r="BZ56" s="85">
        <v>239.50528346000004</v>
      </c>
      <c r="CA56" s="85">
        <v>239.78272968000002</v>
      </c>
      <c r="CB56" s="85">
        <v>272.58519348000016</v>
      </c>
      <c r="CC56" s="85">
        <v>237.16506171000009</v>
      </c>
      <c r="CD56" s="85">
        <v>262.61378343000001</v>
      </c>
      <c r="CE56" s="85">
        <v>291.09340826000005</v>
      </c>
      <c r="CF56" s="85">
        <v>257.58793064000002</v>
      </c>
      <c r="CG56" s="85">
        <v>313.40694715999996</v>
      </c>
      <c r="CH56" s="88">
        <f t="shared" si="16"/>
        <v>3144.5396489200011</v>
      </c>
      <c r="CI56" s="85">
        <f>CI57+CI58</f>
        <v>3143.9083600000004</v>
      </c>
      <c r="CJ56" s="85">
        <v>268.12728535000002</v>
      </c>
      <c r="CK56" s="85">
        <v>261.74756040000005</v>
      </c>
      <c r="CL56" s="85">
        <v>303.83117232999996</v>
      </c>
      <c r="CM56" s="85">
        <v>310.38689532000012</v>
      </c>
      <c r="CN56" s="85">
        <v>273.3331529699999</v>
      </c>
      <c r="CO56" s="85">
        <v>326.77004757999993</v>
      </c>
      <c r="CP56" s="85">
        <v>292.14883808000002</v>
      </c>
      <c r="CQ56" s="185">
        <v>264.12952581000008</v>
      </c>
      <c r="CR56" s="88">
        <v>303.37928349000003</v>
      </c>
      <c r="CS56" s="88">
        <v>271.92031493999991</v>
      </c>
      <c r="CT56" s="88">
        <v>293.07941800000003</v>
      </c>
      <c r="CU56" s="88">
        <v>328.21177355000009</v>
      </c>
      <c r="CV56" s="88">
        <f t="shared" si="21"/>
        <v>3497.0652678199999</v>
      </c>
      <c r="CW56" s="85">
        <f>CW57+CW58</f>
        <v>3496.08889</v>
      </c>
      <c r="CX56" s="88">
        <v>315.28662376000017</v>
      </c>
      <c r="CY56" s="88">
        <v>363.77834751</v>
      </c>
      <c r="CZ56" s="88">
        <v>674.21395156999984</v>
      </c>
      <c r="DA56" s="88">
        <v>530.06985780000002</v>
      </c>
      <c r="DB56" s="88">
        <v>367.41445529000015</v>
      </c>
      <c r="DC56" s="88">
        <v>446.80983952999998</v>
      </c>
      <c r="DD56" s="88">
        <v>350.87303116999999</v>
      </c>
      <c r="DE56" s="88">
        <v>324.61390960000006</v>
      </c>
      <c r="DF56" s="88">
        <v>298.49363601999994</v>
      </c>
      <c r="DG56" s="88">
        <v>285.66611215999973</v>
      </c>
      <c r="DH56" s="88">
        <v>328.69686301000002</v>
      </c>
      <c r="DI56" s="88">
        <v>-145.62539733999697</v>
      </c>
      <c r="DJ56" s="88">
        <f t="shared" si="22"/>
        <v>4140.2912300800026</v>
      </c>
      <c r="DK56" s="85">
        <f>DK57+DK58</f>
        <v>4138.5793480000002</v>
      </c>
      <c r="DL56" s="85">
        <v>370.24586568999996</v>
      </c>
      <c r="DM56" s="85">
        <v>396.25750717</v>
      </c>
      <c r="DN56" s="85">
        <v>407.93831643999999</v>
      </c>
      <c r="DO56" s="85">
        <v>372.60317634</v>
      </c>
      <c r="DP56" s="85">
        <v>329.96132066000001</v>
      </c>
      <c r="DQ56" s="85">
        <v>265.08207934000006</v>
      </c>
      <c r="DR56" s="85">
        <v>291.85028998000007</v>
      </c>
      <c r="DS56" s="85">
        <v>345.33675252999996</v>
      </c>
      <c r="DT56" s="85">
        <v>414.36680154999993</v>
      </c>
      <c r="DU56" s="85">
        <v>342.60475838000002</v>
      </c>
      <c r="DV56" s="85">
        <v>407.56566099999998</v>
      </c>
      <c r="DW56" s="85">
        <v>360.68397838999994</v>
      </c>
      <c r="DX56" s="88">
        <f t="shared" si="23"/>
        <v>4304.4965074699994</v>
      </c>
      <c r="DY56" s="85">
        <f>DY57+DY58</f>
        <v>4303.2949939999999</v>
      </c>
      <c r="DZ56" s="85">
        <v>412.92140557000005</v>
      </c>
      <c r="EA56" s="85">
        <v>386.14481627999999</v>
      </c>
      <c r="EB56" s="85">
        <v>393.67121936999996</v>
      </c>
      <c r="EC56" s="85">
        <v>396.18872200999999</v>
      </c>
      <c r="ED56" s="85">
        <v>356.64729935999998</v>
      </c>
      <c r="EE56" s="85">
        <v>375.36983309999999</v>
      </c>
      <c r="EF56" s="85">
        <v>335.99919953999995</v>
      </c>
      <c r="EG56" s="85">
        <v>400.80017863</v>
      </c>
      <c r="EH56" s="85">
        <v>341.83414378999998</v>
      </c>
      <c r="EI56" s="85">
        <v>426.36023718000001</v>
      </c>
      <c r="EJ56" s="85">
        <v>396.49484630000001</v>
      </c>
      <c r="EK56" s="85">
        <v>364.89604144000003</v>
      </c>
      <c r="EL56" s="88">
        <f t="shared" si="17"/>
        <v>4587.3279425700002</v>
      </c>
      <c r="EM56" s="85">
        <f>EM57+EM58</f>
        <v>4586.109324</v>
      </c>
      <c r="EN56" s="85">
        <v>434.03397059000002</v>
      </c>
      <c r="EO56" s="85">
        <v>402.80658490999997</v>
      </c>
      <c r="EP56" s="85">
        <v>374.36696653000001</v>
      </c>
      <c r="EQ56" s="85">
        <v>430.98901963999998</v>
      </c>
      <c r="ER56" s="85">
        <v>397.46386588000001</v>
      </c>
      <c r="ES56" s="85">
        <v>395.1927038</v>
      </c>
      <c r="ET56" s="85">
        <v>420.15778219000003</v>
      </c>
      <c r="EU56" s="85">
        <v>395.70044564999989</v>
      </c>
      <c r="EV56" s="85">
        <v>404.24575927000001</v>
      </c>
      <c r="EW56" s="85">
        <v>445.18088831</v>
      </c>
      <c r="EX56" s="85">
        <v>422.82381179999999</v>
      </c>
      <c r="EY56" s="85">
        <v>427.85175844999998</v>
      </c>
      <c r="EZ56" s="88">
        <f t="shared" si="18"/>
        <v>4950.8135570199993</v>
      </c>
      <c r="FA56" s="85">
        <f>FA57+FA58</f>
        <v>4949.5760289999998</v>
      </c>
      <c r="FB56" s="85">
        <v>452.74482634000003</v>
      </c>
      <c r="FC56" s="85">
        <v>434.7096372100001</v>
      </c>
      <c r="FD56" s="85">
        <v>433.32603492999999</v>
      </c>
      <c r="FE56" s="85">
        <v>501.0180890900001</v>
      </c>
      <c r="FF56" s="85">
        <v>364.65914893000001</v>
      </c>
      <c r="FG56" s="85">
        <v>426.12924219999996</v>
      </c>
      <c r="FH56" s="85">
        <v>433.33222828999999</v>
      </c>
      <c r="FI56" s="85">
        <v>425.29796385999998</v>
      </c>
      <c r="FJ56" s="85">
        <v>450.86280055999998</v>
      </c>
      <c r="FK56" s="85">
        <v>457.17611453999996</v>
      </c>
      <c r="FL56" s="85">
        <v>452.73369520000006</v>
      </c>
      <c r="FM56" s="85">
        <v>517.24523093000005</v>
      </c>
      <c r="FN56" s="88">
        <f t="shared" si="11"/>
        <v>5349.2350120799993</v>
      </c>
      <c r="FO56" s="85">
        <v>412.78873744999999</v>
      </c>
      <c r="FP56" s="85">
        <v>473.57267193999996</v>
      </c>
      <c r="FQ56" s="85">
        <v>487.71680973000002</v>
      </c>
      <c r="FR56" s="85">
        <v>533.22438364000004</v>
      </c>
      <c r="FS56" s="85"/>
      <c r="FT56" s="85"/>
      <c r="FU56" s="85"/>
      <c r="FV56" s="85"/>
      <c r="FW56" s="85"/>
      <c r="FX56" s="85"/>
      <c r="FY56" s="85"/>
      <c r="FZ56" s="85"/>
      <c r="GA56" s="307">
        <f t="shared" si="19"/>
        <v>1821.7985880000001</v>
      </c>
      <c r="GB56" s="307">
        <f t="shared" si="20"/>
        <v>1907.3026030000001</v>
      </c>
      <c r="GC56" s="308">
        <f t="shared" si="12"/>
        <v>85.504014999999981</v>
      </c>
      <c r="GD56" s="308">
        <f t="shared" si="13"/>
        <v>4.6933846344599459</v>
      </c>
    </row>
    <row r="57" spans="1:186" s="12" customFormat="1" ht="20.5">
      <c r="A57" s="47" t="s">
        <v>152</v>
      </c>
      <c r="B57" s="13">
        <v>6210</v>
      </c>
      <c r="C57" s="47" t="s">
        <v>153</v>
      </c>
      <c r="D57" s="45">
        <v>113.727723</v>
      </c>
      <c r="E57" s="50">
        <v>150.502601</v>
      </c>
      <c r="F57" s="50">
        <v>150.636965</v>
      </c>
      <c r="G57" s="50">
        <v>189.25725800000001</v>
      </c>
      <c r="H57" s="50">
        <v>109.37343300000001</v>
      </c>
      <c r="I57" s="50">
        <v>154.53280599999999</v>
      </c>
      <c r="J57" s="50">
        <v>150.95038029</v>
      </c>
      <c r="K57" s="50">
        <v>146.68552600000001</v>
      </c>
      <c r="L57" s="50">
        <v>156.22581935999997</v>
      </c>
      <c r="M57" s="50">
        <v>153.34734967000003</v>
      </c>
      <c r="N57" s="50">
        <v>150.30949534000001</v>
      </c>
      <c r="O57" s="50">
        <v>190.71731798000002</v>
      </c>
      <c r="P57" s="85">
        <f t="shared" si="7"/>
        <v>1816.2666746400002</v>
      </c>
      <c r="Q57" s="85">
        <f>38.779243+1777.487432</f>
        <v>1816.2666749999999</v>
      </c>
      <c r="R57" s="50">
        <v>118.36564506000001</v>
      </c>
      <c r="S57" s="50">
        <v>153.18288352000002</v>
      </c>
      <c r="T57" s="50">
        <v>189.05526725000001</v>
      </c>
      <c r="U57" s="50">
        <v>153.86502927000001</v>
      </c>
      <c r="V57" s="50">
        <v>116.59076707000001</v>
      </c>
      <c r="W57" s="50">
        <v>171.06360339</v>
      </c>
      <c r="X57" s="50">
        <v>152.05444046</v>
      </c>
      <c r="Y57" s="50">
        <v>139.38955684000001</v>
      </c>
      <c r="Z57" s="50">
        <v>168.81656106999995</v>
      </c>
      <c r="AA57" s="50">
        <v>139.60458032000003</v>
      </c>
      <c r="AB57" s="50">
        <v>157.22323426</v>
      </c>
      <c r="AC57" s="50">
        <v>173.59575143999999</v>
      </c>
      <c r="AD57" s="85">
        <f t="shared" si="8"/>
        <v>1832.8073199500002</v>
      </c>
      <c r="AE57" s="85">
        <f>40.76114341+1792.046176</f>
        <v>1832.80731941</v>
      </c>
      <c r="AF57" s="85">
        <v>137.51502657</v>
      </c>
      <c r="AG57" s="85">
        <v>156.80738157000005</v>
      </c>
      <c r="AH57" s="85">
        <v>170.23337070999997</v>
      </c>
      <c r="AI57" s="85">
        <v>155.81369693999997</v>
      </c>
      <c r="AJ57" s="85">
        <v>153.36068569</v>
      </c>
      <c r="AK57" s="85">
        <v>158.54984250000004</v>
      </c>
      <c r="AL57" s="85">
        <v>140.04310183000001</v>
      </c>
      <c r="AM57" s="85">
        <v>169.93364151000003</v>
      </c>
      <c r="AN57" s="85">
        <v>158.31431421000002</v>
      </c>
      <c r="AO57" s="85">
        <v>144.19861784</v>
      </c>
      <c r="AP57" s="85">
        <v>171.77720649</v>
      </c>
      <c r="AQ57" s="85">
        <v>146.68195935999998</v>
      </c>
      <c r="AR57" s="85">
        <f t="shared" si="9"/>
        <v>1863.2288452200003</v>
      </c>
      <c r="AS57" s="85">
        <f>44.303169+1818.925676</f>
        <v>1863.2288450000001</v>
      </c>
      <c r="AT57" s="85">
        <v>172.15440140000001</v>
      </c>
      <c r="AU57" s="85">
        <v>158.42221799000001</v>
      </c>
      <c r="AV57" s="85">
        <v>162.82428309000002</v>
      </c>
      <c r="AW57" s="85">
        <v>179.18626571999999</v>
      </c>
      <c r="AX57" s="85">
        <v>138.56122580999997</v>
      </c>
      <c r="AY57" s="85">
        <v>162.98145506000003</v>
      </c>
      <c r="AZ57" s="85">
        <v>145.39972759</v>
      </c>
      <c r="BA57" s="85">
        <v>173.91594258999999</v>
      </c>
      <c r="BB57" s="85">
        <v>148.13273993999999</v>
      </c>
      <c r="BC57" s="85">
        <v>180.67511696000003</v>
      </c>
      <c r="BD57" s="85">
        <v>166.05210149000001</v>
      </c>
      <c r="BE57" s="85">
        <v>156.62854138</v>
      </c>
      <c r="BF57" s="85">
        <f t="shared" si="10"/>
        <v>1944.9340190200001</v>
      </c>
      <c r="BG57" s="85">
        <f>48.985174+1895.948845</f>
        <v>1944.9340189999998</v>
      </c>
      <c r="BH57" s="85">
        <v>178.52012210000004</v>
      </c>
      <c r="BI57" s="85">
        <v>167.34412675999997</v>
      </c>
      <c r="BJ57" s="85">
        <v>172.60340416999998</v>
      </c>
      <c r="BK57" s="85">
        <v>181.12404145999997</v>
      </c>
      <c r="BL57" s="85">
        <v>152.00645030999993</v>
      </c>
      <c r="BM57" s="85">
        <v>159.15544714999999</v>
      </c>
      <c r="BN57" s="85">
        <v>181.54897006999997</v>
      </c>
      <c r="BO57" s="85">
        <v>170.48161776000003</v>
      </c>
      <c r="BP57" s="85">
        <v>158.38820873</v>
      </c>
      <c r="BQ57" s="85">
        <v>196.32062838000002</v>
      </c>
      <c r="BR57" s="85">
        <v>180.63245975000001</v>
      </c>
      <c r="BS57" s="85">
        <v>204.05592655999999</v>
      </c>
      <c r="BT57" s="88">
        <f t="shared" si="15"/>
        <v>2102.1814031999997</v>
      </c>
      <c r="BU57" s="85">
        <f>54.268782+2047.911844</f>
        <v>2102.1806259999998</v>
      </c>
      <c r="BV57" s="85">
        <v>159.70138733999997</v>
      </c>
      <c r="BW57" s="85">
        <v>179.98774150000003</v>
      </c>
      <c r="BX57" s="85">
        <v>167.60477601000002</v>
      </c>
      <c r="BY57" s="85">
        <v>210.53240745000002</v>
      </c>
      <c r="BZ57" s="85">
        <v>163.80145772999995</v>
      </c>
      <c r="CA57" s="85">
        <v>167.98831148000002</v>
      </c>
      <c r="CB57" s="85">
        <v>194.88897958999999</v>
      </c>
      <c r="CC57" s="85">
        <v>164.20660804000002</v>
      </c>
      <c r="CD57" s="85">
        <v>186.01768200000001</v>
      </c>
      <c r="CE57" s="85">
        <v>210.06659807</v>
      </c>
      <c r="CF57" s="85">
        <v>178.96145187999997</v>
      </c>
      <c r="CG57" s="85">
        <v>229.92362464000001</v>
      </c>
      <c r="CH57" s="88">
        <f t="shared" si="16"/>
        <v>2213.6810257299999</v>
      </c>
      <c r="CI57" s="85">
        <f>Valsts_Pamatbudžets!KW58+Valsts_Speciālais_Budžets!EC31</f>
        <v>2213.6810259999997</v>
      </c>
      <c r="CJ57" s="85">
        <v>180.70021393000002</v>
      </c>
      <c r="CK57" s="85">
        <v>178.97542181</v>
      </c>
      <c r="CL57" s="85">
        <v>215.37651894000004</v>
      </c>
      <c r="CM57" s="85">
        <v>211.28037897000002</v>
      </c>
      <c r="CN57" s="85">
        <v>161.18190477999997</v>
      </c>
      <c r="CO57" s="85">
        <v>214.58503568999996</v>
      </c>
      <c r="CP57" s="85">
        <v>194.67006347</v>
      </c>
      <c r="CQ57" s="185">
        <v>181.02515662000005</v>
      </c>
      <c r="CR57" s="88">
        <v>214.49989727999997</v>
      </c>
      <c r="CS57" s="88">
        <v>187.31181210000003</v>
      </c>
      <c r="CT57" s="88">
        <v>206.87406327000002</v>
      </c>
      <c r="CU57" s="88">
        <v>226.33440849000002</v>
      </c>
      <c r="CV57" s="88">
        <f t="shared" si="21"/>
        <v>2372.81487535</v>
      </c>
      <c r="CW57" s="85">
        <f>Valsts_Pamatbudžets!MM58+Valsts_Speciālais_Budžets!EQ31</f>
        <v>2372.8148759999999</v>
      </c>
      <c r="CX57" s="88">
        <v>183.67904076000002</v>
      </c>
      <c r="CY57" s="88">
        <v>203.92760779</v>
      </c>
      <c r="CZ57" s="88">
        <v>239.96976933999997</v>
      </c>
      <c r="DA57" s="88">
        <v>206.53383371000001</v>
      </c>
      <c r="DB57" s="88">
        <v>190.60127035999997</v>
      </c>
      <c r="DC57" s="88">
        <v>226.52784395</v>
      </c>
      <c r="DD57" s="88">
        <v>190.82006145</v>
      </c>
      <c r="DE57" s="88">
        <v>225.84752624000001</v>
      </c>
      <c r="DF57" s="88">
        <v>213.42840064999999</v>
      </c>
      <c r="DG57" s="88">
        <v>200.11591919999998</v>
      </c>
      <c r="DH57" s="88">
        <v>227.46014859000002</v>
      </c>
      <c r="DI57" s="88">
        <v>230.98521169999998</v>
      </c>
      <c r="DJ57" s="88">
        <f t="shared" si="22"/>
        <v>2539.8966337399997</v>
      </c>
      <c r="DK57" s="85">
        <f>Valsts_Pamatbudžets!OC58+Valsts_Speciālais_Budžets!FE31</f>
        <v>2539.8966349999996</v>
      </c>
      <c r="DL57" s="85">
        <v>199.67506903999998</v>
      </c>
      <c r="DM57" s="85">
        <v>236.80471292999999</v>
      </c>
      <c r="DN57" s="85">
        <v>234.55484083999997</v>
      </c>
      <c r="DO57" s="85">
        <v>211.95786282999998</v>
      </c>
      <c r="DP57" s="85">
        <v>207.59215391000001</v>
      </c>
      <c r="DQ57" s="85">
        <v>219.51086128000003</v>
      </c>
      <c r="DR57" s="85">
        <v>198.59049376000002</v>
      </c>
      <c r="DS57" s="85">
        <v>244.93774289999999</v>
      </c>
      <c r="DT57" s="85">
        <v>310.94625744000001</v>
      </c>
      <c r="DU57" s="85">
        <v>241.72581769999999</v>
      </c>
      <c r="DV57" s="85">
        <v>289.07714670000001</v>
      </c>
      <c r="DW57" s="85">
        <v>247.96113253999999</v>
      </c>
      <c r="DX57" s="88">
        <f t="shared" si="23"/>
        <v>2843.3340918700001</v>
      </c>
      <c r="DY57" s="85">
        <f>Valsts_Pamatbudžets!PS58+Valsts_Speciālais_Budžets!FS31</f>
        <v>2843.3340920000001</v>
      </c>
      <c r="DZ57" s="85">
        <v>296.69633961</v>
      </c>
      <c r="EA57" s="85">
        <v>273.84795714000001</v>
      </c>
      <c r="EB57" s="85">
        <v>281.94971131</v>
      </c>
      <c r="EC57" s="85">
        <v>287.89347168</v>
      </c>
      <c r="ED57" s="85">
        <v>252.09700933999997</v>
      </c>
      <c r="EE57" s="85">
        <v>270.45872860000003</v>
      </c>
      <c r="EF57" s="85">
        <v>236.94962819</v>
      </c>
      <c r="EG57" s="85">
        <v>292.96864664000003</v>
      </c>
      <c r="EH57" s="85">
        <v>238.09099056999997</v>
      </c>
      <c r="EI57" s="85">
        <v>268.91763724999998</v>
      </c>
      <c r="EJ57" s="85">
        <v>284.56140607999998</v>
      </c>
      <c r="EK57" s="85">
        <v>258.47236467000005</v>
      </c>
      <c r="EL57" s="88">
        <f t="shared" si="17"/>
        <v>3242.90389108</v>
      </c>
      <c r="EM57" s="85">
        <f>Valsts_Pamatbudžets!RI58+Valsts_Speciālais_Budžets!GG31</f>
        <v>3242.9038909999999</v>
      </c>
      <c r="EN57" s="85">
        <v>309.85686454</v>
      </c>
      <c r="EO57" s="85">
        <v>284.15821564999999</v>
      </c>
      <c r="EP57" s="85">
        <v>257.99201388</v>
      </c>
      <c r="EQ57" s="85">
        <v>287.60255996999996</v>
      </c>
      <c r="ER57" s="85">
        <v>280.41298405999999</v>
      </c>
      <c r="ES57" s="85">
        <v>284.58720986999998</v>
      </c>
      <c r="ET57" s="85">
        <v>286.38148494999996</v>
      </c>
      <c r="EU57" s="85">
        <v>284.37171117000003</v>
      </c>
      <c r="EV57" s="85">
        <v>290.84282946000002</v>
      </c>
      <c r="EW57" s="85">
        <v>307.91938995999999</v>
      </c>
      <c r="EX57" s="85">
        <v>307.91416902000003</v>
      </c>
      <c r="EY57" s="85">
        <v>318.03117877</v>
      </c>
      <c r="EZ57" s="88">
        <f t="shared" si="18"/>
        <v>3500.0706112999997</v>
      </c>
      <c r="FA57" s="85">
        <f>Valsts_Pamatbudžets!SY58+Valsts_Speciālais_Budžets!GU31</f>
        <v>3500.0706110000001</v>
      </c>
      <c r="FB57" s="85">
        <v>305.52805554999998</v>
      </c>
      <c r="FC57" s="85">
        <v>312.79030360000007</v>
      </c>
      <c r="FD57" s="85">
        <v>307.27332147999994</v>
      </c>
      <c r="FE57" s="85">
        <v>372.95501451000007</v>
      </c>
      <c r="FF57" s="85">
        <v>245.96428803000003</v>
      </c>
      <c r="FG57" s="85">
        <v>311.14307095999999</v>
      </c>
      <c r="FH57" s="85">
        <v>311.08047534000002</v>
      </c>
      <c r="FI57" s="85">
        <v>311.37348753999999</v>
      </c>
      <c r="FJ57" s="85">
        <v>326.77358941</v>
      </c>
      <c r="FK57" s="85">
        <v>334.68245585999995</v>
      </c>
      <c r="FL57" s="85">
        <v>336.07625160999999</v>
      </c>
      <c r="FM57" s="85">
        <v>396.81330215000003</v>
      </c>
      <c r="FN57" s="88">
        <f t="shared" si="11"/>
        <v>3872.4536160400003</v>
      </c>
      <c r="FO57" s="85">
        <v>279.12545592999999</v>
      </c>
      <c r="FP57" s="85">
        <v>342.08152014000001</v>
      </c>
      <c r="FQ57" s="85">
        <v>349.55276898</v>
      </c>
      <c r="FR57" s="85">
        <v>393.17787674000004</v>
      </c>
      <c r="FS57" s="85"/>
      <c r="FT57" s="85"/>
      <c r="FU57" s="85"/>
      <c r="FV57" s="85"/>
      <c r="FW57" s="85"/>
      <c r="FX57" s="85"/>
      <c r="FY57" s="85"/>
      <c r="FZ57" s="85"/>
      <c r="GA57" s="307">
        <f t="shared" si="19"/>
        <v>1298.546695</v>
      </c>
      <c r="GB57" s="307">
        <f t="shared" si="20"/>
        <v>1363.9376219999999</v>
      </c>
      <c r="GC57" s="308">
        <f t="shared" si="12"/>
        <v>65.39092699999992</v>
      </c>
      <c r="GD57" s="308">
        <f t="shared" si="13"/>
        <v>5.0357008532527061</v>
      </c>
    </row>
    <row r="58" spans="1:186" s="12" customFormat="1" ht="20.5">
      <c r="A58" s="47" t="s">
        <v>154</v>
      </c>
      <c r="B58" s="13"/>
      <c r="C58" s="47" t="s">
        <v>155</v>
      </c>
      <c r="D58" s="45">
        <v>42.487594000000001</v>
      </c>
      <c r="E58" s="50">
        <v>44.605941000000001</v>
      </c>
      <c r="F58" s="50">
        <v>42.231656470000004</v>
      </c>
      <c r="G58" s="50">
        <v>47.198337639999991</v>
      </c>
      <c r="H58" s="50">
        <v>42.857951419999999</v>
      </c>
      <c r="I58" s="50">
        <v>42.621545529999999</v>
      </c>
      <c r="J58" s="50">
        <v>45.546677239999987</v>
      </c>
      <c r="K58" s="50">
        <v>41.286463240000003</v>
      </c>
      <c r="L58" s="50">
        <v>46.400038619999989</v>
      </c>
      <c r="M58" s="50">
        <v>45.152697289999999</v>
      </c>
      <c r="N58" s="50">
        <v>43.906781809999998</v>
      </c>
      <c r="O58" s="50">
        <v>49.894822930000004</v>
      </c>
      <c r="P58" s="85">
        <f t="shared" si="7"/>
        <v>534.19050718999995</v>
      </c>
      <c r="Q58" s="85">
        <f>212.576788+321.613718</f>
        <v>534.19050600000003</v>
      </c>
      <c r="R58" s="50">
        <v>49.451219499999986</v>
      </c>
      <c r="S58" s="50">
        <v>54.946251269999998</v>
      </c>
      <c r="T58" s="50">
        <v>58.459440119999989</v>
      </c>
      <c r="U58" s="50">
        <v>55.766874620000024</v>
      </c>
      <c r="V58" s="50">
        <v>51.140736630000013</v>
      </c>
      <c r="W58" s="50">
        <v>58.081733249999999</v>
      </c>
      <c r="X58" s="50">
        <v>54.787399219999983</v>
      </c>
      <c r="Y58" s="50">
        <v>52.413783270000003</v>
      </c>
      <c r="Z58" s="50">
        <v>58.727226709999975</v>
      </c>
      <c r="AA58" s="50">
        <v>55.298854679999984</v>
      </c>
      <c r="AB58" s="50">
        <v>55.797624290000009</v>
      </c>
      <c r="AC58" s="50">
        <v>61.191463330000012</v>
      </c>
      <c r="AD58" s="85">
        <f t="shared" si="8"/>
        <v>666.0626068900001</v>
      </c>
      <c r="AE58" s="85">
        <f>278.66148759+387.401094</f>
        <v>666.06258159000004</v>
      </c>
      <c r="AF58" s="85">
        <v>56.912569719999993</v>
      </c>
      <c r="AG58" s="85">
        <v>63.00466411</v>
      </c>
      <c r="AH58" s="85">
        <v>66.603531380000021</v>
      </c>
      <c r="AI58" s="85">
        <v>64.842063979999992</v>
      </c>
      <c r="AJ58" s="85">
        <v>62.955542099999995</v>
      </c>
      <c r="AK58" s="85">
        <v>59.934727929999994</v>
      </c>
      <c r="AL58" s="85">
        <v>56.044322890000004</v>
      </c>
      <c r="AM58" s="85">
        <v>64.708939389999969</v>
      </c>
      <c r="AN58" s="85">
        <v>61.979616659999998</v>
      </c>
      <c r="AO58" s="85">
        <v>57.855892140000002</v>
      </c>
      <c r="AP58" s="85">
        <v>66.72936113999998</v>
      </c>
      <c r="AQ58" s="85">
        <v>62.692889159999979</v>
      </c>
      <c r="AR58" s="85">
        <f t="shared" si="9"/>
        <v>744.26412059999996</v>
      </c>
      <c r="AS58" s="85">
        <f>295.86716+448.396961</f>
        <v>744.26412099999993</v>
      </c>
      <c r="AT58" s="85">
        <v>67.951721679999991</v>
      </c>
      <c r="AU58" s="85">
        <v>66.470915590000004</v>
      </c>
      <c r="AV58" s="85">
        <v>68.594592450000036</v>
      </c>
      <c r="AW58" s="85">
        <v>66.61156385999999</v>
      </c>
      <c r="AX58" s="85">
        <v>64.132114310000006</v>
      </c>
      <c r="AY58" s="85">
        <v>64.329925349999996</v>
      </c>
      <c r="AZ58" s="85">
        <v>59.701368219999985</v>
      </c>
      <c r="BA58" s="85">
        <v>66.273078289999987</v>
      </c>
      <c r="BB58" s="85">
        <v>63.118551939999989</v>
      </c>
      <c r="BC58" s="85">
        <v>66.390929790000001</v>
      </c>
      <c r="BD58" s="85">
        <v>65.171637069999989</v>
      </c>
      <c r="BE58" s="85">
        <v>64.358323299999981</v>
      </c>
      <c r="BF58" s="85">
        <f t="shared" si="10"/>
        <v>783.10472184999992</v>
      </c>
      <c r="BG58" s="85">
        <f>315.316786+467.792085</f>
        <v>783.10887099999991</v>
      </c>
      <c r="BH58" s="85">
        <v>68.615127200000018</v>
      </c>
      <c r="BI58" s="85">
        <v>68.412574619999958</v>
      </c>
      <c r="BJ58" s="85">
        <v>70.226198669999974</v>
      </c>
      <c r="BK58" s="85">
        <v>77.939022240000014</v>
      </c>
      <c r="BL58" s="85">
        <v>73.120281810000023</v>
      </c>
      <c r="BM58" s="85">
        <v>69.379758720000027</v>
      </c>
      <c r="BN58" s="85">
        <v>69.92867549000006</v>
      </c>
      <c r="BO58" s="85">
        <v>70.254350849999994</v>
      </c>
      <c r="BP58" s="85">
        <v>66.853389860000021</v>
      </c>
      <c r="BQ58" s="85">
        <v>74.025749150000067</v>
      </c>
      <c r="BR58" s="85">
        <v>74.116525800000034</v>
      </c>
      <c r="BS58" s="85">
        <v>71.024604769999996</v>
      </c>
      <c r="BT58" s="88">
        <f t="shared" si="15"/>
        <v>853.89625918000024</v>
      </c>
      <c r="BU58" s="85">
        <f>350.280679+503.615449</f>
        <v>853.89612800000009</v>
      </c>
      <c r="BV58" s="85">
        <v>78.579945240000015</v>
      </c>
      <c r="BW58" s="85">
        <v>77.44628723000001</v>
      </c>
      <c r="BX58" s="85">
        <v>76.414988400000013</v>
      </c>
      <c r="BY58" s="85">
        <v>80.531777930000018</v>
      </c>
      <c r="BZ58" s="85">
        <v>75.703825729999949</v>
      </c>
      <c r="CA58" s="85">
        <v>71.794418199999981</v>
      </c>
      <c r="CB58" s="85">
        <v>77.696213889999981</v>
      </c>
      <c r="CC58" s="85">
        <v>72.958453670000011</v>
      </c>
      <c r="CD58" s="85">
        <v>76.59610142999999</v>
      </c>
      <c r="CE58" s="85">
        <v>81.026810189999964</v>
      </c>
      <c r="CF58" s="85">
        <v>78.626478759999983</v>
      </c>
      <c r="CG58" s="85">
        <v>83.48332252000003</v>
      </c>
      <c r="CH58" s="88">
        <f t="shared" si="16"/>
        <v>930.85862319</v>
      </c>
      <c r="CI58" s="85">
        <f>Valsts_Pamatbudžets!KW59+Valsts_Speciālais_Budžets!EC33</f>
        <v>930.22733400000038</v>
      </c>
      <c r="CJ58" s="85">
        <v>87.427071420000047</v>
      </c>
      <c r="CK58" s="85">
        <v>82.772138590000012</v>
      </c>
      <c r="CL58" s="85">
        <v>88.454653389999962</v>
      </c>
      <c r="CM58" s="85">
        <v>99.106516349999978</v>
      </c>
      <c r="CN58" s="85">
        <v>112.15124819000005</v>
      </c>
      <c r="CO58" s="85">
        <v>112.18501189000004</v>
      </c>
      <c r="CP58" s="85">
        <v>97.478774610000016</v>
      </c>
      <c r="CQ58" s="185">
        <v>83.104369189999986</v>
      </c>
      <c r="CR58" s="88">
        <v>88.879386209999979</v>
      </c>
      <c r="CS58" s="88">
        <v>84.60850284</v>
      </c>
      <c r="CT58" s="88">
        <v>86.20535473000001</v>
      </c>
      <c r="CU58" s="88">
        <v>101.87736506000002</v>
      </c>
      <c r="CV58" s="88">
        <f t="shared" si="21"/>
        <v>1124.2503924700002</v>
      </c>
      <c r="CW58" s="85">
        <f>Valsts_Pamatbudžets!MM59+Valsts_Speciālais_Budžets!EQ33</f>
        <v>1123.2740139999999</v>
      </c>
      <c r="CX58" s="88">
        <v>131.60758300000003</v>
      </c>
      <c r="CY58" s="88">
        <v>159.85073972000004</v>
      </c>
      <c r="CZ58" s="88">
        <v>434.24418223000004</v>
      </c>
      <c r="DA58" s="88">
        <v>323.53602408999984</v>
      </c>
      <c r="DB58" s="88">
        <v>176.81318492999998</v>
      </c>
      <c r="DC58" s="88">
        <v>220.28199558000006</v>
      </c>
      <c r="DD58" s="88">
        <v>160.05296971999996</v>
      </c>
      <c r="DE58" s="88">
        <v>98.76638336000002</v>
      </c>
      <c r="DF58" s="88">
        <v>85.065235370000011</v>
      </c>
      <c r="DG58" s="88">
        <v>85.550192960000004</v>
      </c>
      <c r="DH58" s="88">
        <v>101.23671442000001</v>
      </c>
      <c r="DI58" s="88">
        <v>-376.61060903999703</v>
      </c>
      <c r="DJ58" s="88">
        <f t="shared" si="22"/>
        <v>1600.3945963400029</v>
      </c>
      <c r="DK58" s="85">
        <f>Valsts_Pamatbudžets!OC59+Valsts_Speciālais_Budžets!FE33</f>
        <v>1598.6827130000004</v>
      </c>
      <c r="DL58" s="85">
        <v>170.57079664999995</v>
      </c>
      <c r="DM58" s="85">
        <v>159.45279423999997</v>
      </c>
      <c r="DN58" s="85">
        <v>173.38347560000003</v>
      </c>
      <c r="DO58" s="85">
        <v>160.64531350999999</v>
      </c>
      <c r="DP58" s="85">
        <v>122.36916675000008</v>
      </c>
      <c r="DQ58" s="85">
        <v>45.571218060000014</v>
      </c>
      <c r="DR58" s="85">
        <v>93.259796220000027</v>
      </c>
      <c r="DS58" s="85">
        <v>100.39900962999999</v>
      </c>
      <c r="DT58" s="85">
        <v>103.42054410999999</v>
      </c>
      <c r="DU58" s="85">
        <v>100.87894068000001</v>
      </c>
      <c r="DV58" s="85">
        <v>118.48851430000001</v>
      </c>
      <c r="DW58" s="85">
        <v>112.72284584999997</v>
      </c>
      <c r="DX58" s="88">
        <f t="shared" si="23"/>
        <v>1461.1624155999996</v>
      </c>
      <c r="DY58" s="85">
        <f>Valsts_Pamatbudžets!PS59+Valsts_Speciālais_Budžets!FS33</f>
        <v>1459.9609020000003</v>
      </c>
      <c r="DZ58" s="85">
        <v>116.22506595999997</v>
      </c>
      <c r="EA58" s="85">
        <v>112.29685914000002</v>
      </c>
      <c r="EB58" s="85">
        <v>111.72150806000001</v>
      </c>
      <c r="EC58" s="85">
        <v>108.29525033</v>
      </c>
      <c r="ED58" s="85">
        <v>104.55029002000002</v>
      </c>
      <c r="EE58" s="85">
        <v>104.91110449999999</v>
      </c>
      <c r="EF58" s="85">
        <v>99.049571349999979</v>
      </c>
      <c r="EG58" s="85">
        <v>107.83153198999999</v>
      </c>
      <c r="EH58" s="85">
        <v>103.74315322</v>
      </c>
      <c r="EI58" s="85">
        <v>157.44259993000006</v>
      </c>
      <c r="EJ58" s="85">
        <v>111.93344022000002</v>
      </c>
      <c r="EK58" s="85">
        <v>106.42367677000003</v>
      </c>
      <c r="EL58" s="88">
        <f t="shared" si="17"/>
        <v>1344.4240514899998</v>
      </c>
      <c r="EM58" s="85">
        <f>Valsts_Pamatbudžets!RI59+Valsts_Speciālais_Budžets!GG33</f>
        <v>1343.2054330000001</v>
      </c>
      <c r="EN58" s="85">
        <v>124.17710605000001</v>
      </c>
      <c r="EO58" s="85">
        <v>118.64836926000001</v>
      </c>
      <c r="EP58" s="85">
        <v>116.37495265</v>
      </c>
      <c r="EQ58" s="85">
        <v>143.38645967000002</v>
      </c>
      <c r="ER58" s="85">
        <v>117.05088182000001</v>
      </c>
      <c r="ES58" s="85">
        <v>110.60549392999999</v>
      </c>
      <c r="ET58" s="85">
        <v>133.77629724000005</v>
      </c>
      <c r="EU58" s="85">
        <v>111.32873447999998</v>
      </c>
      <c r="EV58" s="85">
        <v>113.40292980999997</v>
      </c>
      <c r="EW58" s="85">
        <v>137.26149835000001</v>
      </c>
      <c r="EX58" s="85">
        <v>114.90964278000001</v>
      </c>
      <c r="EY58" s="85">
        <v>109.82057967999998</v>
      </c>
      <c r="EZ58" s="88">
        <f t="shared" si="18"/>
        <v>1450.7429457200001</v>
      </c>
      <c r="FA58" s="85">
        <f>Valsts_Pamatbudžets!SY59+Valsts_Speciālais_Budžets!GU33</f>
        <v>1449.5054179999997</v>
      </c>
      <c r="FB58" s="85">
        <v>147.21677079</v>
      </c>
      <c r="FC58" s="85">
        <v>121.91933361000001</v>
      </c>
      <c r="FD58" s="85">
        <v>126.05271344999998</v>
      </c>
      <c r="FE58" s="85">
        <v>128.06307458000003</v>
      </c>
      <c r="FF58" s="85">
        <v>118.69486090000002</v>
      </c>
      <c r="FG58" s="85">
        <v>114.98617124000002</v>
      </c>
      <c r="FH58" s="85">
        <v>122.25175295000001</v>
      </c>
      <c r="FI58" s="85">
        <v>113.92447631999998</v>
      </c>
      <c r="FJ58" s="85">
        <v>124.08921115000003</v>
      </c>
      <c r="FK58" s="85">
        <v>122.49365868</v>
      </c>
      <c r="FL58" s="85">
        <v>116.65744359000003</v>
      </c>
      <c r="FM58" s="85">
        <v>120.43192877999999</v>
      </c>
      <c r="FN58" s="88">
        <f t="shared" si="11"/>
        <v>1476.7813960399997</v>
      </c>
      <c r="FO58" s="85">
        <v>133.66328152</v>
      </c>
      <c r="FP58" s="85">
        <v>131.49115179999998</v>
      </c>
      <c r="FQ58" s="85">
        <v>138.16404075</v>
      </c>
      <c r="FR58" s="85">
        <v>140.04650690000003</v>
      </c>
      <c r="FS58" s="85"/>
      <c r="FT58" s="85"/>
      <c r="FU58" s="85"/>
      <c r="FV58" s="85"/>
      <c r="FW58" s="85"/>
      <c r="FX58" s="85"/>
      <c r="FY58" s="85"/>
      <c r="FZ58" s="85"/>
      <c r="GA58" s="307">
        <f t="shared" si="19"/>
        <v>523.251892</v>
      </c>
      <c r="GB58" s="307">
        <f t="shared" si="20"/>
        <v>543.36498099999994</v>
      </c>
      <c r="GC58" s="308">
        <f t="shared" si="12"/>
        <v>20.113088999999945</v>
      </c>
      <c r="GD58" s="308">
        <f t="shared" si="13"/>
        <v>3.8438635975347637</v>
      </c>
    </row>
    <row r="59" spans="1:186" s="12" customFormat="1" ht="20.5">
      <c r="A59" s="46" t="s">
        <v>156</v>
      </c>
      <c r="B59" s="13">
        <v>7700</v>
      </c>
      <c r="C59" s="46" t="s">
        <v>157</v>
      </c>
      <c r="D59" s="45">
        <v>3.9926054600000001</v>
      </c>
      <c r="E59" s="50">
        <v>0.84597699999999998</v>
      </c>
      <c r="F59" s="50">
        <v>1.2338726099999999</v>
      </c>
      <c r="G59" s="50">
        <v>1.4777251199999999</v>
      </c>
      <c r="H59" s="50">
        <v>2.8188141799999999</v>
      </c>
      <c r="I59" s="50">
        <v>7.13838858</v>
      </c>
      <c r="J59" s="50">
        <v>1.5315314300000002</v>
      </c>
      <c r="K59" s="50">
        <v>1.0966487</v>
      </c>
      <c r="L59" s="50">
        <v>1.0643560600000002</v>
      </c>
      <c r="M59" s="50">
        <v>2.3694286</v>
      </c>
      <c r="N59" s="50">
        <v>4.8396692399999992</v>
      </c>
      <c r="O59" s="50">
        <v>6.3869979799999994</v>
      </c>
      <c r="P59" s="85">
        <f t="shared" si="7"/>
        <v>34.796014960000001</v>
      </c>
      <c r="Q59" s="85">
        <f>34.77894+0.017075</f>
        <v>34.796014999999997</v>
      </c>
      <c r="R59" s="50">
        <v>3.81289838</v>
      </c>
      <c r="S59" s="50">
        <v>1.0505155400000001</v>
      </c>
      <c r="T59" s="50">
        <v>2.9471339699999999</v>
      </c>
      <c r="U59" s="50">
        <v>1.1254339000000002</v>
      </c>
      <c r="V59" s="50">
        <v>1.2224303700000001</v>
      </c>
      <c r="W59" s="50">
        <v>3.8879308200000002</v>
      </c>
      <c r="X59" s="50">
        <v>2.1296392599999998</v>
      </c>
      <c r="Y59" s="50">
        <v>1.2336570600000003</v>
      </c>
      <c r="Z59" s="50">
        <v>3.7215147499999999</v>
      </c>
      <c r="AA59" s="50">
        <v>1.84597163</v>
      </c>
      <c r="AB59" s="50">
        <v>2.1447884199999998</v>
      </c>
      <c r="AC59" s="50">
        <v>7.0574027999999993</v>
      </c>
      <c r="AD59" s="85">
        <f t="shared" si="8"/>
        <v>32.179316900000003</v>
      </c>
      <c r="AE59" s="85">
        <f>32.159896+0.01942133</f>
        <v>32.179317330000003</v>
      </c>
      <c r="AF59" s="85">
        <v>4.775476499999999</v>
      </c>
      <c r="AG59" s="85">
        <v>1.23706903</v>
      </c>
      <c r="AH59" s="85">
        <v>1.6556216800000001</v>
      </c>
      <c r="AI59" s="85">
        <v>1.25086882</v>
      </c>
      <c r="AJ59" s="85">
        <v>0.42679444999999999</v>
      </c>
      <c r="AK59" s="85">
        <v>0.96864934999999996</v>
      </c>
      <c r="AL59" s="85">
        <v>4.8210233300000001</v>
      </c>
      <c r="AM59" s="85">
        <v>1.6477914199999999</v>
      </c>
      <c r="AN59" s="85">
        <v>2.0027259500000003</v>
      </c>
      <c r="AO59" s="85">
        <v>2.4232300399999995</v>
      </c>
      <c r="AP59" s="85">
        <v>1.3878747800000002</v>
      </c>
      <c r="AQ59" s="85">
        <v>6.6525008100000012</v>
      </c>
      <c r="AR59" s="85">
        <f t="shared" si="9"/>
        <v>29.249626160000005</v>
      </c>
      <c r="AS59" s="85">
        <f>29.230649+0.018977</f>
        <v>29.249625999999999</v>
      </c>
      <c r="AT59" s="85">
        <v>5.26981375</v>
      </c>
      <c r="AU59" s="85">
        <v>2.4405562099999996</v>
      </c>
      <c r="AV59" s="85">
        <v>3.4472499599999993</v>
      </c>
      <c r="AW59" s="85">
        <v>0.82925475000000015</v>
      </c>
      <c r="AX59" s="85">
        <v>1.4274566499999999</v>
      </c>
      <c r="AY59" s="85">
        <v>2.8140250300000003</v>
      </c>
      <c r="AZ59" s="85">
        <v>2.2742706400000001</v>
      </c>
      <c r="BA59" s="85">
        <v>1.1680616400000001</v>
      </c>
      <c r="BB59" s="85">
        <v>1.3469286299999998</v>
      </c>
      <c r="BC59" s="85">
        <v>0.39218185</v>
      </c>
      <c r="BD59" s="85">
        <v>3.15007773</v>
      </c>
      <c r="BE59" s="85">
        <v>3.3337959800000005</v>
      </c>
      <c r="BF59" s="85">
        <f t="shared" si="10"/>
        <v>27.893672820000003</v>
      </c>
      <c r="BG59" s="85">
        <f>27.848388+0.019132</f>
        <v>27.867519999999999</v>
      </c>
      <c r="BH59" s="85">
        <v>6.2547606299999998</v>
      </c>
      <c r="BI59" s="85">
        <v>2.4883685600000001</v>
      </c>
      <c r="BJ59" s="85">
        <v>4.6751941000000006</v>
      </c>
      <c r="BK59" s="85">
        <v>0.90427261999999997</v>
      </c>
      <c r="BL59" s="85">
        <v>1.5054546000000002</v>
      </c>
      <c r="BM59" s="85">
        <v>1.1382852299999999</v>
      </c>
      <c r="BN59" s="85">
        <v>4.4177658100000006</v>
      </c>
      <c r="BO59" s="85">
        <v>1.7959954299999998</v>
      </c>
      <c r="BP59" s="85">
        <v>1.4465844800000001</v>
      </c>
      <c r="BQ59" s="85">
        <v>1.6099668700000003</v>
      </c>
      <c r="BR59" s="85">
        <v>3.9756134599999995</v>
      </c>
      <c r="BS59" s="85">
        <v>11.796974559999999</v>
      </c>
      <c r="BT59" s="88">
        <f t="shared" si="15"/>
        <v>42.009236350000002</v>
      </c>
      <c r="BU59" s="85">
        <f>41.991446+0.017786</f>
        <v>42.009232000000004</v>
      </c>
      <c r="BV59" s="85">
        <v>9.2292090399999989</v>
      </c>
      <c r="BW59" s="85">
        <v>3.4376483400000004</v>
      </c>
      <c r="BX59" s="85">
        <v>1.4259142200000001</v>
      </c>
      <c r="BY59" s="85">
        <v>1.9342162899999997</v>
      </c>
      <c r="BZ59" s="85">
        <v>1.2169443400000002</v>
      </c>
      <c r="CA59" s="85">
        <v>0.64508868999999991</v>
      </c>
      <c r="CB59" s="85">
        <v>6.7587900999999997</v>
      </c>
      <c r="CC59" s="85">
        <v>2.5414334899999997</v>
      </c>
      <c r="CD59" s="85">
        <v>-0.3641842099999999</v>
      </c>
      <c r="CE59" s="85">
        <v>2.1542787900000002</v>
      </c>
      <c r="CF59" s="85">
        <v>4.5351664200000004</v>
      </c>
      <c r="CG59" s="85">
        <v>11.85074807</v>
      </c>
      <c r="CH59" s="88">
        <f t="shared" si="16"/>
        <v>45.365253580000001</v>
      </c>
      <c r="CI59" s="85">
        <f>Valsts_Pamatbudžets!KW60+Valsts_Speciālais_Budžets!EC36</f>
        <v>45.365251999999998</v>
      </c>
      <c r="CJ59" s="85">
        <v>6.4253081499999993</v>
      </c>
      <c r="CK59" s="85">
        <v>1.0654663699999998</v>
      </c>
      <c r="CL59" s="85">
        <v>1.7307010699999998</v>
      </c>
      <c r="CM59" s="85">
        <v>1.4032253900000002</v>
      </c>
      <c r="CN59" s="85">
        <v>1.6642857499999999</v>
      </c>
      <c r="CO59" s="85">
        <v>1.1204641199999998</v>
      </c>
      <c r="CP59" s="85">
        <v>6.8203133899999999</v>
      </c>
      <c r="CQ59" s="185">
        <v>0.8982005500000001</v>
      </c>
      <c r="CR59" s="88">
        <v>1.1887280099999999</v>
      </c>
      <c r="CS59" s="88">
        <v>6.52123176</v>
      </c>
      <c r="CT59" s="88">
        <v>4.4401944999999987</v>
      </c>
      <c r="CU59" s="88">
        <v>5.67325736</v>
      </c>
      <c r="CV59" s="88">
        <f t="shared" si="21"/>
        <v>38.951376419999995</v>
      </c>
      <c r="CW59" s="85">
        <f>Valsts_Pamatbudžets!MM60+Valsts_Speciālais_Budžets!EQ36</f>
        <v>38.951378999999996</v>
      </c>
      <c r="CX59" s="88">
        <v>8.4755670599999995</v>
      </c>
      <c r="CY59" s="88">
        <v>1.2361001599999999</v>
      </c>
      <c r="CZ59" s="88">
        <v>1.8094048699999996</v>
      </c>
      <c r="DA59" s="88">
        <v>4.8009937799999998</v>
      </c>
      <c r="DB59" s="88">
        <v>0.53445583000000008</v>
      </c>
      <c r="DC59" s="88">
        <v>2.6369716900000002</v>
      </c>
      <c r="DD59" s="88">
        <v>2.8629035800000002</v>
      </c>
      <c r="DE59" s="88">
        <v>2.4712177099999999</v>
      </c>
      <c r="DF59" s="88">
        <v>4.4698996300000005</v>
      </c>
      <c r="DG59" s="88">
        <v>1.9624700799999999</v>
      </c>
      <c r="DH59" s="88">
        <v>4.1145080299999996</v>
      </c>
      <c r="DI59" s="88">
        <v>12.611248329999999</v>
      </c>
      <c r="DJ59" s="88">
        <f t="shared" si="22"/>
        <v>47.985740749999991</v>
      </c>
      <c r="DK59" s="85">
        <f>Valsts_Pamatbudžets!OC60+Valsts_Speciālais_Budžets!FE36</f>
        <v>47.985738999999995</v>
      </c>
      <c r="DL59" s="85">
        <v>8.1183024999999986</v>
      </c>
      <c r="DM59" s="85">
        <v>2.6012039900000001</v>
      </c>
      <c r="DN59" s="85">
        <v>8.9521034400000001</v>
      </c>
      <c r="DO59" s="85">
        <v>3.409398920000001</v>
      </c>
      <c r="DP59" s="85">
        <v>0.62586103000000015</v>
      </c>
      <c r="DQ59" s="85">
        <v>3.03035999</v>
      </c>
      <c r="DR59" s="85">
        <v>3.4936715600000006</v>
      </c>
      <c r="DS59" s="85">
        <v>5.66267459</v>
      </c>
      <c r="DT59" s="85">
        <v>0.72730696999999989</v>
      </c>
      <c r="DU59" s="85">
        <v>1.5235186699999999</v>
      </c>
      <c r="DV59" s="85">
        <v>3.7942488699999997</v>
      </c>
      <c r="DW59" s="85">
        <v>7.4104852699999997</v>
      </c>
      <c r="DX59" s="88">
        <f t="shared" si="23"/>
        <v>49.349135799999999</v>
      </c>
      <c r="DY59" s="85">
        <f>Valsts_Pamatbudžets!PS60+Valsts_Speciālais_Budžets!FS36</f>
        <v>49.349131</v>
      </c>
      <c r="DZ59" s="85">
        <v>6.4828084400000003</v>
      </c>
      <c r="EA59" s="85">
        <v>1.3226927799999999</v>
      </c>
      <c r="EB59" s="85">
        <v>4.5241263200000015</v>
      </c>
      <c r="EC59" s="85">
        <v>4.0262104599999997</v>
      </c>
      <c r="ED59" s="85">
        <v>0.97261351000000007</v>
      </c>
      <c r="EE59" s="85">
        <v>10.729524839999996</v>
      </c>
      <c r="EF59" s="85">
        <v>6.7414407799999996</v>
      </c>
      <c r="EG59" s="85">
        <v>3.5721910999999995</v>
      </c>
      <c r="EH59" s="85">
        <v>2.5461282700000001</v>
      </c>
      <c r="EI59" s="85">
        <v>4.2597050899999989</v>
      </c>
      <c r="EJ59" s="85">
        <v>19.882310650000001</v>
      </c>
      <c r="EK59" s="85">
        <v>27.052492720000004</v>
      </c>
      <c r="EL59" s="88">
        <f t="shared" si="17"/>
        <v>92.112244959999998</v>
      </c>
      <c r="EM59" s="85">
        <f>Valsts_Pamatbudžets!RI60+Valsts_Speciālais_Budžets!GG36</f>
        <v>92.1327</v>
      </c>
      <c r="EN59" s="85">
        <v>6.9682246900000013</v>
      </c>
      <c r="EO59" s="85">
        <v>2.99957655</v>
      </c>
      <c r="EP59" s="85">
        <v>3.8051519700000003</v>
      </c>
      <c r="EQ59" s="85">
        <v>2.9476069199999997</v>
      </c>
      <c r="ER59" s="85">
        <v>3.2798078899999998</v>
      </c>
      <c r="ES59" s="85">
        <v>5.7300829399999991</v>
      </c>
      <c r="ET59" s="85">
        <v>19.610028530000001</v>
      </c>
      <c r="EU59" s="85">
        <v>2.1232670799999998</v>
      </c>
      <c r="EV59" s="85">
        <v>1.9543205899999996</v>
      </c>
      <c r="EW59" s="85">
        <v>3.1935537099999998</v>
      </c>
      <c r="EX59" s="85">
        <v>7.7221005200000006</v>
      </c>
      <c r="EY59" s="85">
        <v>23.841362999999994</v>
      </c>
      <c r="EZ59" s="88">
        <f t="shared" si="18"/>
        <v>84.175084389999995</v>
      </c>
      <c r="FA59" s="85">
        <f>Valsts_Pamatbudžets!SY60+Valsts_Speciālais_Budžets!GU36</f>
        <v>84.175084999999996</v>
      </c>
      <c r="FB59" s="85">
        <v>8.5176004500000015</v>
      </c>
      <c r="FC59" s="85">
        <v>1.6875885999999998</v>
      </c>
      <c r="FD59" s="85">
        <v>4.6810194999999997</v>
      </c>
      <c r="FE59" s="85">
        <v>4.1408602499999985</v>
      </c>
      <c r="FF59" s="85">
        <v>7.5353251299999995</v>
      </c>
      <c r="FG59" s="85">
        <v>2.1778551000000004</v>
      </c>
      <c r="FH59" s="85">
        <v>2.5412174999999992</v>
      </c>
      <c r="FI59" s="85">
        <v>9.3247094100000005</v>
      </c>
      <c r="FJ59" s="85">
        <v>10.13750424</v>
      </c>
      <c r="FK59" s="85">
        <v>14.70228998</v>
      </c>
      <c r="FL59" s="85">
        <v>7.8759837100000007</v>
      </c>
      <c r="FM59" s="85">
        <v>59.122517459999997</v>
      </c>
      <c r="FN59" s="88">
        <f t="shared" si="11"/>
        <v>132.44447133</v>
      </c>
      <c r="FO59" s="85">
        <v>11.355803220000002</v>
      </c>
      <c r="FP59" s="85">
        <v>2.57773092</v>
      </c>
      <c r="FQ59" s="85">
        <v>18.168281440000005</v>
      </c>
      <c r="FR59" s="85">
        <v>8.4618405199999991</v>
      </c>
      <c r="FS59" s="85"/>
      <c r="FT59" s="85"/>
      <c r="FU59" s="85"/>
      <c r="FV59" s="85"/>
      <c r="FW59" s="85"/>
      <c r="FX59" s="85"/>
      <c r="FY59" s="85"/>
      <c r="FZ59" s="85"/>
      <c r="GA59" s="307">
        <f t="shared" si="19"/>
        <v>19.027069000000001</v>
      </c>
      <c r="GB59" s="307">
        <f t="shared" si="20"/>
        <v>40.563656000000002</v>
      </c>
      <c r="GC59" s="308">
        <f t="shared" si="12"/>
        <v>21.536587000000001</v>
      </c>
      <c r="GD59" s="308">
        <f t="shared" si="13"/>
        <v>113.18919903007659</v>
      </c>
    </row>
    <row r="60" spans="1:186" s="12" customFormat="1" ht="20.5">
      <c r="A60" s="46" t="s">
        <v>158</v>
      </c>
      <c r="B60" s="13">
        <v>7600</v>
      </c>
      <c r="C60" s="46" t="s">
        <v>159</v>
      </c>
      <c r="D60" s="45">
        <v>31.457446340000001</v>
      </c>
      <c r="E60" s="50">
        <v>54.498998999999998</v>
      </c>
      <c r="F60" s="50">
        <v>20.91582365</v>
      </c>
      <c r="G60" s="50">
        <v>20.939420940000002</v>
      </c>
      <c r="H60" s="50">
        <v>21.143403579999998</v>
      </c>
      <c r="I60" s="50">
        <v>19.159150440000001</v>
      </c>
      <c r="J60" s="50">
        <v>15.552700309999999</v>
      </c>
      <c r="K60" s="50">
        <v>13.173210559999999</v>
      </c>
      <c r="L60" s="50">
        <v>9.8155298799999997</v>
      </c>
      <c r="M60" s="50">
        <v>11.851813969999998</v>
      </c>
      <c r="N60" s="50">
        <v>19.325406870000002</v>
      </c>
      <c r="O60" s="50">
        <v>47.724524629999998</v>
      </c>
      <c r="P60" s="85">
        <f t="shared" si="7"/>
        <v>285.55743016999998</v>
      </c>
      <c r="Q60" s="85">
        <v>285.55743100000001</v>
      </c>
      <c r="R60" s="50">
        <v>22.438066980000006</v>
      </c>
      <c r="S60" s="50">
        <v>55.751819850000004</v>
      </c>
      <c r="T60" s="50">
        <v>22.794104300000001</v>
      </c>
      <c r="U60" s="50">
        <v>22.704341979999999</v>
      </c>
      <c r="V60" s="50">
        <v>22.98824471</v>
      </c>
      <c r="W60" s="50">
        <v>16.42724458</v>
      </c>
      <c r="X60" s="50">
        <v>10.23774976</v>
      </c>
      <c r="Y60" s="50">
        <v>16.580263850000001</v>
      </c>
      <c r="Z60" s="50">
        <v>9.9608090600000008</v>
      </c>
      <c r="AA60" s="50">
        <v>18.52952367</v>
      </c>
      <c r="AB60" s="50">
        <v>6.1270363800000007</v>
      </c>
      <c r="AC60" s="50">
        <v>21.749183070000001</v>
      </c>
      <c r="AD60" s="85">
        <f t="shared" si="8"/>
        <v>246.28838818999998</v>
      </c>
      <c r="AE60" s="85">
        <v>246.288387</v>
      </c>
      <c r="AF60" s="85">
        <v>5.4521731400000002</v>
      </c>
      <c r="AG60" s="85">
        <v>46.2386117</v>
      </c>
      <c r="AH60" s="85">
        <v>20.890251920000001</v>
      </c>
      <c r="AI60" s="85">
        <v>12.22498083</v>
      </c>
      <c r="AJ60" s="85">
        <v>18.080635280000003</v>
      </c>
      <c r="AK60" s="85">
        <v>11.6065972</v>
      </c>
      <c r="AL60" s="85">
        <v>19.287550479999997</v>
      </c>
      <c r="AM60" s="85">
        <v>19.810887089999998</v>
      </c>
      <c r="AN60" s="85">
        <v>21.638975719999994</v>
      </c>
      <c r="AO60" s="85">
        <v>21.61043544</v>
      </c>
      <c r="AP60" s="85">
        <v>21.701457670000003</v>
      </c>
      <c r="AQ60" s="85">
        <v>40.045397319999992</v>
      </c>
      <c r="AR60" s="85">
        <f t="shared" si="9"/>
        <v>258.58795378999997</v>
      </c>
      <c r="AS60" s="85">
        <v>258.58795500000002</v>
      </c>
      <c r="AT60" s="85">
        <v>5.7427615099999993</v>
      </c>
      <c r="AU60" s="85">
        <v>23.843085840000004</v>
      </c>
      <c r="AV60" s="85">
        <v>16.871223959999998</v>
      </c>
      <c r="AW60" s="85">
        <v>20.733724420000001</v>
      </c>
      <c r="AX60" s="85">
        <v>22.336788049999996</v>
      </c>
      <c r="AY60" s="85">
        <v>19.041685480000002</v>
      </c>
      <c r="AZ60" s="85">
        <v>20.771252570000001</v>
      </c>
      <c r="BA60" s="85">
        <v>13.51284776</v>
      </c>
      <c r="BB60" s="85">
        <v>20.611636109999999</v>
      </c>
      <c r="BC60" s="85">
        <v>20.36057254</v>
      </c>
      <c r="BD60" s="85">
        <v>20.575782929999999</v>
      </c>
      <c r="BE60" s="85">
        <v>21.001171839999998</v>
      </c>
      <c r="BF60" s="85">
        <f t="shared" si="10"/>
        <v>225.40253301000001</v>
      </c>
      <c r="BG60" s="85">
        <v>225.40253100000001</v>
      </c>
      <c r="BH60" s="85">
        <v>3.3117478300000003</v>
      </c>
      <c r="BI60" s="85">
        <v>36.978075109999999</v>
      </c>
      <c r="BJ60" s="85">
        <v>22.912808740000006</v>
      </c>
      <c r="BK60" s="85">
        <v>21.10680198</v>
      </c>
      <c r="BL60" s="85">
        <v>16.923801099999999</v>
      </c>
      <c r="BM60" s="85">
        <v>13.375346260000002</v>
      </c>
      <c r="BN60" s="85">
        <v>21.196015619999997</v>
      </c>
      <c r="BO60" s="85">
        <v>22.203527049999998</v>
      </c>
      <c r="BP60" s="85">
        <v>22.535592810000001</v>
      </c>
      <c r="BQ60" s="85">
        <v>23.908485089999999</v>
      </c>
      <c r="BR60" s="85">
        <v>23.202270400000003</v>
      </c>
      <c r="BS60" s="85">
        <v>30.90882925</v>
      </c>
      <c r="BT60" s="88">
        <f t="shared" si="15"/>
        <v>258.56330123999999</v>
      </c>
      <c r="BU60" s="85">
        <v>258.56330200000002</v>
      </c>
      <c r="BV60" s="85">
        <v>24.956088350000002</v>
      </c>
      <c r="BW60" s="85">
        <v>59.878525079999996</v>
      </c>
      <c r="BX60" s="85">
        <v>24.798974759999997</v>
      </c>
      <c r="BY60" s="85">
        <v>17.83487573</v>
      </c>
      <c r="BZ60" s="85">
        <v>16.146069900000001</v>
      </c>
      <c r="CA60" s="85">
        <v>21.434251360000001</v>
      </c>
      <c r="CB60" s="85">
        <v>24.202757460000001</v>
      </c>
      <c r="CC60" s="85">
        <v>24.334049300000004</v>
      </c>
      <c r="CD60" s="85">
        <v>26.050291539999996</v>
      </c>
      <c r="CE60" s="85">
        <v>25.497658659999995</v>
      </c>
      <c r="CF60" s="85">
        <v>12.323131010000001</v>
      </c>
      <c r="CG60" s="85">
        <v>14.42781312</v>
      </c>
      <c r="CH60" s="88">
        <f t="shared" si="16"/>
        <v>291.88448626999997</v>
      </c>
      <c r="CI60" s="85">
        <f>Valsts_Pamatbudžets!KW61</f>
        <v>291.88448699999998</v>
      </c>
      <c r="CJ60" s="85">
        <v>48.433049400000002</v>
      </c>
      <c r="CK60" s="85">
        <v>29.964908259999998</v>
      </c>
      <c r="CL60" s="85">
        <v>17.15666826</v>
      </c>
      <c r="CM60" s="85">
        <v>25.902653089999998</v>
      </c>
      <c r="CN60" s="85">
        <v>37.998668359999996</v>
      </c>
      <c r="CO60" s="85">
        <v>19.607424689999998</v>
      </c>
      <c r="CP60" s="85">
        <v>16.88417565</v>
      </c>
      <c r="CQ60" s="185">
        <v>13.63102301</v>
      </c>
      <c r="CR60" s="88">
        <v>21.237409890000002</v>
      </c>
      <c r="CS60" s="88">
        <v>25.977500520000003</v>
      </c>
      <c r="CT60" s="88">
        <v>36.78361847</v>
      </c>
      <c r="CU60" s="88">
        <v>27.992020290000003</v>
      </c>
      <c r="CV60" s="88">
        <f t="shared" si="21"/>
        <v>321.56911989000002</v>
      </c>
      <c r="CW60" s="85">
        <f>Valsts_Pamatbudžets!MM61</f>
        <v>321.56912</v>
      </c>
      <c r="CX60" s="88">
        <v>41.927839440000007</v>
      </c>
      <c r="CY60" s="88">
        <v>56.992398690000002</v>
      </c>
      <c r="CZ60" s="88">
        <v>21.695020750000001</v>
      </c>
      <c r="DA60" s="88">
        <v>23.74911165</v>
      </c>
      <c r="DB60" s="88">
        <v>27.280129139999996</v>
      </c>
      <c r="DC60" s="88">
        <v>30.038526999999998</v>
      </c>
      <c r="DD60" s="88">
        <v>17.029966399999999</v>
      </c>
      <c r="DE60" s="88">
        <v>27.585813699999999</v>
      </c>
      <c r="DF60" s="88">
        <v>30.128511170000003</v>
      </c>
      <c r="DG60" s="88">
        <v>33.468718330000002</v>
      </c>
      <c r="DH60" s="88">
        <v>41.653382610000001</v>
      </c>
      <c r="DI60" s="88">
        <v>46.872018060000002</v>
      </c>
      <c r="DJ60" s="88">
        <f t="shared" si="22"/>
        <v>398.42143693999998</v>
      </c>
      <c r="DK60" s="85">
        <f>Valsts_Pamatbudžets!OC61</f>
        <v>398.42143700000003</v>
      </c>
      <c r="DL60" s="85">
        <v>33.453234030000004</v>
      </c>
      <c r="DM60" s="85">
        <v>41.957182660000001</v>
      </c>
      <c r="DN60" s="85">
        <v>25.910527940000001</v>
      </c>
      <c r="DO60" s="85">
        <v>32.861477299999997</v>
      </c>
      <c r="DP60" s="85">
        <v>33.893717500000001</v>
      </c>
      <c r="DQ60" s="85">
        <v>33.005234989999998</v>
      </c>
      <c r="DR60" s="85">
        <v>34.479315040000003</v>
      </c>
      <c r="DS60" s="85">
        <v>34.069575919999998</v>
      </c>
      <c r="DT60" s="85">
        <v>32.03739152</v>
      </c>
      <c r="DU60" s="85">
        <v>26.119908169999999</v>
      </c>
      <c r="DV60" s="85">
        <v>31.475123</v>
      </c>
      <c r="DW60" s="85">
        <v>32.657165000000006</v>
      </c>
      <c r="DX60" s="88">
        <f t="shared" si="23"/>
        <v>391.91985306999999</v>
      </c>
      <c r="DY60" s="85">
        <f>Valsts_Pamatbudžets!PS61</f>
        <v>391.91985299999999</v>
      </c>
      <c r="DZ60" s="85">
        <v>24.117836</v>
      </c>
      <c r="EA60" s="85">
        <v>39.743732999999999</v>
      </c>
      <c r="EB60" s="85">
        <v>26.797046999999999</v>
      </c>
      <c r="EC60" s="85">
        <v>28.575942000000001</v>
      </c>
      <c r="ED60" s="85">
        <v>28.053388000000002</v>
      </c>
      <c r="EE60" s="85">
        <v>30.463971000000001</v>
      </c>
      <c r="EF60" s="85">
        <v>31.077442000000005</v>
      </c>
      <c r="EG60" s="85">
        <v>27.236025999999999</v>
      </c>
      <c r="EH60" s="85">
        <v>30.735962999999998</v>
      </c>
      <c r="EI60" s="85">
        <v>30.981662</v>
      </c>
      <c r="EJ60" s="85">
        <v>30.554484000000006</v>
      </c>
      <c r="EK60" s="85">
        <v>56.655026000000014</v>
      </c>
      <c r="EL60" s="88">
        <f t="shared" si="17"/>
        <v>384.99252000000001</v>
      </c>
      <c r="EM60" s="85">
        <f>Valsts_Pamatbudžets!RI61</f>
        <v>384.99252000000001</v>
      </c>
      <c r="EN60" s="85">
        <v>21.046340999999998</v>
      </c>
      <c r="EO60" s="85">
        <v>31.847451999999997</v>
      </c>
      <c r="EP60" s="85">
        <v>46.343047000000006</v>
      </c>
      <c r="EQ60" s="85">
        <v>26.930332000000003</v>
      </c>
      <c r="ER60" s="85">
        <v>27.682044000000005</v>
      </c>
      <c r="ES60" s="85">
        <v>35.24388900000001</v>
      </c>
      <c r="ET60" s="85">
        <v>30.654566000000003</v>
      </c>
      <c r="EU60" s="85">
        <v>31.12448800000001</v>
      </c>
      <c r="EV60" s="85">
        <v>30.276744000000001</v>
      </c>
      <c r="EW60" s="85">
        <v>30.036814</v>
      </c>
      <c r="EX60" s="85">
        <v>30.187743000000001</v>
      </c>
      <c r="EY60" s="85">
        <v>19.507985999999999</v>
      </c>
      <c r="EZ60" s="88">
        <f t="shared" si="18"/>
        <v>360.88144600000004</v>
      </c>
      <c r="FA60" s="85">
        <f>Valsts_Pamatbudžets!SY61</f>
        <v>360.88144599999998</v>
      </c>
      <c r="FB60" s="85">
        <v>32.570366969999995</v>
      </c>
      <c r="FC60" s="85">
        <v>32.385189609999998</v>
      </c>
      <c r="FD60" s="85">
        <v>41.437353280000004</v>
      </c>
      <c r="FE60" s="85">
        <v>31.875073340000004</v>
      </c>
      <c r="FF60" s="85">
        <v>32.03267670999999</v>
      </c>
      <c r="FG60" s="85">
        <v>30.944795030000002</v>
      </c>
      <c r="FH60" s="85">
        <v>32.008072450000007</v>
      </c>
      <c r="FI60" s="85">
        <v>30.699261390000007</v>
      </c>
      <c r="FJ60" s="85">
        <v>32.539105450000008</v>
      </c>
      <c r="FK60" s="85">
        <v>30.753405269999998</v>
      </c>
      <c r="FL60" s="85">
        <v>21.869126260000005</v>
      </c>
      <c r="FM60" s="85">
        <v>31.071342030000004</v>
      </c>
      <c r="FN60" s="88">
        <f t="shared" si="11"/>
        <v>380.18576779</v>
      </c>
      <c r="FO60" s="85">
        <v>37.757250039999995</v>
      </c>
      <c r="FP60" s="85">
        <v>50.408987310000001</v>
      </c>
      <c r="FQ60" s="85">
        <v>4.86075137</v>
      </c>
      <c r="FR60" s="85">
        <v>3.9296907499999998</v>
      </c>
      <c r="FS60" s="85"/>
      <c r="FT60" s="85"/>
      <c r="FU60" s="85"/>
      <c r="FV60" s="85"/>
      <c r="FW60" s="85"/>
      <c r="FX60" s="85"/>
      <c r="FY60" s="85"/>
      <c r="FZ60" s="85"/>
      <c r="GA60" s="307">
        <f t="shared" si="19"/>
        <v>138.26798299999999</v>
      </c>
      <c r="GB60" s="307">
        <f t="shared" si="20"/>
        <v>96.956678999999994</v>
      </c>
      <c r="GC60" s="308">
        <f t="shared" si="12"/>
        <v>-41.311303999999993</v>
      </c>
      <c r="GD60" s="308">
        <f t="shared" si="13"/>
        <v>-29.877707842169059</v>
      </c>
    </row>
    <row r="61" spans="1:186" s="12" customFormat="1" ht="20.5">
      <c r="A61" s="42" t="s">
        <v>160</v>
      </c>
      <c r="B61" s="13" t="s">
        <v>91</v>
      </c>
      <c r="C61" s="42" t="s">
        <v>161</v>
      </c>
      <c r="D61" s="45">
        <f>D62+D65</f>
        <v>26.037621999999999</v>
      </c>
      <c r="E61" s="50">
        <f>E62+E65</f>
        <v>16.751508000000001</v>
      </c>
      <c r="F61" s="50">
        <f t="shared" ref="F61:M61" si="34">F62+F65</f>
        <v>21.586825529999999</v>
      </c>
      <c r="G61" s="50">
        <f t="shared" si="34"/>
        <v>24.420113359999995</v>
      </c>
      <c r="H61" s="50">
        <f t="shared" si="34"/>
        <v>17.4465006</v>
      </c>
      <c r="I61" s="50">
        <f t="shared" si="34"/>
        <v>30.633350310000001</v>
      </c>
      <c r="J61" s="50">
        <f t="shared" si="34"/>
        <v>36.609316370000002</v>
      </c>
      <c r="K61" s="50">
        <f t="shared" si="34"/>
        <v>52.821151690000001</v>
      </c>
      <c r="L61" s="50">
        <f t="shared" si="34"/>
        <v>40.88810273</v>
      </c>
      <c r="M61" s="50">
        <f t="shared" si="34"/>
        <v>51.510164209999999</v>
      </c>
      <c r="N61" s="50">
        <f>N62+N65</f>
        <v>51.254946109999999</v>
      </c>
      <c r="O61" s="50">
        <f>O62+O65</f>
        <v>114.66141666999999</v>
      </c>
      <c r="P61" s="85">
        <f t="shared" si="7"/>
        <v>484.62101757999994</v>
      </c>
      <c r="Q61" s="85">
        <f>Q62+Q65</f>
        <v>484.715551</v>
      </c>
      <c r="R61" s="50">
        <f>R62+R65</f>
        <v>21.907304480000001</v>
      </c>
      <c r="S61" s="50">
        <v>20.840417110000004</v>
      </c>
      <c r="T61" s="50">
        <v>20.179190169999995</v>
      </c>
      <c r="U61" s="50">
        <v>21.939164150000003</v>
      </c>
      <c r="V61" s="50">
        <v>29.371503640000018</v>
      </c>
      <c r="W61" s="50">
        <v>38.522802139999996</v>
      </c>
      <c r="X61" s="50">
        <v>51.378850009999979</v>
      </c>
      <c r="Y61" s="50">
        <v>52.626902940000001</v>
      </c>
      <c r="Z61" s="50">
        <v>38.312176679999986</v>
      </c>
      <c r="AA61" s="50">
        <v>46.488839620000014</v>
      </c>
      <c r="AB61" s="50">
        <v>50.789438990000001</v>
      </c>
      <c r="AC61" s="50">
        <v>138.62044535999999</v>
      </c>
      <c r="AD61" s="85">
        <f t="shared" si="8"/>
        <v>530.97703529</v>
      </c>
      <c r="AE61" s="85">
        <f>AE62+AE65</f>
        <v>530.98434232</v>
      </c>
      <c r="AF61" s="85">
        <v>18.87026376</v>
      </c>
      <c r="AG61" s="85">
        <v>12.181446149999999</v>
      </c>
      <c r="AH61" s="85">
        <v>15.462327029999996</v>
      </c>
      <c r="AI61" s="85">
        <v>25.030243350000003</v>
      </c>
      <c r="AJ61" s="85">
        <v>19.838158450000002</v>
      </c>
      <c r="AK61" s="85">
        <v>21.179344560000004</v>
      </c>
      <c r="AL61" s="85">
        <v>29.145186389999999</v>
      </c>
      <c r="AM61" s="85">
        <v>49.04955047</v>
      </c>
      <c r="AN61" s="85">
        <v>36.83686952</v>
      </c>
      <c r="AO61" s="85">
        <v>46.595798240000001</v>
      </c>
      <c r="AP61" s="85">
        <v>38.00046488000001</v>
      </c>
      <c r="AQ61" s="85">
        <v>69.259953769999981</v>
      </c>
      <c r="AR61" s="85">
        <f t="shared" si="9"/>
        <v>381.44960656999996</v>
      </c>
      <c r="AS61" s="85">
        <f>AS62+AS65</f>
        <v>381.44818299999997</v>
      </c>
      <c r="AT61" s="85">
        <v>19.055245859999999</v>
      </c>
      <c r="AU61" s="85">
        <v>16.967432659999997</v>
      </c>
      <c r="AV61" s="85">
        <v>20.411572249999995</v>
      </c>
      <c r="AW61" s="85">
        <v>23.63931388</v>
      </c>
      <c r="AX61" s="85">
        <v>36.043036190000009</v>
      </c>
      <c r="AY61" s="85">
        <v>38.036363710000003</v>
      </c>
      <c r="AZ61" s="85">
        <v>44.533371389999985</v>
      </c>
      <c r="BA61" s="85">
        <v>57.011080319999991</v>
      </c>
      <c r="BB61" s="85">
        <v>55.297018600000015</v>
      </c>
      <c r="BC61" s="85">
        <v>52.83723805999999</v>
      </c>
      <c r="BD61" s="85">
        <v>53.737942349999976</v>
      </c>
      <c r="BE61" s="85">
        <v>123.62944789000008</v>
      </c>
      <c r="BF61" s="85">
        <f t="shared" si="10"/>
        <v>541.19906316000004</v>
      </c>
      <c r="BG61" s="85">
        <f>BG62+BG65</f>
        <v>539.02179699999999</v>
      </c>
      <c r="BH61" s="85">
        <v>24.389392520000001</v>
      </c>
      <c r="BI61" s="85">
        <v>20.816990910000005</v>
      </c>
      <c r="BJ61" s="85">
        <v>32.085201749999996</v>
      </c>
      <c r="BK61" s="85">
        <v>32.874196070000004</v>
      </c>
      <c r="BL61" s="85">
        <v>40.88096616</v>
      </c>
      <c r="BM61" s="85">
        <v>73.062728589999992</v>
      </c>
      <c r="BN61" s="85">
        <v>69.446541180000011</v>
      </c>
      <c r="BO61" s="85">
        <v>71.757181490000008</v>
      </c>
      <c r="BP61" s="85">
        <v>68.910404159999985</v>
      </c>
      <c r="BQ61" s="85">
        <v>63.347675219999999</v>
      </c>
      <c r="BR61" s="85">
        <v>88.578682270000002</v>
      </c>
      <c r="BS61" s="85">
        <v>125.73772711999993</v>
      </c>
      <c r="BT61" s="88">
        <f t="shared" si="15"/>
        <v>711.88768743999992</v>
      </c>
      <c r="BU61" s="85">
        <f>BU62+BU65</f>
        <v>711.89434600000004</v>
      </c>
      <c r="BV61" s="85">
        <v>76.797363639999986</v>
      </c>
      <c r="BW61" s="85">
        <v>42.129369589999996</v>
      </c>
      <c r="BX61" s="85">
        <v>44.415370609999997</v>
      </c>
      <c r="BY61" s="85">
        <v>36.15980485</v>
      </c>
      <c r="BZ61" s="85">
        <v>42.363622110000001</v>
      </c>
      <c r="CA61" s="85">
        <v>50.315167699999982</v>
      </c>
      <c r="CB61" s="85">
        <v>72.573726080000014</v>
      </c>
      <c r="CC61" s="85">
        <v>73.648975579999998</v>
      </c>
      <c r="CD61" s="85">
        <v>54.820495600000008</v>
      </c>
      <c r="CE61" s="85">
        <v>60.863393300000027</v>
      </c>
      <c r="CF61" s="85">
        <v>73.151823410000006</v>
      </c>
      <c r="CG61" s="85">
        <v>137.83909407000004</v>
      </c>
      <c r="CH61" s="88">
        <f t="shared" si="16"/>
        <v>765.07820654000011</v>
      </c>
      <c r="CI61" s="85">
        <f>CI62+CI65</f>
        <v>765.02178600000002</v>
      </c>
      <c r="CJ61" s="85">
        <v>77.219952459999988</v>
      </c>
      <c r="CK61" s="85">
        <v>34.627228960000004</v>
      </c>
      <c r="CL61" s="85">
        <v>35.759800429999999</v>
      </c>
      <c r="CM61" s="85">
        <v>37.426687510000022</v>
      </c>
      <c r="CN61" s="85">
        <v>37.361647889999993</v>
      </c>
      <c r="CO61" s="85">
        <v>36.631106780000017</v>
      </c>
      <c r="CP61" s="85">
        <v>74.629846630000017</v>
      </c>
      <c r="CQ61" s="185">
        <v>57.202943740000023</v>
      </c>
      <c r="CR61" s="88">
        <v>71.979840519999968</v>
      </c>
      <c r="CS61" s="88">
        <v>82.96969560999996</v>
      </c>
      <c r="CT61" s="88">
        <v>63.06453808000002</v>
      </c>
      <c r="CU61" s="88">
        <v>182.15434660999981</v>
      </c>
      <c r="CV61" s="88">
        <f t="shared" si="21"/>
        <v>791.02763521999987</v>
      </c>
      <c r="CW61" s="85">
        <f>CW62+CW65</f>
        <v>790.88658000000009</v>
      </c>
      <c r="CX61" s="88">
        <v>43.826299470000002</v>
      </c>
      <c r="CY61" s="88">
        <v>37.351983980000014</v>
      </c>
      <c r="CZ61" s="88">
        <v>28.005009440000009</v>
      </c>
      <c r="DA61" s="88">
        <v>33.195472320000007</v>
      </c>
      <c r="DB61" s="88">
        <v>38.256689529999996</v>
      </c>
      <c r="DC61" s="88">
        <v>59.145306470000001</v>
      </c>
      <c r="DD61" s="88">
        <v>90.001238449999988</v>
      </c>
      <c r="DE61" s="88">
        <v>82.793089289999941</v>
      </c>
      <c r="DF61" s="88">
        <v>75.08038615000001</v>
      </c>
      <c r="DG61" s="88">
        <v>69.510372000000004</v>
      </c>
      <c r="DH61" s="88">
        <v>83.769054760000003</v>
      </c>
      <c r="DI61" s="88">
        <v>168.5217736299999</v>
      </c>
      <c r="DJ61" s="88">
        <f t="shared" si="22"/>
        <v>809.45667548999984</v>
      </c>
      <c r="DK61" s="85">
        <f>DK62+DK65</f>
        <v>808.87305500000002</v>
      </c>
      <c r="DL61" s="85">
        <v>42.83641398999999</v>
      </c>
      <c r="DM61" s="85">
        <v>31.968058199999984</v>
      </c>
      <c r="DN61" s="85">
        <v>49.645224239999997</v>
      </c>
      <c r="DO61" s="85">
        <v>48.051028670000008</v>
      </c>
      <c r="DP61" s="85">
        <v>25.510171049999986</v>
      </c>
      <c r="DQ61" s="85">
        <v>57.076411280000002</v>
      </c>
      <c r="DR61" s="85">
        <v>91.152172020000023</v>
      </c>
      <c r="DS61" s="85">
        <v>76.634289900000013</v>
      </c>
      <c r="DT61" s="85">
        <v>69.255725170000005</v>
      </c>
      <c r="DU61" s="85">
        <v>93.882115920000047</v>
      </c>
      <c r="DV61" s="85">
        <v>71.551118259999981</v>
      </c>
      <c r="DW61" s="85">
        <v>202.16148485999994</v>
      </c>
      <c r="DX61" s="88">
        <f t="shared" si="23"/>
        <v>859.72421355999995</v>
      </c>
      <c r="DY61" s="85">
        <f>DY62+DY65</f>
        <v>859.65644499999996</v>
      </c>
      <c r="DZ61" s="85">
        <v>70.380492889999985</v>
      </c>
      <c r="EA61" s="85">
        <v>32.827821960000009</v>
      </c>
      <c r="EB61" s="85">
        <v>42.366702170000011</v>
      </c>
      <c r="EC61" s="85">
        <v>64.241788560000003</v>
      </c>
      <c r="ED61" s="85">
        <v>58.690878670000011</v>
      </c>
      <c r="EE61" s="85">
        <v>102.75458709999995</v>
      </c>
      <c r="EF61" s="85">
        <v>95.260687589999932</v>
      </c>
      <c r="EG61" s="85">
        <v>90.716720859999995</v>
      </c>
      <c r="EH61" s="85">
        <v>82.663588799999985</v>
      </c>
      <c r="EI61" s="85">
        <v>86.671063339999989</v>
      </c>
      <c r="EJ61" s="85">
        <v>56.375394699999958</v>
      </c>
      <c r="EK61" s="85">
        <v>231.94824363000001</v>
      </c>
      <c r="EL61" s="88">
        <f t="shared" si="17"/>
        <v>1014.8979702699999</v>
      </c>
      <c r="EM61" s="85">
        <f>EM62+EM65</f>
        <v>1014.9364859999999</v>
      </c>
      <c r="EN61" s="85">
        <v>51.403681929999991</v>
      </c>
      <c r="EO61" s="85">
        <v>176.31062501999997</v>
      </c>
      <c r="EP61" s="85">
        <v>32.521170449999993</v>
      </c>
      <c r="EQ61" s="85">
        <v>90.11718581999996</v>
      </c>
      <c r="ER61" s="85">
        <v>62.424088919999967</v>
      </c>
      <c r="ES61" s="85">
        <v>63.264567540000002</v>
      </c>
      <c r="ET61" s="85">
        <v>102.84003045</v>
      </c>
      <c r="EU61" s="85">
        <v>94.58401748</v>
      </c>
      <c r="EV61" s="85">
        <v>92.942175559999981</v>
      </c>
      <c r="EW61" s="85">
        <v>119.57778552000002</v>
      </c>
      <c r="EX61" s="85">
        <v>82.844892970000032</v>
      </c>
      <c r="EY61" s="85">
        <v>202.75020352000013</v>
      </c>
      <c r="EZ61" s="88">
        <f t="shared" si="18"/>
        <v>1171.58042518</v>
      </c>
      <c r="FA61" s="85">
        <f>FA62+FA65</f>
        <v>1171.5775589999998</v>
      </c>
      <c r="FB61" s="85">
        <v>105.00643131999995</v>
      </c>
      <c r="FC61" s="85">
        <v>74.101424770000008</v>
      </c>
      <c r="FD61" s="85">
        <v>132.72818000999996</v>
      </c>
      <c r="FE61" s="85">
        <v>110.91752454000006</v>
      </c>
      <c r="FF61" s="85">
        <v>73.692299219999967</v>
      </c>
      <c r="FG61" s="85">
        <v>152.51009594000004</v>
      </c>
      <c r="FH61" s="85">
        <v>110.49438871999996</v>
      </c>
      <c r="FI61" s="85">
        <v>101.59023807999996</v>
      </c>
      <c r="FJ61" s="85">
        <v>106.41388579999999</v>
      </c>
      <c r="FK61" s="85">
        <v>135.94417492000011</v>
      </c>
      <c r="FL61" s="85">
        <v>104.99380858999999</v>
      </c>
      <c r="FM61" s="85">
        <v>247.48397043999981</v>
      </c>
      <c r="FN61" s="88">
        <f t="shared" si="11"/>
        <v>1455.87642235</v>
      </c>
      <c r="FO61" s="85">
        <v>164.16402793</v>
      </c>
      <c r="FP61" s="85">
        <v>140.06539934</v>
      </c>
      <c r="FQ61" s="85">
        <v>162.29234410000004</v>
      </c>
      <c r="FR61" s="85">
        <v>63.299119890000021</v>
      </c>
      <c r="FS61" s="85"/>
      <c r="FT61" s="85"/>
      <c r="FU61" s="85"/>
      <c r="FV61" s="85"/>
      <c r="FW61" s="85"/>
      <c r="FX61" s="85"/>
      <c r="FY61" s="85"/>
      <c r="FZ61" s="85"/>
      <c r="GA61" s="307">
        <f t="shared" si="19"/>
        <v>422.75356099999999</v>
      </c>
      <c r="GB61" s="307">
        <f t="shared" si="20"/>
        <v>529.82089099999996</v>
      </c>
      <c r="GC61" s="308">
        <f t="shared" si="12"/>
        <v>107.06732999999997</v>
      </c>
      <c r="GD61" s="308">
        <f t="shared" si="13"/>
        <v>25.32618051678574</v>
      </c>
    </row>
    <row r="62" spans="1:186" s="12" customFormat="1" ht="20.5">
      <c r="A62" s="46" t="s">
        <v>216</v>
      </c>
      <c r="B62" s="13" t="s">
        <v>163</v>
      </c>
      <c r="C62" s="46" t="s">
        <v>164</v>
      </c>
      <c r="D62" s="45">
        <f>D63+D64</f>
        <v>15.735557999999999</v>
      </c>
      <c r="E62" s="50">
        <f>E63+E64</f>
        <v>7.0358410000000005</v>
      </c>
      <c r="F62" s="50">
        <f t="shared" ref="F62:M62" si="35">F63+F64</f>
        <v>8.6446100000000001</v>
      </c>
      <c r="G62" s="50">
        <f t="shared" si="35"/>
        <v>14.850776999999999</v>
      </c>
      <c r="H62" s="50">
        <f t="shared" si="35"/>
        <v>10.768386</v>
      </c>
      <c r="I62" s="50">
        <f t="shared" si="35"/>
        <v>19.869675000000001</v>
      </c>
      <c r="J62" s="50">
        <f t="shared" si="35"/>
        <v>28.916491210000004</v>
      </c>
      <c r="K62" s="50">
        <f t="shared" si="35"/>
        <v>41.004786000000003</v>
      </c>
      <c r="L62" s="50">
        <f t="shared" si="35"/>
        <v>32.160687260000003</v>
      </c>
      <c r="M62" s="50">
        <f t="shared" si="35"/>
        <v>40.740274390000003</v>
      </c>
      <c r="N62" s="50">
        <f>N63+N64</f>
        <v>33.659387539999997</v>
      </c>
      <c r="O62" s="50">
        <f>O63+O64</f>
        <v>78.315408609999992</v>
      </c>
      <c r="P62" s="85">
        <f t="shared" si="7"/>
        <v>331.70188200999996</v>
      </c>
      <c r="Q62" s="85">
        <f>Q63+Q64</f>
        <v>331.79641600000002</v>
      </c>
      <c r="R62" s="50">
        <f>R63+R64</f>
        <v>18.74729258</v>
      </c>
      <c r="S62" s="50">
        <v>12.974722030000002</v>
      </c>
      <c r="T62" s="50">
        <v>11.842396919999995</v>
      </c>
      <c r="U62" s="50">
        <v>13.984475680000001</v>
      </c>
      <c r="V62" s="50">
        <v>22.549262440000017</v>
      </c>
      <c r="W62" s="50">
        <v>29.217354189999995</v>
      </c>
      <c r="X62" s="50">
        <v>43.947887499999979</v>
      </c>
      <c r="Y62" s="50">
        <v>45.840796490000002</v>
      </c>
      <c r="Z62" s="50">
        <v>30.574793529999987</v>
      </c>
      <c r="AA62" s="50">
        <v>41.209296610000017</v>
      </c>
      <c r="AB62" s="50">
        <v>47.406847409999997</v>
      </c>
      <c r="AC62" s="50">
        <v>113.95153013999999</v>
      </c>
      <c r="AD62" s="85">
        <f t="shared" si="8"/>
        <v>432.24665551999999</v>
      </c>
      <c r="AE62" s="85">
        <f>AE63+AE64</f>
        <v>432.25396231999997</v>
      </c>
      <c r="AF62" s="85">
        <v>17.431891889999999</v>
      </c>
      <c r="AG62" s="85">
        <v>9.5955392599999989</v>
      </c>
      <c r="AH62" s="85">
        <v>8.1565234999999969</v>
      </c>
      <c r="AI62" s="85">
        <v>10.929933730000002</v>
      </c>
      <c r="AJ62" s="85">
        <v>17.484440280000001</v>
      </c>
      <c r="AK62" s="85">
        <v>20.985342620000004</v>
      </c>
      <c r="AL62" s="85">
        <v>28.955953829999999</v>
      </c>
      <c r="AM62" s="85">
        <v>47.99699373</v>
      </c>
      <c r="AN62" s="85">
        <v>34.549565860000001</v>
      </c>
      <c r="AO62" s="85">
        <v>45.32198442</v>
      </c>
      <c r="AP62" s="85">
        <v>37.226307620000007</v>
      </c>
      <c r="AQ62" s="85">
        <v>56.305400169999977</v>
      </c>
      <c r="AR62" s="85">
        <f t="shared" si="9"/>
        <v>334.93987691000001</v>
      </c>
      <c r="AS62" s="85">
        <f>AS63+AS64</f>
        <v>334.93845499999998</v>
      </c>
      <c r="AT62" s="85">
        <v>18.296609529999998</v>
      </c>
      <c r="AU62" s="85">
        <v>16.371202099999998</v>
      </c>
      <c r="AV62" s="85">
        <v>17.205630789999997</v>
      </c>
      <c r="AW62" s="85">
        <v>16.606497109999999</v>
      </c>
      <c r="AX62" s="85">
        <v>23.335288560000009</v>
      </c>
      <c r="AY62" s="85">
        <v>28.576671670000007</v>
      </c>
      <c r="AZ62" s="85">
        <v>34.317017549999989</v>
      </c>
      <c r="BA62" s="85">
        <v>45.946959689999986</v>
      </c>
      <c r="BB62" s="85">
        <v>42.464155980000008</v>
      </c>
      <c r="BC62" s="85">
        <v>39.504808829999988</v>
      </c>
      <c r="BD62" s="85">
        <v>41.029915709999983</v>
      </c>
      <c r="BE62" s="85">
        <v>87.851266860000052</v>
      </c>
      <c r="BF62" s="85">
        <f t="shared" si="10"/>
        <v>411.50602438000004</v>
      </c>
      <c r="BG62" s="85">
        <f>BG63+BG64</f>
        <v>411.50861300000003</v>
      </c>
      <c r="BH62" s="85">
        <v>14.966625299999999</v>
      </c>
      <c r="BI62" s="85">
        <v>10.420249110000002</v>
      </c>
      <c r="BJ62" s="85">
        <v>17.645723699999994</v>
      </c>
      <c r="BK62" s="85">
        <v>14.691224330000001</v>
      </c>
      <c r="BL62" s="85">
        <v>18.611230289999995</v>
      </c>
      <c r="BM62" s="85">
        <v>43.920723209999977</v>
      </c>
      <c r="BN62" s="85">
        <v>42.101121720000002</v>
      </c>
      <c r="BO62" s="85">
        <v>48.882338730000029</v>
      </c>
      <c r="BP62" s="85">
        <v>48.177505529999983</v>
      </c>
      <c r="BQ62" s="85">
        <v>38.292872359999997</v>
      </c>
      <c r="BR62" s="85">
        <v>59.537251309999988</v>
      </c>
      <c r="BS62" s="85">
        <v>95.046495509999929</v>
      </c>
      <c r="BT62" s="88">
        <f t="shared" si="15"/>
        <v>452.29336109999986</v>
      </c>
      <c r="BU62" s="85">
        <f>BU63+BU64</f>
        <v>452.30002000000002</v>
      </c>
      <c r="BV62" s="85">
        <v>40.765453419999993</v>
      </c>
      <c r="BW62" s="85">
        <v>14.521340800000001</v>
      </c>
      <c r="BX62" s="85">
        <v>16.842990609999994</v>
      </c>
      <c r="BY62" s="85">
        <v>13.927947700000001</v>
      </c>
      <c r="BZ62" s="85">
        <v>21.933061599999998</v>
      </c>
      <c r="CA62" s="85">
        <v>29.616936059999979</v>
      </c>
      <c r="CB62" s="85">
        <v>43.887029040000002</v>
      </c>
      <c r="CC62" s="85">
        <v>53.16934916999999</v>
      </c>
      <c r="CD62" s="85">
        <v>38.796013420000016</v>
      </c>
      <c r="CE62" s="85">
        <v>36.377084470000021</v>
      </c>
      <c r="CF62" s="85">
        <v>59.125333170000005</v>
      </c>
      <c r="CG62" s="85">
        <v>105.11306843000004</v>
      </c>
      <c r="CH62" s="88">
        <f t="shared" si="16"/>
        <v>474.07560788999996</v>
      </c>
      <c r="CI62" s="85">
        <f>Valsts_Pamatbudžets!KW63+Valsts_Speciālais_Budžets!EC38</f>
        <v>474.01918799999999</v>
      </c>
      <c r="CJ62" s="85">
        <v>47.62658347</v>
      </c>
      <c r="CK62" s="85">
        <v>13.210635080000003</v>
      </c>
      <c r="CL62" s="85">
        <v>13.179046919999998</v>
      </c>
      <c r="CM62" s="85">
        <v>23.76833009000001</v>
      </c>
      <c r="CN62" s="85">
        <v>21.614948359999989</v>
      </c>
      <c r="CO62" s="85">
        <v>21.710749240000013</v>
      </c>
      <c r="CP62" s="85">
        <v>49.225723860000002</v>
      </c>
      <c r="CQ62" s="185">
        <v>41.778750780000024</v>
      </c>
      <c r="CR62" s="88">
        <v>58.326936969999977</v>
      </c>
      <c r="CS62" s="88">
        <v>75.260593189999966</v>
      </c>
      <c r="CT62" s="88">
        <v>51.705656880000014</v>
      </c>
      <c r="CU62" s="88">
        <v>147.96116054999985</v>
      </c>
      <c r="CV62" s="88">
        <f t="shared" si="21"/>
        <v>565.36911538999982</v>
      </c>
      <c r="CW62" s="85">
        <f>Valsts_Pamatbudžets!MM63+Valsts_Speciālais_Budžets!EQ38</f>
        <v>565.22806100000003</v>
      </c>
      <c r="CX62" s="88">
        <v>30.16995168</v>
      </c>
      <c r="CY62" s="88">
        <v>20.405432820000001</v>
      </c>
      <c r="CZ62" s="88">
        <v>17.725602480000003</v>
      </c>
      <c r="DA62" s="88">
        <v>14.717528010000009</v>
      </c>
      <c r="DB62" s="88">
        <v>19.434675219999988</v>
      </c>
      <c r="DC62" s="88">
        <v>29.594351300000003</v>
      </c>
      <c r="DD62" s="88">
        <v>59.529584160000013</v>
      </c>
      <c r="DE62" s="88">
        <v>64.469090369999961</v>
      </c>
      <c r="DF62" s="88">
        <v>58.798189410000013</v>
      </c>
      <c r="DG62" s="88">
        <v>53.812736619999995</v>
      </c>
      <c r="DH62" s="88">
        <v>68.296521520000013</v>
      </c>
      <c r="DI62" s="88">
        <v>142.82203359999994</v>
      </c>
      <c r="DJ62" s="88">
        <f t="shared" si="22"/>
        <v>579.77569718999996</v>
      </c>
      <c r="DK62" s="85">
        <f>Valsts_Pamatbudžets!OC63+Valsts_Speciālais_Budžets!FE38</f>
        <v>579.66726500000004</v>
      </c>
      <c r="DL62" s="85">
        <v>18.608871659999995</v>
      </c>
      <c r="DM62" s="85">
        <v>17.60871397</v>
      </c>
      <c r="DN62" s="85">
        <v>29.468121510000007</v>
      </c>
      <c r="DO62" s="85">
        <v>33.366481909999997</v>
      </c>
      <c r="DP62" s="85">
        <v>19.988751279999992</v>
      </c>
      <c r="DQ62" s="85">
        <v>44.798129840000001</v>
      </c>
      <c r="DR62" s="85">
        <v>58.674042189999987</v>
      </c>
      <c r="DS62" s="85">
        <v>67.009239140000034</v>
      </c>
      <c r="DT62" s="85">
        <v>60.746322350000007</v>
      </c>
      <c r="DU62" s="85">
        <v>64.161698170000008</v>
      </c>
      <c r="DV62" s="85">
        <v>60.920324640000004</v>
      </c>
      <c r="DW62" s="85">
        <v>188.55527419999996</v>
      </c>
      <c r="DX62" s="88">
        <f t="shared" si="23"/>
        <v>663.90597086000002</v>
      </c>
      <c r="DY62" s="85">
        <f>Valsts_Pamatbudžets!PS63+Valsts_Speciālais_Budžets!FS38</f>
        <v>663.83820299999991</v>
      </c>
      <c r="DZ62" s="85">
        <v>53.289252669999989</v>
      </c>
      <c r="EA62" s="85">
        <v>27.414674130000002</v>
      </c>
      <c r="EB62" s="85">
        <v>32.174247690000001</v>
      </c>
      <c r="EC62" s="85">
        <v>51.29490418999999</v>
      </c>
      <c r="ED62" s="85">
        <v>47.306111010000016</v>
      </c>
      <c r="EE62" s="85">
        <v>76.183090729999975</v>
      </c>
      <c r="EF62" s="85">
        <v>65.860466869999954</v>
      </c>
      <c r="EG62" s="85">
        <v>80.140575380000072</v>
      </c>
      <c r="EH62" s="85">
        <v>66.10802766999997</v>
      </c>
      <c r="EI62" s="85">
        <v>74.215537879999971</v>
      </c>
      <c r="EJ62" s="85">
        <v>51.150504149999954</v>
      </c>
      <c r="EK62" s="85">
        <v>220.21010637999998</v>
      </c>
      <c r="EL62" s="88">
        <f t="shared" si="17"/>
        <v>845.34749874999989</v>
      </c>
      <c r="EM62" s="85">
        <f>Valsts_Pamatbudžets!RI63+Valsts_Speciālais_Budžets!GG38</f>
        <v>845.38601499999993</v>
      </c>
      <c r="EN62" s="85">
        <v>44.708227070000007</v>
      </c>
      <c r="EO62" s="85">
        <v>172.97535199999999</v>
      </c>
      <c r="EP62" s="85">
        <v>26.731988369999996</v>
      </c>
      <c r="EQ62" s="85">
        <v>66.793111459999963</v>
      </c>
      <c r="ER62" s="85">
        <v>52.817116649999996</v>
      </c>
      <c r="ES62" s="85">
        <v>56.804596920000009</v>
      </c>
      <c r="ET62" s="85">
        <v>82.056720259999992</v>
      </c>
      <c r="EU62" s="85">
        <v>68.865337159999996</v>
      </c>
      <c r="EV62" s="85">
        <v>84.583083830000007</v>
      </c>
      <c r="EW62" s="85">
        <v>112.08364529000001</v>
      </c>
      <c r="EX62" s="85">
        <v>75.031683340000029</v>
      </c>
      <c r="EY62" s="85">
        <v>181.23951912000012</v>
      </c>
      <c r="EZ62" s="88">
        <f t="shared" si="18"/>
        <v>1024.6903814700001</v>
      </c>
      <c r="FA62" s="85">
        <f>Valsts_Pamatbudžets!SY63+Valsts_Speciālais_Budžets!GU38</f>
        <v>1024.6875129999999</v>
      </c>
      <c r="FB62" s="85">
        <v>65.770516159999971</v>
      </c>
      <c r="FC62" s="85">
        <v>59.514220990000013</v>
      </c>
      <c r="FD62" s="85">
        <v>122.76639337999998</v>
      </c>
      <c r="FE62" s="85">
        <v>81.487609130000038</v>
      </c>
      <c r="FF62" s="85">
        <v>59.186122609999984</v>
      </c>
      <c r="FG62" s="85">
        <v>116.82401513000002</v>
      </c>
      <c r="FH62" s="85">
        <v>83.616656099999972</v>
      </c>
      <c r="FI62" s="85">
        <v>76.81735326999997</v>
      </c>
      <c r="FJ62" s="85">
        <v>92.65201024000001</v>
      </c>
      <c r="FK62" s="85">
        <v>90.857961790000033</v>
      </c>
      <c r="FL62" s="85">
        <v>90.753470639999989</v>
      </c>
      <c r="FM62" s="85">
        <v>227.09813257999988</v>
      </c>
      <c r="FN62" s="88">
        <f t="shared" si="11"/>
        <v>1167.3444620199998</v>
      </c>
      <c r="FO62" s="85">
        <v>137.34278049000002</v>
      </c>
      <c r="FP62" s="85">
        <v>126.22068865000001</v>
      </c>
      <c r="FQ62" s="85">
        <v>146.55667190000003</v>
      </c>
      <c r="FR62" s="85">
        <v>43.076046930000018</v>
      </c>
      <c r="FS62" s="85"/>
      <c r="FT62" s="85"/>
      <c r="FU62" s="85"/>
      <c r="FV62" s="85"/>
      <c r="FW62" s="85"/>
      <c r="FX62" s="85"/>
      <c r="FY62" s="85"/>
      <c r="FZ62" s="85"/>
      <c r="GA62" s="307">
        <f t="shared" si="19"/>
        <v>329.53874000000002</v>
      </c>
      <c r="GB62" s="307">
        <f t="shared" si="20"/>
        <v>453.19618800000001</v>
      </c>
      <c r="GC62" s="308">
        <f t="shared" si="12"/>
        <v>123.65744799999999</v>
      </c>
      <c r="GD62" s="308">
        <f>GB62/GA62*100-100</f>
        <v>37.524403959303839</v>
      </c>
    </row>
    <row r="63" spans="1:186" s="12" customFormat="1" ht="20.5">
      <c r="A63" s="47" t="s">
        <v>165</v>
      </c>
      <c r="B63" s="13">
        <v>5100</v>
      </c>
      <c r="C63" s="47" t="s">
        <v>166</v>
      </c>
      <c r="D63" s="45">
        <v>0.55651499999999998</v>
      </c>
      <c r="E63" s="50">
        <v>1.277865</v>
      </c>
      <c r="F63" s="50">
        <v>1.0880030000000001</v>
      </c>
      <c r="G63" s="50">
        <v>0.630324</v>
      </c>
      <c r="H63" s="50">
        <v>1.2011609999999999</v>
      </c>
      <c r="I63" s="50">
        <v>1.275271</v>
      </c>
      <c r="J63" s="50">
        <v>1.8376987799999998</v>
      </c>
      <c r="K63" s="50">
        <v>1.6261950000000001</v>
      </c>
      <c r="L63" s="50">
        <v>1.5015106499999999</v>
      </c>
      <c r="M63" s="50">
        <v>1.5217208199999996</v>
      </c>
      <c r="N63" s="50">
        <v>1.9710442499999998</v>
      </c>
      <c r="O63" s="50">
        <v>14.860986210000007</v>
      </c>
      <c r="P63" s="85">
        <f t="shared" si="7"/>
        <v>29.348294710000005</v>
      </c>
      <c r="Q63" s="85">
        <f>28.836752+0.513475</f>
        <v>29.350227</v>
      </c>
      <c r="R63" s="50">
        <v>1.6243499800000003</v>
      </c>
      <c r="S63" s="50">
        <v>1.3993643599999996</v>
      </c>
      <c r="T63" s="50">
        <v>0.98788743999999973</v>
      </c>
      <c r="U63" s="50">
        <v>1.3972005099999998</v>
      </c>
      <c r="V63" s="50">
        <v>1.5401972799999999</v>
      </c>
      <c r="W63" s="50">
        <v>2.1565928100000002</v>
      </c>
      <c r="X63" s="50">
        <v>3.9199262499999996</v>
      </c>
      <c r="Y63" s="50">
        <v>1.02788265</v>
      </c>
      <c r="Z63" s="50">
        <v>3.0062908899999998</v>
      </c>
      <c r="AA63" s="50">
        <v>2.3799142300000011</v>
      </c>
      <c r="AB63" s="50">
        <v>3.8454069799999995</v>
      </c>
      <c r="AC63" s="50">
        <v>12.766674339999998</v>
      </c>
      <c r="AD63" s="85">
        <f t="shared" si="8"/>
        <v>36.051687719999997</v>
      </c>
      <c r="AE63" s="85">
        <f>35.5393+0.58671235</f>
        <v>36.126012349999996</v>
      </c>
      <c r="AF63" s="85">
        <v>0.22342845000000003</v>
      </c>
      <c r="AG63" s="85">
        <v>0.34854459999999998</v>
      </c>
      <c r="AH63" s="85">
        <v>0.74429007999999997</v>
      </c>
      <c r="AI63" s="85">
        <v>1.6190540500000001</v>
      </c>
      <c r="AJ63" s="85">
        <v>2.2521397800000003</v>
      </c>
      <c r="AK63" s="85">
        <v>1.4404739499999997</v>
      </c>
      <c r="AL63" s="85">
        <v>0.80468180999999994</v>
      </c>
      <c r="AM63" s="85">
        <v>0.6483683400000001</v>
      </c>
      <c r="AN63" s="85">
        <v>1.4260834299999996</v>
      </c>
      <c r="AO63" s="85">
        <v>1.64190371</v>
      </c>
      <c r="AP63" s="85">
        <v>1.80764229</v>
      </c>
      <c r="AQ63" s="85">
        <v>8.0925109699999993</v>
      </c>
      <c r="AR63" s="85">
        <f t="shared" si="9"/>
        <v>21.049121459999999</v>
      </c>
      <c r="AS63" s="85">
        <f>20.312943+0.736187</f>
        <v>21.049130000000002</v>
      </c>
      <c r="AT63" s="85">
        <v>0.74920487000000002</v>
      </c>
      <c r="AU63" s="85">
        <v>1.0670278100000001</v>
      </c>
      <c r="AV63" s="85">
        <v>0.7686634</v>
      </c>
      <c r="AW63" s="85">
        <v>2.5226259100000004</v>
      </c>
      <c r="AX63" s="85">
        <v>0.76889312999999992</v>
      </c>
      <c r="AY63" s="85">
        <v>2.1072083399999997</v>
      </c>
      <c r="AZ63" s="85">
        <v>1.45008651</v>
      </c>
      <c r="BA63" s="85">
        <v>1.1634437300000002</v>
      </c>
      <c r="BB63" s="85">
        <v>1.5477527200000003</v>
      </c>
      <c r="BC63" s="85">
        <v>2.3245924199999997</v>
      </c>
      <c r="BD63" s="85">
        <v>1.7953362899999992</v>
      </c>
      <c r="BE63" s="85">
        <v>7.4513849200000006</v>
      </c>
      <c r="BF63" s="85">
        <f t="shared" si="10"/>
        <v>23.716220050000004</v>
      </c>
      <c r="BG63" s="85">
        <f>22.527494+1.199937</f>
        <v>23.727430999999999</v>
      </c>
      <c r="BH63" s="85">
        <v>1.7488959800000001</v>
      </c>
      <c r="BI63" s="85">
        <v>0.63207534999999981</v>
      </c>
      <c r="BJ63" s="85">
        <v>1.1515582900000001</v>
      </c>
      <c r="BK63" s="85">
        <v>2.0883060499999999</v>
      </c>
      <c r="BL63" s="85">
        <v>1.6342606799999999</v>
      </c>
      <c r="BM63" s="85">
        <v>2.8342761200000002</v>
      </c>
      <c r="BN63" s="85">
        <v>1.85475462</v>
      </c>
      <c r="BO63" s="85">
        <v>1.53117098</v>
      </c>
      <c r="BP63" s="85">
        <v>2.9714088000000007</v>
      </c>
      <c r="BQ63" s="85">
        <v>1.5810531800000001</v>
      </c>
      <c r="BR63" s="85">
        <v>2.1399966599999996</v>
      </c>
      <c r="BS63" s="85">
        <v>13.190389860000005</v>
      </c>
      <c r="BT63" s="88">
        <f t="shared" si="15"/>
        <v>33.358146570000002</v>
      </c>
      <c r="BU63" s="85">
        <f>31.96198+1.351611</f>
        <v>33.313591000000002</v>
      </c>
      <c r="BV63" s="85">
        <v>0.94932037000000002</v>
      </c>
      <c r="BW63" s="85">
        <v>0.91784786000000007</v>
      </c>
      <c r="BX63" s="85">
        <v>1.0406247700000002</v>
      </c>
      <c r="BY63" s="85">
        <v>1.4626212299999999</v>
      </c>
      <c r="BZ63" s="85">
        <v>1.9320522599999999</v>
      </c>
      <c r="CA63" s="85">
        <v>2.2684108800000002</v>
      </c>
      <c r="CB63" s="85">
        <v>2.6809169299999995</v>
      </c>
      <c r="CC63" s="85">
        <v>2.2781869000000006</v>
      </c>
      <c r="CD63" s="85">
        <v>2.9361814799999997</v>
      </c>
      <c r="CE63" s="85">
        <v>2.6874003199999996</v>
      </c>
      <c r="CF63" s="85">
        <v>2.98900509</v>
      </c>
      <c r="CG63" s="85">
        <v>15.867664580000001</v>
      </c>
      <c r="CH63" s="88">
        <f t="shared" si="16"/>
        <v>38.010232670000001</v>
      </c>
      <c r="CI63" s="85">
        <f>Valsts_Pamatbudžets!KW64+Valsts_Speciālais_Budžets!EC39</f>
        <v>37.962205000000004</v>
      </c>
      <c r="CJ63" s="85">
        <v>1.2500281099999999</v>
      </c>
      <c r="CK63" s="85">
        <v>1.9978151800000001</v>
      </c>
      <c r="CL63" s="85">
        <v>2.32297273</v>
      </c>
      <c r="CM63" s="85">
        <v>1.8974873900000002</v>
      </c>
      <c r="CN63" s="85">
        <v>0.90839102999999977</v>
      </c>
      <c r="CO63" s="85">
        <v>2.0284658599999998</v>
      </c>
      <c r="CP63" s="85">
        <v>2.3182638999999994</v>
      </c>
      <c r="CQ63" s="185">
        <v>2.9490473300000004</v>
      </c>
      <c r="CR63" s="88">
        <v>5.5764508700000013</v>
      </c>
      <c r="CS63" s="88">
        <v>3.8094996099999991</v>
      </c>
      <c r="CT63" s="88">
        <v>5.9256591600000013</v>
      </c>
      <c r="CU63" s="88">
        <v>16.077766789999995</v>
      </c>
      <c r="CV63" s="88">
        <f t="shared" si="21"/>
        <v>47.061847960000001</v>
      </c>
      <c r="CW63" s="85">
        <f>Valsts_Pamatbudžets!MM64+Valsts_Speciālais_Budžets!EQ39</f>
        <v>46.951242000000001</v>
      </c>
      <c r="CX63" s="88">
        <v>2.2184000599999996</v>
      </c>
      <c r="CY63" s="88">
        <v>1.4926576100000002</v>
      </c>
      <c r="CZ63" s="88">
        <v>2.0132475599999995</v>
      </c>
      <c r="DA63" s="88">
        <v>2.4235593499999988</v>
      </c>
      <c r="DB63" s="88">
        <v>1.6522670600000002</v>
      </c>
      <c r="DC63" s="88">
        <v>2.7493954000000014</v>
      </c>
      <c r="DD63" s="88">
        <v>6.1585154299999987</v>
      </c>
      <c r="DE63" s="88">
        <v>5.8111919300000006</v>
      </c>
      <c r="DF63" s="88">
        <v>2.3569330999999996</v>
      </c>
      <c r="DG63" s="88">
        <v>2.9292561400000001</v>
      </c>
      <c r="DH63" s="88">
        <v>3.0464799899999999</v>
      </c>
      <c r="DI63" s="88">
        <v>17.447246399999997</v>
      </c>
      <c r="DJ63" s="88">
        <f t="shared" si="22"/>
        <v>50.299150029999993</v>
      </c>
      <c r="DK63" s="85">
        <f>Valsts_Pamatbudžets!OC64+Valsts_Speciālais_Budžets!FE39</f>
        <v>50.201893000000005</v>
      </c>
      <c r="DL63" s="85">
        <v>1.6081892200000008</v>
      </c>
      <c r="DM63" s="85">
        <v>1.1410345899999998</v>
      </c>
      <c r="DN63" s="85">
        <v>2.50175423</v>
      </c>
      <c r="DO63" s="85">
        <v>3.3528969999999996</v>
      </c>
      <c r="DP63" s="85">
        <v>1.8778436399999998</v>
      </c>
      <c r="DQ63" s="85">
        <v>2.22310863</v>
      </c>
      <c r="DR63" s="85">
        <v>3.7680421500000008</v>
      </c>
      <c r="DS63" s="85">
        <v>4.2244987499999995</v>
      </c>
      <c r="DT63" s="85">
        <v>4.1037163899999989</v>
      </c>
      <c r="DU63" s="85">
        <v>6.7170125200000008</v>
      </c>
      <c r="DV63" s="85">
        <v>4.9968338099999992</v>
      </c>
      <c r="DW63" s="85">
        <v>24.666382369999997</v>
      </c>
      <c r="DX63" s="88">
        <f t="shared" si="23"/>
        <v>61.181313299999999</v>
      </c>
      <c r="DY63" s="85">
        <f>Valsts_Pamatbudžets!PS64+Valsts_Speciālais_Budžets!FS39</f>
        <v>61.154122000000001</v>
      </c>
      <c r="DZ63" s="85">
        <v>4.0986703400000009</v>
      </c>
      <c r="EA63" s="85">
        <v>1.5973405199999999</v>
      </c>
      <c r="EB63" s="85">
        <v>1.8320211600000003</v>
      </c>
      <c r="EC63" s="85">
        <v>5.1075580700000005</v>
      </c>
      <c r="ED63" s="85">
        <v>3.5402816000000001</v>
      </c>
      <c r="EE63" s="85">
        <v>4.4409002699999993</v>
      </c>
      <c r="EF63" s="85">
        <v>3.8757418800000005</v>
      </c>
      <c r="EG63" s="85">
        <v>4.4824280699999992</v>
      </c>
      <c r="EH63" s="85">
        <v>4.2947720099999991</v>
      </c>
      <c r="EI63" s="85">
        <v>9.1715063800000021</v>
      </c>
      <c r="EJ63" s="85">
        <v>4.5860388699999994</v>
      </c>
      <c r="EK63" s="85">
        <v>38.525397380000015</v>
      </c>
      <c r="EL63" s="88">
        <f t="shared" si="17"/>
        <v>85.552656550000023</v>
      </c>
      <c r="EM63" s="85">
        <f>Valsts_Pamatbudžets!RI64+Valsts_Speciālais_Budžets!GG39</f>
        <v>85.552574000000007</v>
      </c>
      <c r="EN63" s="85">
        <v>2.5605107399999998</v>
      </c>
      <c r="EO63" s="85">
        <v>1.8296634200000002</v>
      </c>
      <c r="EP63" s="85">
        <v>2.02345986</v>
      </c>
      <c r="EQ63" s="85">
        <v>3.2576225699999997</v>
      </c>
      <c r="ER63" s="85">
        <v>5.1188263899999997</v>
      </c>
      <c r="ES63" s="85">
        <v>4.4954509799999993</v>
      </c>
      <c r="ET63" s="85">
        <v>5.3262309000000014</v>
      </c>
      <c r="EU63" s="85">
        <v>2.4148309100000005</v>
      </c>
      <c r="EV63" s="85">
        <v>3.7238442899999997</v>
      </c>
      <c r="EW63" s="85">
        <v>4.0342843499999992</v>
      </c>
      <c r="EX63" s="85">
        <v>6.1796773099999998</v>
      </c>
      <c r="EY63" s="85">
        <v>33.542783119999996</v>
      </c>
      <c r="EZ63" s="88">
        <f t="shared" si="18"/>
        <v>74.507184839999994</v>
      </c>
      <c r="FA63" s="85">
        <f>Valsts_Pamatbudžets!SY64+Valsts_Speciālais_Budžets!GU39</f>
        <v>74.507187999999999</v>
      </c>
      <c r="FB63" s="85">
        <v>0.84692362000000021</v>
      </c>
      <c r="FC63" s="85">
        <v>1.86722722</v>
      </c>
      <c r="FD63" s="85">
        <v>2.9267725099999997</v>
      </c>
      <c r="FE63" s="85">
        <v>1.98397142</v>
      </c>
      <c r="FF63" s="85">
        <v>3.7627369900000005</v>
      </c>
      <c r="FG63" s="85">
        <v>5.510978109999999</v>
      </c>
      <c r="FH63" s="85">
        <v>4.44262552</v>
      </c>
      <c r="FI63" s="85">
        <v>6.41788705</v>
      </c>
      <c r="FJ63" s="85">
        <v>5.9445562799999996</v>
      </c>
      <c r="FK63" s="85">
        <v>6.9075649499999985</v>
      </c>
      <c r="FL63" s="85">
        <v>5.6299840800000007</v>
      </c>
      <c r="FM63" s="85">
        <v>30.919296129999999</v>
      </c>
      <c r="FN63" s="88">
        <f t="shared" si="11"/>
        <v>77.16052388</v>
      </c>
      <c r="FO63" s="85">
        <v>1.64634419</v>
      </c>
      <c r="FP63" s="85">
        <v>1.8318963999999998</v>
      </c>
      <c r="FQ63" s="85">
        <v>3.5179683200000009</v>
      </c>
      <c r="FR63" s="85">
        <v>6.6066728899999969</v>
      </c>
      <c r="FS63" s="85"/>
      <c r="FT63" s="85"/>
      <c r="FU63" s="85"/>
      <c r="FV63" s="85"/>
      <c r="FW63" s="85"/>
      <c r="FX63" s="85"/>
      <c r="FY63" s="85"/>
      <c r="FZ63" s="85"/>
      <c r="GA63" s="307">
        <f t="shared" si="19"/>
        <v>7.6248950000000004</v>
      </c>
      <c r="GB63" s="307">
        <f t="shared" si="20"/>
        <v>13.602881999999999</v>
      </c>
      <c r="GC63" s="308">
        <f t="shared" si="12"/>
        <v>5.9779869999999988</v>
      </c>
      <c r="GD63" s="308">
        <f t="shared" si="13"/>
        <v>78.400909127273195</v>
      </c>
    </row>
    <row r="64" spans="1:186" s="12" customFormat="1" ht="20.5">
      <c r="A64" s="47" t="s">
        <v>167</v>
      </c>
      <c r="B64" s="13">
        <v>5200</v>
      </c>
      <c r="C64" s="47" t="s">
        <v>168</v>
      </c>
      <c r="D64" s="45">
        <v>15.179043</v>
      </c>
      <c r="E64" s="50">
        <v>5.7579760000000002</v>
      </c>
      <c r="F64" s="50">
        <v>7.5566069999999996</v>
      </c>
      <c r="G64" s="50">
        <v>14.220452999999999</v>
      </c>
      <c r="H64" s="50">
        <v>9.5672250000000005</v>
      </c>
      <c r="I64" s="50">
        <v>18.594404000000001</v>
      </c>
      <c r="J64" s="50">
        <v>27.078792430000004</v>
      </c>
      <c r="K64" s="50">
        <v>39.378591</v>
      </c>
      <c r="L64" s="50">
        <v>30.659176610000006</v>
      </c>
      <c r="M64" s="50">
        <v>39.218553570000005</v>
      </c>
      <c r="N64" s="50">
        <v>31.688343289999995</v>
      </c>
      <c r="O64" s="50">
        <v>63.454422399999984</v>
      </c>
      <c r="P64" s="85">
        <f t="shared" si="7"/>
        <v>302.35358730000002</v>
      </c>
      <c r="Q64" s="85">
        <f>302.292802+0.153387</f>
        <v>302.446189</v>
      </c>
      <c r="R64" s="50">
        <v>17.122942599999998</v>
      </c>
      <c r="S64" s="50">
        <v>11.575357670000002</v>
      </c>
      <c r="T64" s="50">
        <v>10.854509479999995</v>
      </c>
      <c r="U64" s="50">
        <v>12.587275170000002</v>
      </c>
      <c r="V64" s="50">
        <v>21.009065160000016</v>
      </c>
      <c r="W64" s="50">
        <v>27.060761379999995</v>
      </c>
      <c r="X64" s="50">
        <v>40.027961249999976</v>
      </c>
      <c r="Y64" s="50">
        <v>44.81291384</v>
      </c>
      <c r="Z64" s="50">
        <v>27.568502639999988</v>
      </c>
      <c r="AA64" s="50">
        <v>38.829382380000013</v>
      </c>
      <c r="AB64" s="50">
        <v>43.561440429999998</v>
      </c>
      <c r="AC64" s="50">
        <v>101.18485579999999</v>
      </c>
      <c r="AD64" s="85">
        <f t="shared" si="8"/>
        <v>396.19496779999997</v>
      </c>
      <c r="AE64" s="85">
        <f>395.848532+0.27941797</f>
        <v>396.12794996999997</v>
      </c>
      <c r="AF64" s="85">
        <v>17.208463439999999</v>
      </c>
      <c r="AG64" s="85">
        <v>9.2469946599999986</v>
      </c>
      <c r="AH64" s="85">
        <v>7.4122334199999971</v>
      </c>
      <c r="AI64" s="85">
        <v>9.3108796800000011</v>
      </c>
      <c r="AJ64" s="85">
        <v>15.232300499999999</v>
      </c>
      <c r="AK64" s="85">
        <v>19.544868670000003</v>
      </c>
      <c r="AL64" s="85">
        <v>28.15127202</v>
      </c>
      <c r="AM64" s="85">
        <v>47.348625390000002</v>
      </c>
      <c r="AN64" s="85">
        <v>33.123482430000003</v>
      </c>
      <c r="AO64" s="85">
        <v>43.680080709999999</v>
      </c>
      <c r="AP64" s="85">
        <v>35.41866533000001</v>
      </c>
      <c r="AQ64" s="85">
        <v>48.212889199999978</v>
      </c>
      <c r="AR64" s="85">
        <f t="shared" si="9"/>
        <v>313.89075544999992</v>
      </c>
      <c r="AS64" s="85">
        <f>313.389777+0.499548</f>
        <v>313.88932499999999</v>
      </c>
      <c r="AT64" s="85">
        <v>17.547404659999998</v>
      </c>
      <c r="AU64" s="85">
        <v>15.304174289999999</v>
      </c>
      <c r="AV64" s="85">
        <v>16.436967389999996</v>
      </c>
      <c r="AW64" s="85">
        <v>14.083871199999999</v>
      </c>
      <c r="AX64" s="85">
        <v>22.566395430000011</v>
      </c>
      <c r="AY64" s="85">
        <v>26.469463330000007</v>
      </c>
      <c r="AZ64" s="85">
        <v>32.86693103999999</v>
      </c>
      <c r="BA64" s="85">
        <v>44.783515959999988</v>
      </c>
      <c r="BB64" s="85">
        <v>40.91640326000001</v>
      </c>
      <c r="BC64" s="85">
        <v>37.180216409999986</v>
      </c>
      <c r="BD64" s="85">
        <v>39.234579419999982</v>
      </c>
      <c r="BE64" s="85">
        <v>80.399881940000043</v>
      </c>
      <c r="BF64" s="85">
        <f t="shared" si="10"/>
        <v>387.78980433000004</v>
      </c>
      <c r="BG64" s="85">
        <f>387.52216+0.259022</f>
        <v>387.781182</v>
      </c>
      <c r="BH64" s="85">
        <v>13.21772932</v>
      </c>
      <c r="BI64" s="85">
        <v>9.7881737600000012</v>
      </c>
      <c r="BJ64" s="85">
        <v>16.494165409999997</v>
      </c>
      <c r="BK64" s="85">
        <v>12.602918280000003</v>
      </c>
      <c r="BL64" s="85">
        <v>16.97696960999999</v>
      </c>
      <c r="BM64" s="85">
        <v>41.086447089999979</v>
      </c>
      <c r="BN64" s="85">
        <v>40.246367100000001</v>
      </c>
      <c r="BO64" s="85">
        <v>47.351167750000023</v>
      </c>
      <c r="BP64" s="85">
        <v>45.206096729999977</v>
      </c>
      <c r="BQ64" s="85">
        <v>36.711819179999999</v>
      </c>
      <c r="BR64" s="85">
        <v>57.397254650000008</v>
      </c>
      <c r="BS64" s="85">
        <v>81.856105649999961</v>
      </c>
      <c r="BT64" s="88">
        <f t="shared" si="15"/>
        <v>418.93521453</v>
      </c>
      <c r="BU64" s="85">
        <f>418.543349+0.44308</f>
        <v>418.98642899999999</v>
      </c>
      <c r="BV64" s="85">
        <v>39.816133049999998</v>
      </c>
      <c r="BW64" s="85">
        <v>13.603492940000001</v>
      </c>
      <c r="BX64" s="85">
        <v>15.802365839999993</v>
      </c>
      <c r="BY64" s="85">
        <v>12.465326470000001</v>
      </c>
      <c r="BZ64" s="85">
        <v>20.001009339999996</v>
      </c>
      <c r="CA64" s="85">
        <v>27.348525179999982</v>
      </c>
      <c r="CB64" s="85">
        <v>41.206112109999999</v>
      </c>
      <c r="CC64" s="85">
        <v>50.891162269999981</v>
      </c>
      <c r="CD64" s="85">
        <v>35.859831940000021</v>
      </c>
      <c r="CE64" s="85">
        <v>33.689684150000012</v>
      </c>
      <c r="CF64" s="85">
        <v>56.136328079999998</v>
      </c>
      <c r="CG64" s="85">
        <v>89.245403849999988</v>
      </c>
      <c r="CH64" s="88">
        <f t="shared" si="16"/>
        <v>436.06537522000002</v>
      </c>
      <c r="CI64" s="85">
        <f>Valsts_Pamatbudžets!KW65+Valsts_Speciālais_Budžets!EC40</f>
        <v>436.056983</v>
      </c>
      <c r="CJ64" s="85">
        <v>46.376555359999998</v>
      </c>
      <c r="CK64" s="85">
        <v>11.212819899999998</v>
      </c>
      <c r="CL64" s="85">
        <v>10.856074189999998</v>
      </c>
      <c r="CM64" s="85">
        <v>21.870842700000011</v>
      </c>
      <c r="CN64" s="85">
        <v>20.706557329999995</v>
      </c>
      <c r="CO64" s="85">
        <v>19.682283379999998</v>
      </c>
      <c r="CP64" s="85">
        <v>46.907459960000004</v>
      </c>
      <c r="CQ64" s="185">
        <v>38.829703449999997</v>
      </c>
      <c r="CR64" s="88">
        <v>52.750486099999975</v>
      </c>
      <c r="CS64" s="88">
        <v>71.451093579999977</v>
      </c>
      <c r="CT64" s="88">
        <v>45.77999771999999</v>
      </c>
      <c r="CU64" s="88">
        <v>131.88339376000002</v>
      </c>
      <c r="CV64" s="88">
        <f t="shared" si="21"/>
        <v>518.30726742999991</v>
      </c>
      <c r="CW64" s="85">
        <f>Valsts_Pamatbudžets!MM65+Valsts_Speciālais_Budžets!EQ40</f>
        <v>518.27681900000005</v>
      </c>
      <c r="CX64" s="88">
        <v>27.951551619999996</v>
      </c>
      <c r="CY64" s="88">
        <v>18.912775209999992</v>
      </c>
      <c r="CZ64" s="88">
        <v>15.712354920000006</v>
      </c>
      <c r="DA64" s="88">
        <v>12.293968660000001</v>
      </c>
      <c r="DB64" s="88">
        <v>17.782408159999992</v>
      </c>
      <c r="DC64" s="88">
        <v>26.844955899999999</v>
      </c>
      <c r="DD64" s="88">
        <v>53.371068730000019</v>
      </c>
      <c r="DE64" s="88">
        <v>58.657898439999954</v>
      </c>
      <c r="DF64" s="88">
        <v>56.44125631</v>
      </c>
      <c r="DG64" s="88">
        <v>50.883480479999996</v>
      </c>
      <c r="DH64" s="88">
        <v>65.250041530000018</v>
      </c>
      <c r="DI64" s="88">
        <v>125.3747872</v>
      </c>
      <c r="DJ64" s="88">
        <f t="shared" si="22"/>
        <v>529.47654716</v>
      </c>
      <c r="DK64" s="85">
        <f>Valsts_Pamatbudžets!OC65+Valsts_Speciālais_Budžets!FE40</f>
        <v>529.465372</v>
      </c>
      <c r="DL64" s="85">
        <v>17.000682440000002</v>
      </c>
      <c r="DM64" s="85">
        <v>16.46767938</v>
      </c>
      <c r="DN64" s="85">
        <v>26.966367280000004</v>
      </c>
      <c r="DO64" s="85">
        <v>30.013584909999995</v>
      </c>
      <c r="DP64" s="85">
        <v>18.110907640000001</v>
      </c>
      <c r="DQ64" s="85">
        <v>42.575021209999981</v>
      </c>
      <c r="DR64" s="85">
        <v>54.906000039999988</v>
      </c>
      <c r="DS64" s="85">
        <v>62.784740389999989</v>
      </c>
      <c r="DT64" s="85">
        <v>56.642605960000012</v>
      </c>
      <c r="DU64" s="85">
        <v>57.444685650000011</v>
      </c>
      <c r="DV64" s="85">
        <v>55.923490830000006</v>
      </c>
      <c r="DW64" s="85">
        <v>163.88889183000003</v>
      </c>
      <c r="DX64" s="88">
        <f t="shared" si="23"/>
        <v>602.72465755999997</v>
      </c>
      <c r="DY64" s="85">
        <f>Valsts_Pamatbudžets!PS65+Valsts_Speciālais_Budžets!FS40</f>
        <v>602.68408099999999</v>
      </c>
      <c r="DZ64" s="85">
        <v>49.190582330000005</v>
      </c>
      <c r="EA64" s="85">
        <v>25.817333609999999</v>
      </c>
      <c r="EB64" s="85">
        <v>30.342226530000001</v>
      </c>
      <c r="EC64" s="85">
        <v>46.187346119999987</v>
      </c>
      <c r="ED64" s="85">
        <v>43.765829410000002</v>
      </c>
      <c r="EE64" s="85">
        <v>71.742190459999989</v>
      </c>
      <c r="EF64" s="85">
        <v>61.984724989999997</v>
      </c>
      <c r="EG64" s="85">
        <v>75.658147310000032</v>
      </c>
      <c r="EH64" s="85">
        <v>61.813255659999996</v>
      </c>
      <c r="EI64" s="85">
        <v>65.044031499999988</v>
      </c>
      <c r="EJ64" s="85">
        <v>46.564465279999972</v>
      </c>
      <c r="EK64" s="85">
        <v>181.684709</v>
      </c>
      <c r="EL64" s="88">
        <f t="shared" si="17"/>
        <v>759.79484219999995</v>
      </c>
      <c r="EM64" s="85">
        <f>Valsts_Pamatbudžets!RI65+Valsts_Speciālais_Budžets!GG40</f>
        <v>759.83344099999999</v>
      </c>
      <c r="EN64" s="85">
        <v>42.147716330000002</v>
      </c>
      <c r="EO64" s="85">
        <v>171.14568857999998</v>
      </c>
      <c r="EP64" s="85">
        <v>24.708528509999994</v>
      </c>
      <c r="EQ64" s="85">
        <v>63.535488889999996</v>
      </c>
      <c r="ER64" s="85">
        <v>47.69829026</v>
      </c>
      <c r="ES64" s="85">
        <v>52.309145940000015</v>
      </c>
      <c r="ET64" s="85">
        <v>76.730489360000007</v>
      </c>
      <c r="EU64" s="85">
        <v>66.450506249999989</v>
      </c>
      <c r="EV64" s="85">
        <v>80.859239540000019</v>
      </c>
      <c r="EW64" s="85">
        <v>108.04936094</v>
      </c>
      <c r="EX64" s="85">
        <v>68.852006029999998</v>
      </c>
      <c r="EY64" s="85">
        <v>147.69673600000013</v>
      </c>
      <c r="EZ64" s="88">
        <f t="shared" si="18"/>
        <v>950.18319663000011</v>
      </c>
      <c r="FA64" s="85">
        <f>Valsts_Pamatbudžets!SY65+Valsts_Speciālais_Budžets!GU40</f>
        <v>950.18032499999993</v>
      </c>
      <c r="FB64" s="85">
        <v>64.923592539999973</v>
      </c>
      <c r="FC64" s="85">
        <v>57.646993770000009</v>
      </c>
      <c r="FD64" s="85">
        <v>119.83962086999998</v>
      </c>
      <c r="FE64" s="85">
        <v>79.503637710000035</v>
      </c>
      <c r="FF64" s="85">
        <v>55.423385619999991</v>
      </c>
      <c r="FG64" s="85">
        <v>111.31303702</v>
      </c>
      <c r="FH64" s="85">
        <v>79.174030579999979</v>
      </c>
      <c r="FI64" s="85">
        <v>70.399466219999979</v>
      </c>
      <c r="FJ64" s="85">
        <v>86.707453960000009</v>
      </c>
      <c r="FK64" s="85">
        <v>83.950396839999996</v>
      </c>
      <c r="FL64" s="85">
        <v>85.123486560000003</v>
      </c>
      <c r="FM64" s="85">
        <v>196.17883644999986</v>
      </c>
      <c r="FN64" s="88">
        <f t="shared" si="11"/>
        <v>1090.1839381399998</v>
      </c>
      <c r="FO64" s="85">
        <v>135.69643630000002</v>
      </c>
      <c r="FP64" s="85">
        <v>124.38879224999999</v>
      </c>
      <c r="FQ64" s="85">
        <v>143.03870358</v>
      </c>
      <c r="FR64" s="85">
        <v>36.469374040000005</v>
      </c>
      <c r="FS64" s="85"/>
      <c r="FT64" s="85"/>
      <c r="FU64" s="85"/>
      <c r="FV64" s="85"/>
      <c r="FW64" s="85"/>
      <c r="FX64" s="85"/>
      <c r="FY64" s="85"/>
      <c r="FZ64" s="85"/>
      <c r="GA64" s="307">
        <f t="shared" si="19"/>
        <v>321.91384499999998</v>
      </c>
      <c r="GB64" s="307">
        <f t="shared" si="20"/>
        <v>439.59330599999998</v>
      </c>
      <c r="GC64" s="308">
        <f t="shared" si="12"/>
        <v>117.679461</v>
      </c>
      <c r="GD64" s="308">
        <f t="shared" si="13"/>
        <v>36.556197513033339</v>
      </c>
    </row>
    <row r="65" spans="1:186" s="12" customFormat="1" ht="20.5">
      <c r="A65" s="46" t="s">
        <v>171</v>
      </c>
      <c r="B65" s="13" t="s">
        <v>172</v>
      </c>
      <c r="C65" s="46" t="s">
        <v>173</v>
      </c>
      <c r="D65" s="45">
        <f>D66+D67+D68</f>
        <v>10.302064</v>
      </c>
      <c r="E65" s="50">
        <f>E66+E67+E68</f>
        <v>9.7156669999999998</v>
      </c>
      <c r="F65" s="50">
        <f t="shared" ref="F65:M65" si="36">F66+F67+F68</f>
        <v>12.942215529999999</v>
      </c>
      <c r="G65" s="50">
        <f t="shared" si="36"/>
        <v>9.5693363599999977</v>
      </c>
      <c r="H65" s="50">
        <f t="shared" si="36"/>
        <v>6.6781145999999998</v>
      </c>
      <c r="I65" s="50">
        <f t="shared" si="36"/>
        <v>10.76367531</v>
      </c>
      <c r="J65" s="50">
        <f t="shared" si="36"/>
        <v>7.6928251599999999</v>
      </c>
      <c r="K65" s="50">
        <f t="shared" si="36"/>
        <v>11.81636569</v>
      </c>
      <c r="L65" s="50">
        <f t="shared" si="36"/>
        <v>8.7274154699999986</v>
      </c>
      <c r="M65" s="50">
        <f t="shared" si="36"/>
        <v>10.76988982</v>
      </c>
      <c r="N65" s="50">
        <f>N66+N67+N68</f>
        <v>17.595558570000001</v>
      </c>
      <c r="O65" s="50">
        <f>O66+O67+O68</f>
        <v>36.346008060000003</v>
      </c>
      <c r="P65" s="85">
        <f t="shared" si="7"/>
        <v>152.91913556999998</v>
      </c>
      <c r="Q65" s="85">
        <f>Q66+Q67+Q68</f>
        <v>152.91913500000001</v>
      </c>
      <c r="R65" s="50">
        <f>R66+R67+R68</f>
        <v>3.1600119000000002</v>
      </c>
      <c r="S65" s="50">
        <v>7.8656950800000009</v>
      </c>
      <c r="T65" s="50">
        <v>8.3367932499999995</v>
      </c>
      <c r="U65" s="50">
        <v>7.9546884700000007</v>
      </c>
      <c r="V65" s="50">
        <v>6.8222411999999997</v>
      </c>
      <c r="W65" s="50">
        <v>9.3054479499999996</v>
      </c>
      <c r="X65" s="50">
        <v>7.4309625100000005</v>
      </c>
      <c r="Y65" s="50">
        <v>6.7861064500000001</v>
      </c>
      <c r="Z65" s="50">
        <v>7.7373831500000003</v>
      </c>
      <c r="AA65" s="50">
        <v>5.2795430100000003</v>
      </c>
      <c r="AB65" s="50">
        <v>3.3825915800000002</v>
      </c>
      <c r="AC65" s="50">
        <v>24.668915219999999</v>
      </c>
      <c r="AD65" s="85">
        <f t="shared" si="8"/>
        <v>98.730379769999999</v>
      </c>
      <c r="AE65" s="85">
        <f>AE66+AE67+AE68</f>
        <v>98.730380000000011</v>
      </c>
      <c r="AF65" s="85">
        <v>1.4383718700000001</v>
      </c>
      <c r="AG65" s="85">
        <v>2.58590689</v>
      </c>
      <c r="AH65" s="85">
        <v>7.3058035299999986</v>
      </c>
      <c r="AI65" s="85">
        <v>14.100309620000001</v>
      </c>
      <c r="AJ65" s="85">
        <v>2.3537181699999996</v>
      </c>
      <c r="AK65" s="85">
        <v>0.19400194000000001</v>
      </c>
      <c r="AL65" s="85">
        <v>0.18923255999999999</v>
      </c>
      <c r="AM65" s="85">
        <v>1.05255674</v>
      </c>
      <c r="AN65" s="85">
        <v>2.2873036600000001</v>
      </c>
      <c r="AO65" s="85">
        <v>1.2738138199999998</v>
      </c>
      <c r="AP65" s="85">
        <v>0.77415725999999996</v>
      </c>
      <c r="AQ65" s="85">
        <v>12.954553600000001</v>
      </c>
      <c r="AR65" s="85">
        <f t="shared" si="9"/>
        <v>46.509729660000005</v>
      </c>
      <c r="AS65" s="85">
        <f>AS66+AS67+AS68</f>
        <v>46.509727999999996</v>
      </c>
      <c r="AT65" s="85">
        <v>0.75863633000000008</v>
      </c>
      <c r="AU65" s="85">
        <v>0.59623056000000008</v>
      </c>
      <c r="AV65" s="85">
        <v>3.2059414599999996</v>
      </c>
      <c r="AW65" s="85">
        <v>7.0328167699999993</v>
      </c>
      <c r="AX65" s="85">
        <v>12.707747630000002</v>
      </c>
      <c r="AY65" s="85">
        <v>9.4596920399999984</v>
      </c>
      <c r="AZ65" s="85">
        <v>10.21635384</v>
      </c>
      <c r="BA65" s="85">
        <v>11.064120630000001</v>
      </c>
      <c r="BB65" s="85">
        <v>12.832862619999998</v>
      </c>
      <c r="BC65" s="85">
        <v>13.332429230000001</v>
      </c>
      <c r="BD65" s="85">
        <v>12.70802664</v>
      </c>
      <c r="BE65" s="85">
        <v>35.778181029999999</v>
      </c>
      <c r="BF65" s="85">
        <f t="shared" si="10"/>
        <v>129.69303877999999</v>
      </c>
      <c r="BG65" s="85">
        <f>BG66+BG67+BG68</f>
        <v>127.513184</v>
      </c>
      <c r="BH65" s="85">
        <v>9.4227672200000008</v>
      </c>
      <c r="BI65" s="85">
        <v>10.396741799999999</v>
      </c>
      <c r="BJ65" s="85">
        <v>14.43947805</v>
      </c>
      <c r="BK65" s="85">
        <v>18.182971739999999</v>
      </c>
      <c r="BL65" s="85">
        <v>22.269735870000002</v>
      </c>
      <c r="BM65" s="85">
        <v>29.142005380000004</v>
      </c>
      <c r="BN65" s="85">
        <v>27.345419459999999</v>
      </c>
      <c r="BO65" s="85">
        <v>22.87484276</v>
      </c>
      <c r="BP65" s="85">
        <v>20.732898630000001</v>
      </c>
      <c r="BQ65" s="85">
        <v>25.054802859999999</v>
      </c>
      <c r="BR65" s="85">
        <v>29.04143096</v>
      </c>
      <c r="BS65" s="85">
        <v>30.691231609999999</v>
      </c>
      <c r="BT65" s="88">
        <f t="shared" si="15"/>
        <v>259.59432633999995</v>
      </c>
      <c r="BU65" s="85">
        <f>BU66+BU67+BU68</f>
        <v>259.59432600000002</v>
      </c>
      <c r="BV65" s="85">
        <v>36.03191022</v>
      </c>
      <c r="BW65" s="85">
        <v>27.608028789999995</v>
      </c>
      <c r="BX65" s="85">
        <v>27.572379999999999</v>
      </c>
      <c r="BY65" s="85">
        <v>22.23185715</v>
      </c>
      <c r="BZ65" s="85">
        <v>20.430560509999999</v>
      </c>
      <c r="CA65" s="85">
        <v>20.698231639999999</v>
      </c>
      <c r="CB65" s="85">
        <v>28.686697039999999</v>
      </c>
      <c r="CC65" s="85">
        <v>20.479626410000002</v>
      </c>
      <c r="CD65" s="85">
        <v>16.024482179999996</v>
      </c>
      <c r="CE65" s="85">
        <v>24.486308830000006</v>
      </c>
      <c r="CF65" s="85">
        <v>14.026490240000001</v>
      </c>
      <c r="CG65" s="85">
        <v>32.726025640000003</v>
      </c>
      <c r="CH65" s="88">
        <f t="shared" si="16"/>
        <v>291.00259864999998</v>
      </c>
      <c r="CI65" s="85">
        <f>CI66+CI67+CI68</f>
        <v>291.00259799999998</v>
      </c>
      <c r="CJ65" s="85">
        <v>29.593368990000002</v>
      </c>
      <c r="CK65" s="85">
        <v>21.416593880000001</v>
      </c>
      <c r="CL65" s="85">
        <v>22.580753509999997</v>
      </c>
      <c r="CM65" s="85">
        <v>13.65835742</v>
      </c>
      <c r="CN65" s="85">
        <v>15.746699530000001</v>
      </c>
      <c r="CO65" s="85">
        <v>14.920357539999999</v>
      </c>
      <c r="CP65" s="85">
        <v>25.404122769999997</v>
      </c>
      <c r="CQ65" s="185">
        <v>15.424192959999999</v>
      </c>
      <c r="CR65" s="88">
        <v>13.652903550000001</v>
      </c>
      <c r="CS65" s="88">
        <v>7.7091024199999998</v>
      </c>
      <c r="CT65" s="88">
        <v>11.358881199999999</v>
      </c>
      <c r="CU65" s="88">
        <v>34.193186060000002</v>
      </c>
      <c r="CV65" s="88">
        <f t="shared" si="21"/>
        <v>225.65851982999999</v>
      </c>
      <c r="CW65" s="85">
        <f>CW66+CW67+CW68</f>
        <v>225.65851900000001</v>
      </c>
      <c r="CX65" s="88">
        <v>13.699220790000002</v>
      </c>
      <c r="CY65" s="88">
        <v>16.946551159999999</v>
      </c>
      <c r="CZ65" s="88">
        <v>10.279406959999999</v>
      </c>
      <c r="DA65" s="88">
        <v>18.477944309999998</v>
      </c>
      <c r="DB65" s="88">
        <v>18.822014310000004</v>
      </c>
      <c r="DC65" s="88">
        <v>29.550955170000002</v>
      </c>
      <c r="DD65" s="88">
        <v>30.47165429</v>
      </c>
      <c r="DE65" s="88">
        <v>18.323998920000001</v>
      </c>
      <c r="DF65" s="88">
        <v>16.28219674</v>
      </c>
      <c r="DG65" s="88">
        <v>15.70929918</v>
      </c>
      <c r="DH65" s="88">
        <v>15.472533239999999</v>
      </c>
      <c r="DI65" s="88">
        <v>25.699740030000001</v>
      </c>
      <c r="DJ65" s="88">
        <f t="shared" si="22"/>
        <v>229.73551509999999</v>
      </c>
      <c r="DK65" s="85">
        <f>DK66+DK67+DK68</f>
        <v>229.20579000000001</v>
      </c>
      <c r="DL65" s="85">
        <v>24.227542329999999</v>
      </c>
      <c r="DM65" s="85">
        <v>14.35934423</v>
      </c>
      <c r="DN65" s="85">
        <v>20.177102729999998</v>
      </c>
      <c r="DO65" s="85">
        <v>14.68454676</v>
      </c>
      <c r="DP65" s="85">
        <v>5.5214197700000005</v>
      </c>
      <c r="DQ65" s="85">
        <v>12.278281440000001</v>
      </c>
      <c r="DR65" s="85">
        <v>32.47812983</v>
      </c>
      <c r="DS65" s="85">
        <v>9.6250507600000006</v>
      </c>
      <c r="DT65" s="85">
        <v>8.5094028200000018</v>
      </c>
      <c r="DU65" s="85">
        <v>29.720417750000003</v>
      </c>
      <c r="DV65" s="85">
        <v>10.630793620000002</v>
      </c>
      <c r="DW65" s="85">
        <v>13.606210659999997</v>
      </c>
      <c r="DX65" s="88">
        <f t="shared" si="23"/>
        <v>195.81824269999996</v>
      </c>
      <c r="DY65" s="85">
        <f>DY66+DY67+DY68</f>
        <v>195.81824200000003</v>
      </c>
      <c r="DZ65" s="85">
        <v>17.09124022</v>
      </c>
      <c r="EA65" s="85">
        <v>5.4131478299999998</v>
      </c>
      <c r="EB65" s="85">
        <v>10.19245448</v>
      </c>
      <c r="EC65" s="85">
        <v>12.946884370000001</v>
      </c>
      <c r="ED65" s="85">
        <v>11.384767660000001</v>
      </c>
      <c r="EE65" s="85">
        <v>26.571496370000002</v>
      </c>
      <c r="EF65" s="85">
        <v>29.400220720000004</v>
      </c>
      <c r="EG65" s="85">
        <v>10.576145479999999</v>
      </c>
      <c r="EH65" s="85">
        <v>16.555561130000001</v>
      </c>
      <c r="EI65" s="85">
        <v>12.45552546</v>
      </c>
      <c r="EJ65" s="85">
        <v>5.2248905500000014</v>
      </c>
      <c r="EK65" s="85">
        <v>11.738137250000001</v>
      </c>
      <c r="EL65" s="88">
        <f t="shared" si="17"/>
        <v>169.55047152</v>
      </c>
      <c r="EM65" s="85">
        <f>EM66+EM67+EM68</f>
        <v>169.55047100000002</v>
      </c>
      <c r="EN65" s="85">
        <v>6.6954548600000008</v>
      </c>
      <c r="EO65" s="85">
        <v>3.3352730200000003</v>
      </c>
      <c r="EP65" s="85">
        <v>5.7891820800000007</v>
      </c>
      <c r="EQ65" s="85">
        <v>23.324074359999997</v>
      </c>
      <c r="ER65" s="85">
        <v>9.60697227</v>
      </c>
      <c r="ES65" s="85">
        <v>6.45997062</v>
      </c>
      <c r="ET65" s="85">
        <v>20.783310189999998</v>
      </c>
      <c r="EU65" s="85">
        <v>25.718680319999997</v>
      </c>
      <c r="EV65" s="85">
        <v>8.3590917299999994</v>
      </c>
      <c r="EW65" s="85">
        <v>7.4941402300000002</v>
      </c>
      <c r="EX65" s="85">
        <v>7.8132096299999994</v>
      </c>
      <c r="EY65" s="85">
        <v>21.510684399999999</v>
      </c>
      <c r="EZ65" s="88">
        <f t="shared" si="18"/>
        <v>146.89004371000001</v>
      </c>
      <c r="FA65" s="85">
        <f>FA66+FA67+FA68</f>
        <v>146.89004599999998</v>
      </c>
      <c r="FB65" s="85">
        <v>39.235915159999998</v>
      </c>
      <c r="FC65" s="85">
        <v>14.587203779999999</v>
      </c>
      <c r="FD65" s="85">
        <v>9.9617866299999989</v>
      </c>
      <c r="FE65" s="85">
        <v>29.429915409999992</v>
      </c>
      <c r="FF65" s="85">
        <v>14.506176609999999</v>
      </c>
      <c r="FG65" s="85">
        <v>35.686080810000007</v>
      </c>
      <c r="FH65" s="85">
        <v>26.87773262</v>
      </c>
      <c r="FI65" s="85">
        <v>24.772884810000001</v>
      </c>
      <c r="FJ65" s="85">
        <v>13.761875560000002</v>
      </c>
      <c r="FK65" s="85">
        <v>45.086213129999997</v>
      </c>
      <c r="FL65" s="85">
        <v>14.240337950000001</v>
      </c>
      <c r="FM65" s="85">
        <v>20.385837859999999</v>
      </c>
      <c r="FN65" s="88">
        <f t="shared" si="11"/>
        <v>288.53196032999995</v>
      </c>
      <c r="FO65" s="85">
        <v>26.82124744</v>
      </c>
      <c r="FP65" s="85">
        <v>13.844710689999999</v>
      </c>
      <c r="FQ65" s="85">
        <v>15.735672200000002</v>
      </c>
      <c r="FR65" s="85">
        <v>20.223072959999996</v>
      </c>
      <c r="FS65" s="85"/>
      <c r="FT65" s="85"/>
      <c r="FU65" s="85"/>
      <c r="FV65" s="85"/>
      <c r="FW65" s="85"/>
      <c r="FX65" s="85"/>
      <c r="FY65" s="85"/>
      <c r="FZ65" s="85"/>
      <c r="GA65" s="307">
        <f t="shared" si="19"/>
        <v>93.214821000000001</v>
      </c>
      <c r="GB65" s="307">
        <f t="shared" si="20"/>
        <v>76.624702999999997</v>
      </c>
      <c r="GC65" s="308">
        <f t="shared" si="12"/>
        <v>-16.590118000000004</v>
      </c>
      <c r="GD65" s="308">
        <f>GB65/GA65*100-100</f>
        <v>-17.79772553551328</v>
      </c>
    </row>
    <row r="66" spans="1:186" s="12" customFormat="1" ht="20.25" hidden="1" customHeight="1">
      <c r="A66" s="56" t="s">
        <v>208</v>
      </c>
      <c r="B66" s="13"/>
      <c r="C66" s="47" t="s">
        <v>209</v>
      </c>
      <c r="D66" s="45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85">
        <f t="shared" si="7"/>
        <v>0</v>
      </c>
      <c r="Q66" s="138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138">
        <f t="shared" si="8"/>
        <v>0</v>
      </c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>
        <f t="shared" si="9"/>
        <v>0</v>
      </c>
      <c r="AS66" s="165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>
        <f t="shared" si="10"/>
        <v>0</v>
      </c>
      <c r="BG66" s="138"/>
      <c r="BH66" s="138"/>
      <c r="BI66" s="138"/>
      <c r="BJ66" s="138"/>
      <c r="BK66" s="138"/>
      <c r="BL66" s="138"/>
      <c r="BM66" s="138"/>
      <c r="BN66" s="138"/>
      <c r="BO66" s="138"/>
      <c r="BP66" s="138"/>
      <c r="BQ66" s="138"/>
      <c r="BR66" s="138"/>
      <c r="BS66" s="138"/>
      <c r="BT66" s="88">
        <f t="shared" si="15"/>
        <v>0</v>
      </c>
      <c r="BU66" s="138"/>
      <c r="BV66" s="138"/>
      <c r="BW66" s="138"/>
      <c r="BX66" s="138"/>
      <c r="BY66" s="85"/>
      <c r="BZ66" s="85"/>
      <c r="CA66" s="85"/>
      <c r="CB66" s="85"/>
      <c r="CC66" s="85"/>
      <c r="CD66" s="85"/>
      <c r="CE66" s="85"/>
      <c r="CF66" s="85"/>
      <c r="CG66" s="85"/>
      <c r="CH66" s="88">
        <f t="shared" si="16"/>
        <v>0</v>
      </c>
      <c r="CI66" s="138"/>
      <c r="CJ66" s="85"/>
      <c r="CK66" s="85"/>
      <c r="CL66" s="88"/>
      <c r="CM66" s="85"/>
      <c r="CN66" s="85"/>
      <c r="CO66" s="85"/>
      <c r="CP66" s="85"/>
      <c r="CQ66" s="185"/>
      <c r="CR66" s="88"/>
      <c r="CS66" s="88"/>
      <c r="CT66" s="88"/>
      <c r="CU66" s="88"/>
      <c r="CV66" s="88">
        <f t="shared" si="21"/>
        <v>0</v>
      </c>
      <c r="CW66" s="88"/>
      <c r="CX66" s="88">
        <v>4.2873000000000001E-2</v>
      </c>
      <c r="CY66" s="88">
        <v>0</v>
      </c>
      <c r="CZ66" s="88">
        <v>0</v>
      </c>
      <c r="DA66" s="88"/>
      <c r="DB66" s="88"/>
      <c r="DC66" s="88"/>
      <c r="DD66" s="88"/>
      <c r="DE66" s="88"/>
      <c r="DF66" s="88"/>
      <c r="DG66" s="88"/>
      <c r="DH66" s="88"/>
      <c r="DI66" s="88"/>
      <c r="DJ66" s="88">
        <f t="shared" si="22"/>
        <v>4.2873000000000001E-2</v>
      </c>
      <c r="DK66" s="85"/>
      <c r="DL66" s="85"/>
      <c r="DM66" s="85"/>
      <c r="DN66" s="85"/>
      <c r="DO66" s="85"/>
      <c r="DP66" s="85"/>
      <c r="DQ66" s="85"/>
      <c r="DR66" s="85"/>
      <c r="DS66" s="85"/>
      <c r="DT66" s="85"/>
      <c r="DU66" s="85"/>
      <c r="DV66" s="85"/>
      <c r="DW66" s="85"/>
      <c r="DX66" s="88">
        <f t="shared" si="23"/>
        <v>0</v>
      </c>
      <c r="DY66" s="85"/>
      <c r="DZ66" s="85"/>
      <c r="EA66" s="85"/>
      <c r="EB66" s="85"/>
      <c r="EC66" s="85"/>
      <c r="ED66" s="85"/>
      <c r="EE66" s="85"/>
      <c r="EF66" s="85"/>
      <c r="EG66" s="85"/>
      <c r="EH66" s="85"/>
      <c r="EI66" s="85"/>
      <c r="EJ66" s="85"/>
      <c r="EK66" s="85"/>
      <c r="EL66" s="88">
        <f t="shared" si="17"/>
        <v>0</v>
      </c>
      <c r="EM66" s="85"/>
      <c r="EN66" s="85"/>
      <c r="EO66" s="85"/>
      <c r="EP66" s="85"/>
      <c r="EQ66" s="85"/>
      <c r="ER66" s="85"/>
      <c r="ES66" s="85"/>
      <c r="ET66" s="85"/>
      <c r="EU66" s="85"/>
      <c r="EV66" s="85"/>
      <c r="EW66" s="85"/>
      <c r="EX66" s="85"/>
      <c r="EY66" s="85"/>
      <c r="EZ66" s="88">
        <f t="shared" si="18"/>
        <v>0</v>
      </c>
      <c r="FA66" s="85"/>
      <c r="FB66" s="85"/>
      <c r="FC66" s="85"/>
      <c r="FD66" s="85"/>
      <c r="FE66" s="85"/>
      <c r="FF66" s="85"/>
      <c r="FG66" s="85"/>
      <c r="FH66" s="85"/>
      <c r="FI66" s="85"/>
      <c r="FJ66" s="85"/>
      <c r="FK66" s="85"/>
      <c r="FL66" s="85"/>
      <c r="FM66" s="85"/>
      <c r="FN66" s="88">
        <f t="shared" si="11"/>
        <v>0</v>
      </c>
      <c r="FO66" s="85"/>
      <c r="FP66" s="85"/>
      <c r="FQ66" s="85"/>
      <c r="FR66" s="85"/>
      <c r="FS66" s="85"/>
      <c r="FT66" s="85"/>
      <c r="FU66" s="85"/>
      <c r="FV66" s="85"/>
      <c r="FW66" s="85"/>
      <c r="FX66" s="85"/>
      <c r="FY66" s="85"/>
      <c r="FZ66" s="85"/>
      <c r="GA66" s="307">
        <f t="shared" si="19"/>
        <v>0</v>
      </c>
      <c r="GB66" s="307">
        <f t="shared" si="20"/>
        <v>0</v>
      </c>
      <c r="GC66" s="308">
        <f t="shared" si="12"/>
        <v>0</v>
      </c>
      <c r="GD66" s="308" t="e">
        <f t="shared" si="13"/>
        <v>#DIV/0!</v>
      </c>
    </row>
    <row r="67" spans="1:186" s="12" customFormat="1" ht="21.75" customHeight="1">
      <c r="A67" s="56" t="s">
        <v>210</v>
      </c>
      <c r="B67" s="13"/>
      <c r="C67" s="47" t="s">
        <v>212</v>
      </c>
      <c r="D67" s="45">
        <v>10.302064</v>
      </c>
      <c r="E67" s="90">
        <v>9.4567770000000007</v>
      </c>
      <c r="F67" s="90">
        <v>8.7266790699999994</v>
      </c>
      <c r="G67" s="90">
        <v>9.3012110599999982</v>
      </c>
      <c r="H67" s="90">
        <v>6.3298454099999999</v>
      </c>
      <c r="I67" s="90">
        <v>7.8399567499999998</v>
      </c>
      <c r="J67" s="90">
        <v>7.6855835599999995</v>
      </c>
      <c r="K67" s="90">
        <v>9.0579658900000002</v>
      </c>
      <c r="L67" s="90">
        <v>8.506537269999999</v>
      </c>
      <c r="M67" s="90">
        <v>9.5600705399999999</v>
      </c>
      <c r="N67" s="90">
        <v>11.474365460000001</v>
      </c>
      <c r="O67" s="90">
        <v>21.619903349999998</v>
      </c>
      <c r="P67" s="85">
        <f t="shared" si="7"/>
        <v>119.86095936</v>
      </c>
      <c r="Q67" s="138">
        <f>8.534709+111.32625</f>
        <v>119.86095900000001</v>
      </c>
      <c r="R67" s="90">
        <v>2.9198011100000003</v>
      </c>
      <c r="S67" s="90">
        <v>7.2996193100000006</v>
      </c>
      <c r="T67" s="90">
        <v>7.4198449799999997</v>
      </c>
      <c r="U67" s="90">
        <v>5.1678493800000007</v>
      </c>
      <c r="V67" s="90">
        <v>5.9719600100000001</v>
      </c>
      <c r="W67" s="90">
        <v>3.5871121000000001</v>
      </c>
      <c r="X67" s="90">
        <v>5.2071244200000004</v>
      </c>
      <c r="Y67" s="90">
        <v>4.00876243</v>
      </c>
      <c r="Z67" s="90">
        <v>5.16401574</v>
      </c>
      <c r="AA67" s="90">
        <v>5.0267697900000003</v>
      </c>
      <c r="AB67" s="90">
        <v>5.6243101700000002</v>
      </c>
      <c r="AC67" s="90">
        <v>21.20938245</v>
      </c>
      <c r="AD67" s="138">
        <f t="shared" si="8"/>
        <v>78.606551889999992</v>
      </c>
      <c r="AE67" s="85">
        <v>78.606552000000008</v>
      </c>
      <c r="AF67" s="85">
        <v>1.2306559000000001</v>
      </c>
      <c r="AG67" s="85">
        <v>2.3953453100000002</v>
      </c>
      <c r="AH67" s="85">
        <v>4.5200711099999991</v>
      </c>
      <c r="AI67" s="85">
        <v>3.5691122399999999</v>
      </c>
      <c r="AJ67" s="85">
        <v>2.0978771699999998</v>
      </c>
      <c r="AK67" s="85">
        <v>0.19400194000000001</v>
      </c>
      <c r="AL67" s="85">
        <v>0.18923255999999999</v>
      </c>
      <c r="AM67" s="85">
        <v>1.00082274</v>
      </c>
      <c r="AN67" s="85">
        <v>2.2873036600000001</v>
      </c>
      <c r="AO67" s="85">
        <v>1.1393808199999997</v>
      </c>
      <c r="AP67" s="85">
        <v>0.77415725999999996</v>
      </c>
      <c r="AQ67" s="85">
        <v>12.9384906</v>
      </c>
      <c r="AR67" s="85">
        <f t="shared" si="9"/>
        <v>32.336451309999994</v>
      </c>
      <c r="AS67" s="85">
        <f>31.58819+0.74826</f>
        <v>32.336449999999999</v>
      </c>
      <c r="AT67" s="85">
        <v>0.72292333000000009</v>
      </c>
      <c r="AU67" s="85">
        <v>0.57217587000000003</v>
      </c>
      <c r="AV67" s="85">
        <v>3.2054414599999994</v>
      </c>
      <c r="AW67" s="85">
        <v>6.9337257699999997</v>
      </c>
      <c r="AX67" s="85">
        <v>12.707247630000001</v>
      </c>
      <c r="AY67" s="85">
        <v>9.4575620399999991</v>
      </c>
      <c r="AZ67" s="85">
        <v>9.4442628400000004</v>
      </c>
      <c r="BA67" s="85">
        <v>11.034493490000001</v>
      </c>
      <c r="BB67" s="85">
        <v>12.708601059999999</v>
      </c>
      <c r="BC67" s="85">
        <v>11.085911939999999</v>
      </c>
      <c r="BD67" s="85">
        <v>8.882151480000001</v>
      </c>
      <c r="BE67" s="85">
        <v>21.532653170000003</v>
      </c>
      <c r="BF67" s="85">
        <f t="shared" si="10"/>
        <v>108.28715008000002</v>
      </c>
      <c r="BG67" s="85">
        <v>108.28715099999999</v>
      </c>
      <c r="BH67" s="85">
        <v>8.2101430900000008</v>
      </c>
      <c r="BI67" s="85">
        <v>10.316809019999999</v>
      </c>
      <c r="BJ67" s="85">
        <v>12.46955584</v>
      </c>
      <c r="BK67" s="85">
        <v>13.627066279999999</v>
      </c>
      <c r="BL67" s="85">
        <v>15.305792589999999</v>
      </c>
      <c r="BM67" s="85">
        <v>18.008486909999998</v>
      </c>
      <c r="BN67" s="85">
        <v>23.367811569999997</v>
      </c>
      <c r="BO67" s="85">
        <v>18.217479230000002</v>
      </c>
      <c r="BP67" s="85">
        <v>17.895564240000002</v>
      </c>
      <c r="BQ67" s="85">
        <v>21.672435780000001</v>
      </c>
      <c r="BR67" s="85">
        <v>21.927475469999997</v>
      </c>
      <c r="BS67" s="85">
        <v>26.09468279</v>
      </c>
      <c r="BT67" s="85">
        <f t="shared" si="15"/>
        <v>207.11330280999999</v>
      </c>
      <c r="BU67" s="85">
        <v>207.113302</v>
      </c>
      <c r="BV67" s="85">
        <v>26.903115120000002</v>
      </c>
      <c r="BW67" s="85">
        <v>22.510664889999997</v>
      </c>
      <c r="BX67" s="85">
        <v>25.68092321</v>
      </c>
      <c r="BY67" s="85">
        <v>11.93164958</v>
      </c>
      <c r="BZ67" s="85">
        <v>16.827981489999999</v>
      </c>
      <c r="CA67" s="85">
        <v>17.282665390000002</v>
      </c>
      <c r="CB67" s="85">
        <v>22.17357067</v>
      </c>
      <c r="CC67" s="85">
        <v>16.523238299999999</v>
      </c>
      <c r="CD67" s="85">
        <v>13.250993069999998</v>
      </c>
      <c r="CE67" s="85">
        <v>18.131518880000002</v>
      </c>
      <c r="CF67" s="85">
        <v>13.57823254</v>
      </c>
      <c r="CG67" s="85">
        <v>29.33279405</v>
      </c>
      <c r="CH67" s="85">
        <f t="shared" si="16"/>
        <v>234.12734718999999</v>
      </c>
      <c r="CI67" s="85">
        <f>Valsts_Pamatbudžets!KW69</f>
        <v>234.12734699999999</v>
      </c>
      <c r="CJ67" s="85">
        <v>28.591494200000003</v>
      </c>
      <c r="CK67" s="85">
        <v>14.294165889999999</v>
      </c>
      <c r="CL67" s="85">
        <v>21.358377789999999</v>
      </c>
      <c r="CM67" s="85">
        <v>11.06065313</v>
      </c>
      <c r="CN67" s="85">
        <v>11.95620751</v>
      </c>
      <c r="CO67" s="85">
        <v>13.123990989999999</v>
      </c>
      <c r="CP67" s="85">
        <v>22.408141409999995</v>
      </c>
      <c r="CQ67" s="85">
        <v>12.98000266</v>
      </c>
      <c r="CR67" s="85">
        <v>12.175127530000001</v>
      </c>
      <c r="CS67" s="85">
        <v>6.2519265900000001</v>
      </c>
      <c r="CT67" s="85">
        <v>10.66171527</v>
      </c>
      <c r="CU67" s="85">
        <v>30.13797087</v>
      </c>
      <c r="CV67" s="85">
        <f t="shared" si="21"/>
        <v>194.99977384000002</v>
      </c>
      <c r="CW67" s="85">
        <f>Valsts_Pamatbudžets!MM69</f>
        <v>194.999774</v>
      </c>
      <c r="CX67" s="88">
        <v>10.774666600000002</v>
      </c>
      <c r="CY67" s="88">
        <v>15.672000689999999</v>
      </c>
      <c r="CZ67" s="88">
        <v>9.516486089999999</v>
      </c>
      <c r="DA67" s="88">
        <v>16.198720719999997</v>
      </c>
      <c r="DB67" s="88">
        <v>17.964184639999999</v>
      </c>
      <c r="DC67" s="88">
        <v>26.358679250000002</v>
      </c>
      <c r="DD67" s="88">
        <v>27.74580169</v>
      </c>
      <c r="DE67" s="88">
        <v>11.92991926</v>
      </c>
      <c r="DF67" s="88">
        <v>15.098715550000001</v>
      </c>
      <c r="DG67" s="88">
        <v>11.85877728</v>
      </c>
      <c r="DH67" s="88">
        <v>13.524019489999999</v>
      </c>
      <c r="DI67" s="88">
        <v>22.343092150000004</v>
      </c>
      <c r="DJ67" s="88">
        <f t="shared" si="22"/>
        <v>198.98506341000001</v>
      </c>
      <c r="DK67" s="85">
        <f>Valsts_Pamatbudžets!OC69</f>
        <v>198.985063</v>
      </c>
      <c r="DL67" s="85">
        <v>14.242215760000001</v>
      </c>
      <c r="DM67" s="85">
        <v>9.0759687299999996</v>
      </c>
      <c r="DN67" s="85">
        <v>13.29254422</v>
      </c>
      <c r="DO67" s="85">
        <v>13.064452359999999</v>
      </c>
      <c r="DP67" s="85">
        <v>3.3084098899999996</v>
      </c>
      <c r="DQ67" s="85">
        <v>11.853170930000001</v>
      </c>
      <c r="DR67" s="85">
        <v>31.16764972</v>
      </c>
      <c r="DS67" s="85">
        <v>8.4986418999999991</v>
      </c>
      <c r="DT67" s="85">
        <v>8.4463408700000002</v>
      </c>
      <c r="DU67" s="85">
        <v>25.298289010000001</v>
      </c>
      <c r="DV67" s="85">
        <v>7.9720757200000003</v>
      </c>
      <c r="DW67" s="85">
        <v>10.708479929999999</v>
      </c>
      <c r="DX67" s="88">
        <f t="shared" si="23"/>
        <v>156.92823903999999</v>
      </c>
      <c r="DY67" s="85">
        <f>Valsts_Pamatbudžets!PS69</f>
        <v>156.92823800000002</v>
      </c>
      <c r="DZ67" s="85">
        <v>16.762217969999998</v>
      </c>
      <c r="EA67" s="85">
        <v>5.1270317899999993</v>
      </c>
      <c r="EB67" s="85">
        <v>9.9498272100000005</v>
      </c>
      <c r="EC67" s="85">
        <v>12.122223199999999</v>
      </c>
      <c r="ED67" s="85">
        <v>11.282701300000001</v>
      </c>
      <c r="EE67" s="85">
        <v>21.951085420000002</v>
      </c>
      <c r="EF67" s="85">
        <v>29.206286720000001</v>
      </c>
      <c r="EG67" s="85">
        <v>9.4346165299999978</v>
      </c>
      <c r="EH67" s="85">
        <v>15.565817850000002</v>
      </c>
      <c r="EI67" s="85">
        <v>11.298763310000002</v>
      </c>
      <c r="EJ67" s="85">
        <v>4.6355039100000006</v>
      </c>
      <c r="EK67" s="85">
        <v>10.862277359999998</v>
      </c>
      <c r="EL67" s="88">
        <f t="shared" si="17"/>
        <v>158.19835257000003</v>
      </c>
      <c r="EM67" s="85">
        <f>Valsts_Pamatbudžets!RI69</f>
        <v>158.198351</v>
      </c>
      <c r="EN67" s="85">
        <v>5.9540738400000004</v>
      </c>
      <c r="EO67" s="85">
        <v>3.1827540200000004</v>
      </c>
      <c r="EP67" s="85">
        <v>5.0397967000000001</v>
      </c>
      <c r="EQ67" s="85">
        <v>19.270604059999997</v>
      </c>
      <c r="ER67" s="85">
        <v>4.55720247</v>
      </c>
      <c r="ES67" s="85">
        <v>6.4455666200000001</v>
      </c>
      <c r="ET67" s="85">
        <v>19.327126120000003</v>
      </c>
      <c r="EU67" s="85">
        <v>25.181896729999998</v>
      </c>
      <c r="EV67" s="85">
        <v>7.9113145199999995</v>
      </c>
      <c r="EW67" s="85">
        <v>7.07540938</v>
      </c>
      <c r="EX67" s="85">
        <v>7.1933255399999991</v>
      </c>
      <c r="EY67" s="85">
        <v>20.831806489999995</v>
      </c>
      <c r="EZ67" s="88">
        <f t="shared" si="18"/>
        <v>131.97087648999999</v>
      </c>
      <c r="FA67" s="85">
        <f>Valsts_Pamatbudžets!SY69</f>
        <v>131.970879</v>
      </c>
      <c r="FB67" s="85">
        <v>38.996791160000001</v>
      </c>
      <c r="FC67" s="85">
        <v>13.83501779</v>
      </c>
      <c r="FD67" s="85">
        <v>8.2572823599999996</v>
      </c>
      <c r="FE67" s="85">
        <v>25.434455409999998</v>
      </c>
      <c r="FF67" s="85">
        <v>13.794668719999999</v>
      </c>
      <c r="FG67" s="85">
        <v>35.607694009999996</v>
      </c>
      <c r="FH67" s="85">
        <v>26.025723630000002</v>
      </c>
      <c r="FI67" s="85">
        <v>23.158481170000002</v>
      </c>
      <c r="FJ67" s="85">
        <v>12.06630419</v>
      </c>
      <c r="FK67" s="85">
        <v>44.861484919999995</v>
      </c>
      <c r="FL67" s="85">
        <v>12.318263779999999</v>
      </c>
      <c r="FM67" s="85">
        <v>16.986112090000002</v>
      </c>
      <c r="FN67" s="88">
        <f t="shared" si="11"/>
        <v>271.34227923000003</v>
      </c>
      <c r="FO67" s="85">
        <v>25.19263436</v>
      </c>
      <c r="FP67" s="85">
        <v>13.290276779999999</v>
      </c>
      <c r="FQ67" s="85">
        <v>11.629887719999999</v>
      </c>
      <c r="FR67" s="85">
        <v>14.338603239999999</v>
      </c>
      <c r="FS67" s="85"/>
      <c r="FT67" s="85"/>
      <c r="FU67" s="85"/>
      <c r="FV67" s="85"/>
      <c r="FW67" s="85"/>
      <c r="FX67" s="85"/>
      <c r="FY67" s="85"/>
      <c r="FZ67" s="85"/>
      <c r="GA67" s="307">
        <f t="shared" si="19"/>
        <v>86.523546999999994</v>
      </c>
      <c r="GB67" s="307">
        <f t="shared" si="20"/>
        <v>64.451402000000002</v>
      </c>
      <c r="GC67" s="308">
        <f t="shared" si="12"/>
        <v>-22.072144999999992</v>
      </c>
      <c r="GD67" s="308">
        <f t="shared" si="13"/>
        <v>-25.509986316210544</v>
      </c>
    </row>
    <row r="68" spans="1:186" s="12" customFormat="1" ht="18.75" customHeight="1">
      <c r="A68" s="56" t="s">
        <v>213</v>
      </c>
      <c r="B68" s="13"/>
      <c r="C68" s="47" t="s">
        <v>215</v>
      </c>
      <c r="D68" s="45"/>
      <c r="E68" s="44">
        <v>0.25889000000000001</v>
      </c>
      <c r="F68" s="44">
        <v>4.21553646</v>
      </c>
      <c r="G68" s="44">
        <v>0.26812530000000001</v>
      </c>
      <c r="H68" s="44">
        <v>0.34826919000000001</v>
      </c>
      <c r="I68" s="44">
        <v>2.9237185600000002</v>
      </c>
      <c r="J68" s="44">
        <v>7.2415999999999999E-3</v>
      </c>
      <c r="K68" s="44">
        <v>2.7583997999999998</v>
      </c>
      <c r="L68" s="44">
        <v>0.22087820000000002</v>
      </c>
      <c r="M68" s="44">
        <v>1.2098192799999998</v>
      </c>
      <c r="N68" s="44">
        <v>6.1211931099999992</v>
      </c>
      <c r="O68" s="44">
        <v>14.726104710000001</v>
      </c>
      <c r="P68" s="85">
        <f t="shared" si="7"/>
        <v>33.058176209999999</v>
      </c>
      <c r="Q68" s="85">
        <v>33.058176000000003</v>
      </c>
      <c r="R68" s="44">
        <v>0.24021079000000001</v>
      </c>
      <c r="S68" s="90">
        <v>0.56607576999999998</v>
      </c>
      <c r="T68" s="90">
        <v>0.91694827000000001</v>
      </c>
      <c r="U68" s="90">
        <v>2.78683909</v>
      </c>
      <c r="V68" s="90">
        <v>0.85028118999999991</v>
      </c>
      <c r="W68" s="90">
        <v>5.7183358499999999</v>
      </c>
      <c r="X68" s="90">
        <v>2.2238380899999997</v>
      </c>
      <c r="Y68" s="90">
        <v>2.7773440200000001</v>
      </c>
      <c r="Z68" s="90">
        <v>2.5733674100000004</v>
      </c>
      <c r="AA68" s="90">
        <v>0.25277322000000002</v>
      </c>
      <c r="AB68" s="90">
        <v>-2.2417185900000001</v>
      </c>
      <c r="AC68" s="90">
        <v>3.45953277</v>
      </c>
      <c r="AD68" s="138">
        <f t="shared" si="8"/>
        <v>20.123827879999997</v>
      </c>
      <c r="AE68" s="85">
        <v>20.123828</v>
      </c>
      <c r="AF68" s="85">
        <v>0.20771597</v>
      </c>
      <c r="AG68" s="85">
        <v>0.19056157999999998</v>
      </c>
      <c r="AH68" s="85">
        <v>2.78573242</v>
      </c>
      <c r="AI68" s="85">
        <v>10.53119738</v>
      </c>
      <c r="AJ68" s="85">
        <v>0.25584099999999999</v>
      </c>
      <c r="AK68" s="85">
        <v>0</v>
      </c>
      <c r="AL68" s="85">
        <v>0</v>
      </c>
      <c r="AM68" s="85">
        <v>5.1734000000000002E-2</v>
      </c>
      <c r="AN68" s="85">
        <v>0</v>
      </c>
      <c r="AO68" s="85">
        <v>0.134433</v>
      </c>
      <c r="AP68" s="85">
        <v>0</v>
      </c>
      <c r="AQ68" s="85">
        <v>1.6063000000000001E-2</v>
      </c>
      <c r="AR68" s="85">
        <f t="shared" si="9"/>
        <v>14.17327835</v>
      </c>
      <c r="AS68" s="85">
        <f>14.161432+0.011846</f>
        <v>14.173278</v>
      </c>
      <c r="AT68" s="85">
        <v>3.5713000000000002E-2</v>
      </c>
      <c r="AU68" s="85">
        <v>2.4054690000000004E-2</v>
      </c>
      <c r="AV68" s="85">
        <v>5.0000000000000001E-4</v>
      </c>
      <c r="AW68" s="85">
        <v>9.9090999999999999E-2</v>
      </c>
      <c r="AX68" s="85">
        <v>5.0000000000000001E-4</v>
      </c>
      <c r="AY68" s="85">
        <v>2.1299999999999999E-3</v>
      </c>
      <c r="AZ68" s="85">
        <v>0.77209099999999997</v>
      </c>
      <c r="BA68" s="85">
        <v>2.962714E-2</v>
      </c>
      <c r="BB68" s="85">
        <v>0.12426155999999999</v>
      </c>
      <c r="BC68" s="85">
        <v>2.2465172899999999</v>
      </c>
      <c r="BD68" s="85">
        <v>3.8258751600000003</v>
      </c>
      <c r="BE68" s="85">
        <v>14.245527859999999</v>
      </c>
      <c r="BF68" s="85">
        <f t="shared" si="10"/>
        <v>21.405888699999998</v>
      </c>
      <c r="BG68" s="85">
        <v>19.226033000000001</v>
      </c>
      <c r="BH68" s="85">
        <v>1.2126241299999998</v>
      </c>
      <c r="BI68" s="85">
        <v>7.9932779999999995E-2</v>
      </c>
      <c r="BJ68" s="85">
        <v>1.96992221</v>
      </c>
      <c r="BK68" s="85">
        <v>4.55590546</v>
      </c>
      <c r="BL68" s="85">
        <v>6.9639432800000005</v>
      </c>
      <c r="BM68" s="85">
        <v>11.13351847</v>
      </c>
      <c r="BN68" s="85">
        <v>3.9776078900000003</v>
      </c>
      <c r="BO68" s="85">
        <v>4.6573635300000005</v>
      </c>
      <c r="BP68" s="85">
        <v>2.8373343900000001</v>
      </c>
      <c r="BQ68" s="85">
        <v>3.3823670799999999</v>
      </c>
      <c r="BR68" s="85">
        <v>7.1139554900000004</v>
      </c>
      <c r="BS68" s="85">
        <v>4.5965488199999998</v>
      </c>
      <c r="BT68" s="85">
        <f t="shared" si="15"/>
        <v>52.481023530000009</v>
      </c>
      <c r="BU68" s="85">
        <v>52.481023999999998</v>
      </c>
      <c r="BV68" s="85">
        <v>9.1287950999999996</v>
      </c>
      <c r="BW68" s="85">
        <v>5.0973639000000004</v>
      </c>
      <c r="BX68" s="85">
        <v>1.8914567899999999</v>
      </c>
      <c r="BY68" s="85">
        <v>10.30020757</v>
      </c>
      <c r="BZ68" s="85">
        <v>3.6025790199999999</v>
      </c>
      <c r="CA68" s="85">
        <v>3.4155662499999999</v>
      </c>
      <c r="CB68" s="85">
        <v>6.5131263700000002</v>
      </c>
      <c r="CC68" s="85">
        <v>3.9563881099999998</v>
      </c>
      <c r="CD68" s="85">
        <v>2.7734891100000003</v>
      </c>
      <c r="CE68" s="85">
        <v>6.3547899499999998</v>
      </c>
      <c r="CF68" s="85">
        <v>0.44825770000000004</v>
      </c>
      <c r="CG68" s="85">
        <v>3.3932315899999996</v>
      </c>
      <c r="CH68" s="85">
        <f t="shared" si="16"/>
        <v>56.875251459999994</v>
      </c>
      <c r="CI68" s="85">
        <f>Valsts_Pamatbudžets!KW70</f>
        <v>56.875250999999999</v>
      </c>
      <c r="CJ68" s="85">
        <v>1.00187479</v>
      </c>
      <c r="CK68" s="85">
        <v>7.1224279900000003</v>
      </c>
      <c r="CL68" s="85">
        <v>1.2223757200000001</v>
      </c>
      <c r="CM68" s="85">
        <v>2.5977042900000002</v>
      </c>
      <c r="CN68" s="85">
        <v>3.7904920199999999</v>
      </c>
      <c r="CO68" s="85">
        <v>1.7963665500000001</v>
      </c>
      <c r="CP68" s="85">
        <v>2.99598136</v>
      </c>
      <c r="CQ68" s="85">
        <v>2.4441903000000003</v>
      </c>
      <c r="CR68" s="85">
        <v>1.4777760200000001</v>
      </c>
      <c r="CS68" s="85">
        <v>1.4571758300000002</v>
      </c>
      <c r="CT68" s="85">
        <v>0.69716593000000004</v>
      </c>
      <c r="CU68" s="85">
        <v>4.0552151900000002</v>
      </c>
      <c r="CV68" s="85">
        <f t="shared" si="21"/>
        <v>30.658745990000007</v>
      </c>
      <c r="CW68" s="85">
        <f>Valsts_Pamatbudžets!MM70</f>
        <v>30.658745</v>
      </c>
      <c r="CX68" s="88">
        <v>2.8816811900000001</v>
      </c>
      <c r="CY68" s="88">
        <v>1.2745504699999999</v>
      </c>
      <c r="CZ68" s="88">
        <v>0.76292086999999997</v>
      </c>
      <c r="DA68" s="88">
        <v>2.2589085899999999</v>
      </c>
      <c r="DB68" s="88">
        <v>0.70210267000000004</v>
      </c>
      <c r="DC68" s="88">
        <v>3.1922759199999997</v>
      </c>
      <c r="DD68" s="88">
        <v>2.4627656</v>
      </c>
      <c r="DE68" s="88">
        <v>6.3940796600000001</v>
      </c>
      <c r="DF68" s="88">
        <v>1.1002311899999999</v>
      </c>
      <c r="DG68" s="88">
        <v>3.8388589</v>
      </c>
      <c r="DH68" s="88">
        <v>1.9957037500000001</v>
      </c>
      <c r="DI68" s="88">
        <v>3.3566478799999997</v>
      </c>
      <c r="DJ68" s="88">
        <f t="shared" si="22"/>
        <v>30.220726689999999</v>
      </c>
      <c r="DK68" s="85">
        <f>Valsts_Pamatbudžets!OC70</f>
        <v>30.220727</v>
      </c>
      <c r="DL68" s="85">
        <v>9.9853265699999998</v>
      </c>
      <c r="DM68" s="85">
        <v>5.2833755</v>
      </c>
      <c r="DN68" s="85">
        <v>6.8845585100000006</v>
      </c>
      <c r="DO68" s="85">
        <v>1.6200944000000002</v>
      </c>
      <c r="DP68" s="85">
        <v>2.21300988</v>
      </c>
      <c r="DQ68" s="85">
        <v>0.42511051</v>
      </c>
      <c r="DR68" s="85">
        <v>1.3104801100000001</v>
      </c>
      <c r="DS68" s="85">
        <v>1.12640886</v>
      </c>
      <c r="DT68" s="85">
        <v>6.3061950000000006E-2</v>
      </c>
      <c r="DU68" s="85">
        <v>4.4221287399999998</v>
      </c>
      <c r="DV68" s="85">
        <v>2.6587178999999996</v>
      </c>
      <c r="DW68" s="85">
        <v>2.8977307300000001</v>
      </c>
      <c r="DX68" s="88">
        <f t="shared" si="23"/>
        <v>38.890003660000005</v>
      </c>
      <c r="DY68" s="85">
        <f>Valsts_Pamatbudžets!PS70</f>
        <v>38.890003999999998</v>
      </c>
      <c r="DZ68" s="85">
        <v>0.32902225000000002</v>
      </c>
      <c r="EA68" s="85">
        <v>0.28611604000000002</v>
      </c>
      <c r="EB68" s="85">
        <v>0.24262727000000001</v>
      </c>
      <c r="EC68" s="85">
        <v>0.82466117000000005</v>
      </c>
      <c r="ED68" s="85">
        <v>0.10206636000000001</v>
      </c>
      <c r="EE68" s="85">
        <v>4.6204109500000001</v>
      </c>
      <c r="EF68" s="85">
        <v>0.193934</v>
      </c>
      <c r="EG68" s="85">
        <v>1.1415289499999999</v>
      </c>
      <c r="EH68" s="85">
        <v>0.98974328000000011</v>
      </c>
      <c r="EI68" s="85">
        <v>1.15676215</v>
      </c>
      <c r="EJ68" s="85">
        <v>0.58938663999999996</v>
      </c>
      <c r="EK68" s="85">
        <v>0.8758598900000002</v>
      </c>
      <c r="EL68" s="88">
        <f t="shared" si="17"/>
        <v>11.352118950000001</v>
      </c>
      <c r="EM68" s="85">
        <f>Valsts_Pamatbudžets!RI70</f>
        <v>11.352119999999999</v>
      </c>
      <c r="EN68" s="85">
        <v>0.74138102000000006</v>
      </c>
      <c r="EO68" s="85">
        <v>0.15251900000000002</v>
      </c>
      <c r="EP68" s="85">
        <v>0.74938537999999999</v>
      </c>
      <c r="EQ68" s="85">
        <v>4.0534702999999999</v>
      </c>
      <c r="ER68" s="85">
        <v>5.0497697999999991</v>
      </c>
      <c r="ES68" s="85">
        <v>1.4404E-2</v>
      </c>
      <c r="ET68" s="85">
        <v>1.4561840699999999</v>
      </c>
      <c r="EU68" s="85">
        <v>0.53678358999999998</v>
      </c>
      <c r="EV68" s="85">
        <v>0.44777721000000004</v>
      </c>
      <c r="EW68" s="85">
        <v>0.41873084999999993</v>
      </c>
      <c r="EX68" s="85">
        <v>0.61988408999999989</v>
      </c>
      <c r="EY68" s="85">
        <v>0.67887790999999997</v>
      </c>
      <c r="EZ68" s="88">
        <f t="shared" si="18"/>
        <v>14.919167219999999</v>
      </c>
      <c r="FA68" s="85">
        <f>Valsts_Pamatbudžets!SY70</f>
        <v>14.919167000000002</v>
      </c>
      <c r="FB68" s="85">
        <v>0.239124</v>
      </c>
      <c r="FC68" s="85">
        <v>0.75218598999999997</v>
      </c>
      <c r="FD68" s="85">
        <v>1.7045042699999999</v>
      </c>
      <c r="FE68" s="85">
        <v>3.99546</v>
      </c>
      <c r="FF68" s="85">
        <v>0.71150789000000003</v>
      </c>
      <c r="FG68" s="85">
        <v>7.8386800000000006E-2</v>
      </c>
      <c r="FH68" s="85">
        <v>0.85200898999999997</v>
      </c>
      <c r="FI68" s="85">
        <v>1.6144036400000001</v>
      </c>
      <c r="FJ68" s="85">
        <v>1.6955713700000001</v>
      </c>
      <c r="FK68" s="85">
        <v>0.22472820999999998</v>
      </c>
      <c r="FL68" s="85">
        <v>1.9220741699999999</v>
      </c>
      <c r="FM68" s="85">
        <v>3.3997257699999999</v>
      </c>
      <c r="FN68" s="88">
        <f t="shared" si="11"/>
        <v>17.189681100000001</v>
      </c>
      <c r="FO68" s="85">
        <v>1.62861308</v>
      </c>
      <c r="FP68" s="85">
        <v>0.55443390999999997</v>
      </c>
      <c r="FQ68" s="85">
        <v>4.1057844799999996</v>
      </c>
      <c r="FR68" s="85">
        <v>5.8844697200000002</v>
      </c>
      <c r="FS68" s="85"/>
      <c r="FT68" s="85"/>
      <c r="FU68" s="85"/>
      <c r="FV68" s="85"/>
      <c r="FW68" s="85"/>
      <c r="FX68" s="85"/>
      <c r="FY68" s="85"/>
      <c r="FZ68" s="85"/>
      <c r="GA68" s="307">
        <f t="shared" si="19"/>
        <v>6.6912739999999999</v>
      </c>
      <c r="GB68" s="307">
        <f t="shared" si="20"/>
        <v>12.173301</v>
      </c>
      <c r="GC68" s="308">
        <f t="shared" si="12"/>
        <v>5.4820270000000004</v>
      </c>
      <c r="GD68" s="308">
        <f>GB68/GA68*100-100</f>
        <v>81.92800055714352</v>
      </c>
    </row>
    <row r="69" spans="1:186" s="12" customFormat="1" ht="20.25" customHeight="1">
      <c r="A69" s="56"/>
      <c r="B69" s="13"/>
      <c r="C69" s="56"/>
      <c r="D69" s="45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85">
        <f t="shared" si="7"/>
        <v>0</v>
      </c>
      <c r="Q69" s="85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85">
        <f t="shared" si="8"/>
        <v>0</v>
      </c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>
        <f t="shared" si="9"/>
        <v>0</v>
      </c>
      <c r="AS69" s="85"/>
      <c r="AT69" s="85"/>
      <c r="AU69" s="85"/>
      <c r="AV69" s="85"/>
      <c r="AW69" s="85"/>
      <c r="AX69" s="85"/>
      <c r="AY69" s="85"/>
      <c r="AZ69" s="85"/>
      <c r="BA69" s="85"/>
      <c r="BB69" s="85">
        <v>0</v>
      </c>
      <c r="BC69" s="85">
        <v>0</v>
      </c>
      <c r="BD69" s="85">
        <v>0</v>
      </c>
      <c r="BE69" s="85">
        <v>0</v>
      </c>
      <c r="BF69" s="85">
        <f t="shared" si="10"/>
        <v>0</v>
      </c>
      <c r="BG69" s="85"/>
      <c r="BH69" s="85">
        <v>0</v>
      </c>
      <c r="BI69" s="85">
        <v>0</v>
      </c>
      <c r="BJ69" s="85">
        <v>0</v>
      </c>
      <c r="BK69" s="85">
        <v>0</v>
      </c>
      <c r="BL69" s="85">
        <v>0</v>
      </c>
      <c r="BM69" s="85">
        <v>0</v>
      </c>
      <c r="BN69" s="85">
        <v>0</v>
      </c>
      <c r="BO69" s="85">
        <v>0</v>
      </c>
      <c r="BP69" s="85">
        <v>0</v>
      </c>
      <c r="BQ69" s="85">
        <v>0</v>
      </c>
      <c r="BR69" s="85">
        <v>0</v>
      </c>
      <c r="BS69" s="85">
        <v>0</v>
      </c>
      <c r="BT69" s="88">
        <f t="shared" si="15"/>
        <v>0</v>
      </c>
      <c r="BU69" s="85"/>
      <c r="BV69" s="85">
        <v>0</v>
      </c>
      <c r="BW69" s="85">
        <v>0</v>
      </c>
      <c r="BX69" s="85">
        <v>0</v>
      </c>
      <c r="BY69" s="85"/>
      <c r="BZ69" s="85"/>
      <c r="CA69" s="85"/>
      <c r="CB69" s="85"/>
      <c r="CC69" s="85"/>
      <c r="CD69" s="85"/>
      <c r="CE69" s="85"/>
      <c r="CF69" s="85"/>
      <c r="CG69" s="85"/>
      <c r="CH69" s="88">
        <f t="shared" si="16"/>
        <v>0</v>
      </c>
      <c r="CI69" s="85"/>
      <c r="CJ69" s="85"/>
      <c r="CK69" s="85"/>
      <c r="CM69" s="85"/>
      <c r="CN69" s="85">
        <v>0</v>
      </c>
      <c r="CO69" s="85"/>
      <c r="CP69" s="85"/>
      <c r="CQ69" s="185"/>
      <c r="CR69" s="88">
        <v>0</v>
      </c>
      <c r="CS69" s="88">
        <v>0</v>
      </c>
      <c r="CT69" s="88">
        <v>0</v>
      </c>
      <c r="CU69" s="88">
        <v>0</v>
      </c>
      <c r="CV69" s="88">
        <f t="shared" si="21"/>
        <v>0</v>
      </c>
      <c r="CW69" s="88"/>
      <c r="CX69" s="88">
        <v>0</v>
      </c>
      <c r="CY69" s="88"/>
      <c r="CZ69" s="88">
        <v>0</v>
      </c>
      <c r="DA69" s="88"/>
      <c r="DB69" s="88"/>
      <c r="DC69" s="88"/>
      <c r="DD69" s="88"/>
      <c r="DE69" s="88"/>
      <c r="DF69" s="88">
        <v>0</v>
      </c>
      <c r="DG69" s="88"/>
      <c r="DH69" s="88"/>
      <c r="DI69" s="88"/>
      <c r="DJ69" s="88">
        <f t="shared" si="22"/>
        <v>0</v>
      </c>
      <c r="DK69" s="85"/>
      <c r="DL69" s="85"/>
      <c r="DM69" s="85"/>
      <c r="DN69" s="85"/>
      <c r="DO69" s="85"/>
      <c r="DP69" s="85"/>
      <c r="DQ69" s="85"/>
      <c r="DR69" s="85"/>
      <c r="DS69" s="85"/>
      <c r="DT69" s="85"/>
      <c r="DU69" s="85"/>
      <c r="DV69" s="85"/>
      <c r="DW69" s="85"/>
      <c r="DX69" s="88">
        <f t="shared" si="23"/>
        <v>0</v>
      </c>
      <c r="DY69" s="85"/>
      <c r="DZ69" s="85"/>
      <c r="EA69" s="85"/>
      <c r="EB69" s="85"/>
      <c r="EC69" s="85"/>
      <c r="ED69" s="85"/>
      <c r="EE69" s="85"/>
      <c r="EF69" s="85"/>
      <c r="EG69" s="85"/>
      <c r="EH69" s="85"/>
      <c r="EI69" s="85"/>
      <c r="EJ69" s="85"/>
      <c r="EK69" s="85"/>
      <c r="EL69" s="88"/>
      <c r="EM69" s="85"/>
      <c r="EN69" s="85"/>
      <c r="EO69" s="85"/>
      <c r="EP69" s="85"/>
      <c r="EQ69" s="85"/>
      <c r="ER69" s="85"/>
      <c r="ES69" s="85"/>
      <c r="ET69" s="85"/>
      <c r="EU69" s="85"/>
      <c r="EV69" s="85"/>
      <c r="EW69" s="85"/>
      <c r="EX69" s="85"/>
      <c r="EY69" s="85"/>
      <c r="EZ69" s="88"/>
      <c r="FA69" s="85"/>
      <c r="FB69" s="85"/>
      <c r="FC69" s="85"/>
      <c r="FD69" s="85"/>
      <c r="FE69" s="85"/>
      <c r="FF69" s="85"/>
      <c r="FG69" s="85"/>
      <c r="FH69" s="85"/>
      <c r="FI69" s="85"/>
      <c r="FJ69" s="85"/>
      <c r="FK69" s="85"/>
      <c r="FL69" s="85"/>
      <c r="FM69" s="85"/>
      <c r="FN69" s="88">
        <f t="shared" si="11"/>
        <v>0</v>
      </c>
      <c r="FO69" s="85"/>
      <c r="FP69" s="85"/>
      <c r="FQ69" s="85"/>
      <c r="FR69" s="85"/>
      <c r="FS69" s="85"/>
      <c r="FT69" s="85"/>
      <c r="FU69" s="85"/>
      <c r="FV69" s="85"/>
      <c r="FW69" s="85"/>
      <c r="FX69" s="85"/>
      <c r="FY69" s="85"/>
      <c r="FZ69" s="85"/>
      <c r="GA69" s="307"/>
      <c r="GB69" s="307"/>
      <c r="GC69" s="308"/>
      <c r="GD69" s="308"/>
    </row>
    <row r="70" spans="1:186" s="12" customFormat="1" ht="20">
      <c r="A70" s="58" t="s">
        <v>180</v>
      </c>
      <c r="B70" s="13"/>
      <c r="C70" s="58" t="s">
        <v>181</v>
      </c>
      <c r="D70" s="59">
        <f t="shared" ref="D70:O70" si="37">D7-D39</f>
        <v>61.346696549999876</v>
      </c>
      <c r="E70" s="91">
        <f t="shared" si="37"/>
        <v>-35.781427999999892</v>
      </c>
      <c r="F70" s="91">
        <f t="shared" si="37"/>
        <v>-82.022930340000016</v>
      </c>
      <c r="G70" s="91">
        <f t="shared" si="37"/>
        <v>-26.858053039999845</v>
      </c>
      <c r="H70" s="91">
        <f t="shared" si="37"/>
        <v>91.51967323000008</v>
      </c>
      <c r="I70" s="91">
        <f t="shared" si="37"/>
        <v>220.40895378000016</v>
      </c>
      <c r="J70" s="91">
        <f t="shared" si="37"/>
        <v>21.125097240000173</v>
      </c>
      <c r="K70" s="91">
        <f t="shared" si="37"/>
        <v>42.791361940000002</v>
      </c>
      <c r="L70" s="91">
        <f t="shared" si="37"/>
        <v>14.442444200000068</v>
      </c>
      <c r="M70" s="91">
        <f t="shared" si="37"/>
        <v>-59.35195626999996</v>
      </c>
      <c r="N70" s="91">
        <f t="shared" si="37"/>
        <v>-155.01720171000017</v>
      </c>
      <c r="O70" s="91">
        <f t="shared" si="37"/>
        <v>-398.01950073000012</v>
      </c>
      <c r="P70" s="91">
        <f t="shared" si="7"/>
        <v>-305.41684314999964</v>
      </c>
      <c r="Q70" s="91">
        <f>Q7-Q39</f>
        <v>-304.57089199999973</v>
      </c>
      <c r="R70" s="91">
        <f>R7-R39</f>
        <v>71.785253280000006</v>
      </c>
      <c r="S70" s="91">
        <v>-95.484255530000041</v>
      </c>
      <c r="T70" s="91">
        <v>-1.7810136499998634</v>
      </c>
      <c r="U70" s="91">
        <v>128.53333107000003</v>
      </c>
      <c r="V70" s="91">
        <v>92.203856550000125</v>
      </c>
      <c r="W70" s="91">
        <v>-23.147007300000041</v>
      </c>
      <c r="X70" s="91">
        <v>-60.493136009999944</v>
      </c>
      <c r="Y70" s="91">
        <v>113.60206282000001</v>
      </c>
      <c r="Z70" s="91">
        <v>-69.920254209999939</v>
      </c>
      <c r="AA70" s="91">
        <v>45.27779527000007</v>
      </c>
      <c r="AB70" s="91">
        <v>-97.622860170000081</v>
      </c>
      <c r="AC70" s="91">
        <v>-398.63832414000012</v>
      </c>
      <c r="AD70" s="91">
        <f t="shared" si="8"/>
        <v>-295.68455201999978</v>
      </c>
      <c r="AE70" s="91">
        <f>AE7-AE39</f>
        <v>-295.19107948999954</v>
      </c>
      <c r="AF70" s="91">
        <v>56.205182470000295</v>
      </c>
      <c r="AG70" s="91">
        <v>15.934179479999784</v>
      </c>
      <c r="AH70" s="91">
        <v>-150.36722073999988</v>
      </c>
      <c r="AI70" s="91">
        <v>-40.294904169999995</v>
      </c>
      <c r="AJ70" s="91">
        <v>138.27312433000009</v>
      </c>
      <c r="AK70" s="91">
        <v>7.6078842499999837</v>
      </c>
      <c r="AL70" s="91">
        <v>40.677964779999797</v>
      </c>
      <c r="AM70" s="91">
        <v>18.721178020000025</v>
      </c>
      <c r="AN70" s="91">
        <v>66.873012459999927</v>
      </c>
      <c r="AO70" s="91">
        <v>-69.728641899999957</v>
      </c>
      <c r="AP70" s="91">
        <v>-108.93492103999984</v>
      </c>
      <c r="AQ70" s="91">
        <v>-167.01802954999982</v>
      </c>
      <c r="AR70" s="91">
        <f t="shared" si="9"/>
        <v>-192.05119160999959</v>
      </c>
      <c r="AS70" s="91">
        <f>AS7-AS39</f>
        <v>-191.19097600000077</v>
      </c>
      <c r="AT70" s="91">
        <v>75.252275789999999</v>
      </c>
      <c r="AU70" s="91">
        <v>-15.063074609999603</v>
      </c>
      <c r="AV70" s="91">
        <v>-78.107135589999984</v>
      </c>
      <c r="AW70" s="91">
        <v>63.022728499999971</v>
      </c>
      <c r="AX70" s="91">
        <v>62.837207280000143</v>
      </c>
      <c r="AY70" s="91">
        <v>-9.8062430000140921E-2</v>
      </c>
      <c r="AZ70" s="91">
        <v>67.008866679999983</v>
      </c>
      <c r="BA70" s="91">
        <v>63.059453900000221</v>
      </c>
      <c r="BB70" s="91">
        <v>16.231899559998901</v>
      </c>
      <c r="BC70" s="91">
        <v>-113.17220930000026</v>
      </c>
      <c r="BD70" s="91">
        <v>-133.70276273999977</v>
      </c>
      <c r="BE70" s="91">
        <v>-250.37591958999931</v>
      </c>
      <c r="BF70" s="91">
        <f t="shared" si="10"/>
        <v>-243.10673254999983</v>
      </c>
      <c r="BG70" s="91">
        <f>BG7-BG39</f>
        <v>-243.12007399999766</v>
      </c>
      <c r="BH70" s="91">
        <v>112.74458537000014</v>
      </c>
      <c r="BI70" s="91">
        <v>102.8342822199992</v>
      </c>
      <c r="BJ70" s="91">
        <v>-79.13657715000079</v>
      </c>
      <c r="BK70" s="91">
        <v>0.23925494999950112</v>
      </c>
      <c r="BL70" s="91">
        <v>265.29634348999997</v>
      </c>
      <c r="BM70" s="91">
        <v>-6.7237706399991319</v>
      </c>
      <c r="BN70" s="91">
        <v>209.25462621999907</v>
      </c>
      <c r="BO70" s="91">
        <v>38.254940759998796</v>
      </c>
      <c r="BP70" s="91">
        <v>-18.040629460000478</v>
      </c>
      <c r="BQ70" s="91">
        <v>-171.24026471999977</v>
      </c>
      <c r="BR70" s="91">
        <v>-128.92972309999851</v>
      </c>
      <c r="BS70" s="91">
        <v>-424.47080960999881</v>
      </c>
      <c r="BT70" s="167">
        <f t="shared" si="15"/>
        <v>-99.917741670000908</v>
      </c>
      <c r="BU70" s="91">
        <f>BU7-BU39</f>
        <v>-99.662173000000621</v>
      </c>
      <c r="BV70" s="91">
        <v>83.665671940000792</v>
      </c>
      <c r="BW70" s="91">
        <v>52.55663170000097</v>
      </c>
      <c r="BX70" s="91">
        <v>-95.32835044000042</v>
      </c>
      <c r="BY70" s="91">
        <v>53.277094700000198</v>
      </c>
      <c r="BZ70" s="91">
        <v>250.83176775999985</v>
      </c>
      <c r="CA70" s="91">
        <v>204.91119978000003</v>
      </c>
      <c r="CB70" s="91">
        <v>-77.075792740000324</v>
      </c>
      <c r="CC70" s="91">
        <v>-10.500983050001974</v>
      </c>
      <c r="CD70" s="91">
        <v>-86.307640439999659</v>
      </c>
      <c r="CE70" s="91">
        <v>-93.51641758000099</v>
      </c>
      <c r="CF70" s="91">
        <v>-133.55171076000062</v>
      </c>
      <c r="CG70" s="91">
        <v>-334.45497952999875</v>
      </c>
      <c r="CH70" s="167">
        <f>BV70+BW70+BX70+BY70+BZ70+CA70+CB70+CC70+CD70+CE70+CF70+CG70</f>
        <v>-185.49350866000088</v>
      </c>
      <c r="CI70" s="91">
        <f>CI7-CI39</f>
        <v>-185.94657299999926</v>
      </c>
      <c r="CJ70" s="91">
        <v>-4.5146665899994289</v>
      </c>
      <c r="CK70" s="91">
        <v>36.911842559999485</v>
      </c>
      <c r="CL70" s="91">
        <v>-127.80786828999952</v>
      </c>
      <c r="CM70" s="91">
        <v>-85.981066340000211</v>
      </c>
      <c r="CN70" s="91">
        <v>82.499335010000451</v>
      </c>
      <c r="CO70" s="91">
        <v>-154.40598306999985</v>
      </c>
      <c r="CP70" s="91">
        <v>137.97530674999737</v>
      </c>
      <c r="CQ70" s="188">
        <v>-73.110698420001</v>
      </c>
      <c r="CR70" s="167">
        <v>-128.6153374500004</v>
      </c>
      <c r="CS70" s="167">
        <v>-237.41891807000013</v>
      </c>
      <c r="CT70" s="167">
        <v>-107.32323157000023</v>
      </c>
      <c r="CU70" s="167">
        <v>-465.25948571000026</v>
      </c>
      <c r="CV70" s="167">
        <f t="shared" si="21"/>
        <v>-1127.0507711900036</v>
      </c>
      <c r="CW70" s="91">
        <f>CW7-CW39</f>
        <v>-1102.7185709999994</v>
      </c>
      <c r="CX70" s="78">
        <v>82.687376449999931</v>
      </c>
      <c r="CY70" s="167">
        <v>-125.85074825000004</v>
      </c>
      <c r="CZ70" s="167">
        <v>-664.50377045999994</v>
      </c>
      <c r="DA70" s="167">
        <v>-98.266918880000048</v>
      </c>
      <c r="DB70" s="167">
        <v>33.16677559999988</v>
      </c>
      <c r="DC70" s="167">
        <v>-252.54397591999984</v>
      </c>
      <c r="DD70" s="167">
        <v>80.130082000000002</v>
      </c>
      <c r="DE70" s="167">
        <v>-3.8498030000000001</v>
      </c>
      <c r="DF70" s="167">
        <v>140.699512</v>
      </c>
      <c r="DG70" s="167">
        <v>-246.40465399999999</v>
      </c>
      <c r="DH70" s="167">
        <v>-62.022589609999905</v>
      </c>
      <c r="DI70" s="167">
        <v>-643.59359730000199</v>
      </c>
      <c r="DJ70" s="167">
        <f t="shared" si="22"/>
        <v>-1760.3523113700016</v>
      </c>
      <c r="DK70" s="91">
        <f>DK7-DK39</f>
        <v>-1779.9931540000016</v>
      </c>
      <c r="DL70" s="167">
        <v>85.977565770000751</v>
      </c>
      <c r="DM70" s="167">
        <v>-91.449582069999693</v>
      </c>
      <c r="DN70" s="167">
        <v>-317.72630312999888</v>
      </c>
      <c r="DO70" s="167">
        <v>4.4621969599986073</v>
      </c>
      <c r="DP70" s="167">
        <v>-55.283351810000227</v>
      </c>
      <c r="DQ70" s="167">
        <v>-41.112031839998878</v>
      </c>
      <c r="DR70" s="167">
        <v>89.874873149999758</v>
      </c>
      <c r="DS70" s="167">
        <v>79.584039800000767</v>
      </c>
      <c r="DT70" s="167">
        <v>-353.34533640999757</v>
      </c>
      <c r="DU70" s="167">
        <v>-271.42098584000126</v>
      </c>
      <c r="DV70" s="167">
        <v>-20.014950179999335</v>
      </c>
      <c r="DW70" s="167">
        <v>-655.26798584999983</v>
      </c>
      <c r="DX70" s="167">
        <f t="shared" si="23"/>
        <v>-1545.7218514499959</v>
      </c>
      <c r="DY70" s="91">
        <f>DY7-DY39</f>
        <v>-1518.9421939999993</v>
      </c>
      <c r="DZ70" s="167">
        <v>127.20409160999996</v>
      </c>
      <c r="EA70" s="167">
        <v>-124.56337582999994</v>
      </c>
      <c r="EB70" s="167">
        <v>-345.18623003000005</v>
      </c>
      <c r="EC70" s="167">
        <v>88.892873130000083</v>
      </c>
      <c r="ED70" s="167">
        <v>110.59817792000007</v>
      </c>
      <c r="EE70" s="167">
        <v>-74.67640280000019</v>
      </c>
      <c r="EF70" s="167">
        <v>178.05217484000013</v>
      </c>
      <c r="EG70" s="167">
        <v>-14.215981929999998</v>
      </c>
      <c r="EH70" s="167">
        <v>6.4416146500000764</v>
      </c>
      <c r="EI70" s="167">
        <v>-232.33648273</v>
      </c>
      <c r="EJ70" s="167">
        <v>-76.225648380000223</v>
      </c>
      <c r="EK70" s="167">
        <v>-923.57272999999998</v>
      </c>
      <c r="EL70" s="78">
        <f t="shared" si="17"/>
        <v>-1279.5879195500002</v>
      </c>
      <c r="EM70" s="91">
        <f>EM7-EM39</f>
        <v>-1186.6891110000015</v>
      </c>
      <c r="EN70" s="78">
        <v>146.81704438999998</v>
      </c>
      <c r="EO70" s="78">
        <v>-113.61485519999994</v>
      </c>
      <c r="EP70" s="78">
        <v>-76.031035880000218</v>
      </c>
      <c r="EQ70" s="78">
        <v>-191.36055283999991</v>
      </c>
      <c r="ER70" s="78">
        <v>360.59105288000006</v>
      </c>
      <c r="ES70" s="78">
        <v>337.9629597500001</v>
      </c>
      <c r="ET70" s="78">
        <v>-1.5236160000000001</v>
      </c>
      <c r="EU70" s="78">
        <v>34.918508780000025</v>
      </c>
      <c r="EV70" s="78">
        <v>-62.333596</v>
      </c>
      <c r="EW70" s="78">
        <v>-301.00313828999975</v>
      </c>
      <c r="EX70" s="78">
        <v>-238.94317835000012</v>
      </c>
      <c r="EY70" s="78">
        <v>-640.96397522000029</v>
      </c>
      <c r="EZ70" s="78">
        <f t="shared" si="18"/>
        <v>-745.48438198000008</v>
      </c>
      <c r="FA70" s="91">
        <f>FA7-FA39</f>
        <v>-712.4391289999985</v>
      </c>
      <c r="FB70" s="78">
        <v>-43.242869929999941</v>
      </c>
      <c r="FC70" s="78">
        <v>-148.59129254000001</v>
      </c>
      <c r="FD70" s="78">
        <v>-476.8917581299998</v>
      </c>
      <c r="FE70" s="78">
        <v>-251.27285240999964</v>
      </c>
      <c r="FF70" s="78">
        <v>333.33840434999996</v>
      </c>
      <c r="FG70" s="78">
        <v>117.37966299000016</v>
      </c>
      <c r="FH70" s="78">
        <v>-118.63505898999995</v>
      </c>
      <c r="FI70" s="78">
        <v>154.58501252000002</v>
      </c>
      <c r="FJ70" s="78">
        <v>-282.14925541000127</v>
      </c>
      <c r="FK70" s="78">
        <v>-303.71716488999891</v>
      </c>
      <c r="FL70" s="78">
        <v>-195.58090132999985</v>
      </c>
      <c r="FM70" s="78">
        <v>-532.16203002000066</v>
      </c>
      <c r="FN70" s="78">
        <f t="shared" si="11"/>
        <v>-1746.9401037899997</v>
      </c>
      <c r="FO70" s="78">
        <v>-104.11394546000002</v>
      </c>
      <c r="FP70" s="78">
        <v>408.79557929000015</v>
      </c>
      <c r="FQ70" s="78">
        <v>-430.44479325000032</v>
      </c>
      <c r="FR70" s="78">
        <v>-158.14802009999983</v>
      </c>
      <c r="FS70" s="78"/>
      <c r="FT70" s="78"/>
      <c r="FU70" s="78"/>
      <c r="FV70" s="78"/>
      <c r="FW70" s="78"/>
      <c r="FX70" s="78"/>
      <c r="FY70" s="78"/>
      <c r="FZ70" s="78"/>
      <c r="GA70" s="295">
        <f t="shared" si="19"/>
        <v>-919.99877300000003</v>
      </c>
      <c r="GB70" s="295">
        <f t="shared" si="20"/>
        <v>-283.91118</v>
      </c>
      <c r="GC70" s="297">
        <f>GB70-GA70</f>
        <v>636.08759299999997</v>
      </c>
      <c r="GD70" s="297"/>
    </row>
    <row r="71" spans="1:186" ht="18">
      <c r="A71" s="245" t="s">
        <v>182</v>
      </c>
      <c r="C71" s="244" t="s">
        <v>183</v>
      </c>
      <c r="D71" s="2"/>
      <c r="E71" s="2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</row>
  </sheetData>
  <mergeCells count="16">
    <mergeCell ref="FO5:FZ5"/>
    <mergeCell ref="FB5:FM5"/>
    <mergeCell ref="A5:A6"/>
    <mergeCell ref="AT5:BE5"/>
    <mergeCell ref="EN5:EY5"/>
    <mergeCell ref="DZ5:EK5"/>
    <mergeCell ref="B5:B6"/>
    <mergeCell ref="D5:O5"/>
    <mergeCell ref="AF5:AQ5"/>
    <mergeCell ref="CX5:DI5"/>
    <mergeCell ref="C5:C6"/>
    <mergeCell ref="BH5:BS5"/>
    <mergeCell ref="BV5:CG5"/>
    <mergeCell ref="CJ5:CU5"/>
    <mergeCell ref="DL5:DW5"/>
    <mergeCell ref="R5:AC5"/>
  </mergeCells>
  <conditionalFormatting sqref="P7:Q9 GC7:GD70 P10:P16 P17:Q17 P18:P19 P20:Q20 P21:P32 P33:Q70">
    <cfRule type="containsErrors" dxfId="32" priority="502">
      <formula>ISERROR(P7)</formula>
    </cfRule>
    <cfRule type="cellIs" dxfId="31" priority="501" operator="equal">
      <formula>0</formula>
    </cfRule>
  </conditionalFormatting>
  <conditionalFormatting sqref="R7:CI66">
    <cfRule type="cellIs" dxfId="30" priority="200" operator="between">
      <formula>-0.00000045</formula>
      <formula>0.00000045</formula>
    </cfRule>
  </conditionalFormatting>
  <conditionalFormatting sqref="R69:CI70">
    <cfRule type="cellIs" dxfId="29" priority="328" operator="between">
      <formula>-0.00000045</formula>
      <formula>0.00000045</formula>
    </cfRule>
  </conditionalFormatting>
  <conditionalFormatting sqref="R67:CW68">
    <cfRule type="cellIs" dxfId="28" priority="143" operator="between">
      <formula>-0.00000045</formula>
      <formula>0.00000045</formula>
    </cfRule>
  </conditionalFormatting>
  <conditionalFormatting sqref="CJ69:CK69">
    <cfRule type="cellIs" dxfId="27" priority="491" operator="between">
      <formula>-0.00000045</formula>
      <formula>0.00000045</formula>
    </cfRule>
  </conditionalFormatting>
  <conditionalFormatting sqref="CJ7:CL65">
    <cfRule type="cellIs" dxfId="26" priority="422" operator="between">
      <formula>-0.00000045</formula>
      <formula>0.00000045</formula>
    </cfRule>
  </conditionalFormatting>
  <conditionalFormatting sqref="CJ66:CP66">
    <cfRule type="cellIs" dxfId="25" priority="412" operator="between">
      <formula>-0.00000045</formula>
      <formula>0.00000045</formula>
    </cfRule>
  </conditionalFormatting>
  <conditionalFormatting sqref="CM51:CM65">
    <cfRule type="cellIs" dxfId="24" priority="449" operator="between">
      <formula>-0.00000045</formula>
      <formula>0.00000045</formula>
    </cfRule>
  </conditionalFormatting>
  <conditionalFormatting sqref="CM7:CN50">
    <cfRule type="cellIs" dxfId="23" priority="421" operator="between">
      <formula>-0.00000045</formula>
      <formula>0.00000045</formula>
    </cfRule>
  </conditionalFormatting>
  <conditionalFormatting sqref="CM69:DB70">
    <cfRule type="cellIs" dxfId="22" priority="196" operator="between">
      <formula>-0.00000045</formula>
      <formula>0.00000045</formula>
    </cfRule>
  </conditionalFormatting>
  <conditionalFormatting sqref="CN51:CN54">
    <cfRule type="cellIs" dxfId="21" priority="411" operator="between">
      <formula>-0.00000045</formula>
      <formula>0.00000045</formula>
    </cfRule>
  </conditionalFormatting>
  <conditionalFormatting sqref="CO54:CP54">
    <cfRule type="cellIs" dxfId="20" priority="416" operator="between">
      <formula>-0.00000045</formula>
      <formula>0.00000045</formula>
    </cfRule>
  </conditionalFormatting>
  <conditionalFormatting sqref="CO7:CQ52">
    <cfRule type="cellIs" dxfId="19" priority="398" operator="between">
      <formula>-0.00000045</formula>
      <formula>0.00000045</formula>
    </cfRule>
  </conditionalFormatting>
  <conditionalFormatting sqref="CQ54:CQ66">
    <cfRule type="cellIs" dxfId="18" priority="396" operator="between">
      <formula>-0.00000045</formula>
      <formula>0.00000045</formula>
    </cfRule>
  </conditionalFormatting>
  <conditionalFormatting sqref="CR7:CW66">
    <cfRule type="cellIs" dxfId="17" priority="194" operator="between">
      <formula>-0.00000045</formula>
      <formula>0.00000045</formula>
    </cfRule>
  </conditionalFormatting>
  <conditionalFormatting sqref="CX39:CY68">
    <cfRule type="cellIs" dxfId="16" priority="311" operator="between">
      <formula>-0.00000045</formula>
      <formula>0.00000045</formula>
    </cfRule>
  </conditionalFormatting>
  <conditionalFormatting sqref="CX7:DB29 CZ30:DA30 CX30:CX36">
    <cfRule type="cellIs" dxfId="15" priority="348" operator="between">
      <formula>-0.00000045</formula>
      <formula>0.00000045</formula>
    </cfRule>
  </conditionalFormatting>
  <conditionalFormatting sqref="CY32:CY36">
    <cfRule type="cellIs" dxfId="14" priority="312" operator="between">
      <formula>-0.00000045</formula>
      <formula>0.00000045</formula>
    </cfRule>
  </conditionalFormatting>
  <conditionalFormatting sqref="CZ32:CZ37">
    <cfRule type="cellIs" dxfId="13" priority="310" operator="between">
      <formula>-0.00000045</formula>
      <formula>0.00000045</formula>
    </cfRule>
  </conditionalFormatting>
  <conditionalFormatting sqref="CZ51:CZ68">
    <cfRule type="cellIs" dxfId="12" priority="309" operator="between">
      <formula>-0.00000045</formula>
      <formula>0.00000045</formula>
    </cfRule>
  </conditionalFormatting>
  <conditionalFormatting sqref="DB30:DB33">
    <cfRule type="cellIs" dxfId="11" priority="300" operator="between">
      <formula>-0.00000045</formula>
      <formula>0.00000045</formula>
    </cfRule>
  </conditionalFormatting>
  <conditionalFormatting sqref="DC7:DI50 DZ7:EK50">
    <cfRule type="cellIs" dxfId="10" priority="275" operator="between">
      <formula>-0.00000045</formula>
      <formula>0.00000045</formula>
    </cfRule>
  </conditionalFormatting>
  <conditionalFormatting sqref="DC52:DI70">
    <cfRule type="cellIs" dxfId="9" priority="277" operator="between">
      <formula>-0.00000045</formula>
      <formula>0.00000045</formula>
    </cfRule>
  </conditionalFormatting>
  <conditionalFormatting sqref="DJ17:DK51">
    <cfRule type="cellIs" dxfId="8" priority="51" operator="between">
      <formula>-0.00000045</formula>
      <formula>0.00000045</formula>
    </cfRule>
  </conditionalFormatting>
  <conditionalFormatting sqref="DJ53:DK70">
    <cfRule type="cellIs" dxfId="7" priority="140" operator="between">
      <formula>-0.00000045</formula>
      <formula>0.00000045</formula>
    </cfRule>
  </conditionalFormatting>
  <conditionalFormatting sqref="DJ7:DW16">
    <cfRule type="cellIs" dxfId="6" priority="175" operator="between">
      <formula>-0.00000045</formula>
      <formula>0.00000045</formula>
    </cfRule>
  </conditionalFormatting>
  <conditionalFormatting sqref="DJ52:DW52">
    <cfRule type="cellIs" dxfId="5" priority="144" operator="between">
      <formula>-0.00000045</formula>
      <formula>0.00000045</formula>
    </cfRule>
  </conditionalFormatting>
  <conditionalFormatting sqref="DK4">
    <cfRule type="cellIs" dxfId="4" priority="138" operator="between">
      <formula>-0.00000045</formula>
      <formula>0.00000045</formula>
    </cfRule>
  </conditionalFormatting>
  <conditionalFormatting sqref="DL17:DW22 DL23:DP27 DR23:DW27 DQ24:DQ27 CY30:CZ31 DA31:DA33 DA34:DB37 CX37:CY37 CX38:DB38 CZ39:DB50 DA51 DA52:DB68 DZ52:EK70 DL53:DP61 DR53:DW61 DQ54:DQ61 CN55:CP65 DL62:DW70 CJ70:CL70">
    <cfRule type="cellIs" dxfId="3" priority="493" operator="between">
      <formula>-0.00000045</formula>
      <formula>0.00000045</formula>
    </cfRule>
  </conditionalFormatting>
  <conditionalFormatting sqref="DL28:DW50">
    <cfRule type="cellIs" dxfId="2" priority="179" operator="between">
      <formula>-0.00000045</formula>
      <formula>0.00000045</formula>
    </cfRule>
  </conditionalFormatting>
  <conditionalFormatting sqref="DX7:DY70">
    <cfRule type="cellIs" dxfId="1" priority="52" operator="between">
      <formula>-0.00000045</formula>
      <formula>0.00000045</formula>
    </cfRule>
  </conditionalFormatting>
  <conditionalFormatting sqref="EL7:GB70">
    <cfRule type="cellIs" dxfId="0" priority="1" operator="between">
      <formula>-0.00000045</formula>
      <formula>0.00000045</formula>
    </cfRule>
  </conditionalFormatting>
  <pageMargins left="0.7" right="0.7" top="0.75" bottom="0.75" header="0.3" footer="0.3"/>
  <pageSetup paperSize="8" scale="51" orientation="landscape" r:id="rId1"/>
  <ignoredErrors>
    <ignoredError sqref="R31:S67 P31:P67 P14 R14:S14 R12:S12 P12 P17:P29 R17:S29 P7:P10 R7:S10" formula="1"/>
    <ignoredError sqref="AD31:AD50 AD60:AD69 AD14:AD15 AD12 AD17:AD29 AD1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9f9c94c-aff3-4cfb-984a-ebcd48aaec84">
      <Terms xmlns="http://schemas.microsoft.com/office/infopath/2007/PartnerControls"/>
    </lcf76f155ced4ddcb4097134ff3c332f>
    <TaxCatchAll xmlns="304f4f41-60f7-4953-ada6-a4dad47112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67E9266BDC3B0E4DA4F72E2B9B1FA386" ma:contentTypeVersion="14" ma:contentTypeDescription="Izveidot jaunu dokumentu." ma:contentTypeScope="" ma:versionID="eac919576475c82da73a6a8691c95f02">
  <xsd:schema xmlns:xsd="http://www.w3.org/2001/XMLSchema" xmlns:xs="http://www.w3.org/2001/XMLSchema" xmlns:p="http://schemas.microsoft.com/office/2006/metadata/properties" xmlns:ns1="http://schemas.microsoft.com/sharepoint/v3" xmlns:ns2="f9f9c94c-aff3-4cfb-984a-ebcd48aaec84" xmlns:ns3="304f4f41-60f7-4953-ada6-a4dad47112cc" targetNamespace="http://schemas.microsoft.com/office/2006/metadata/properties" ma:root="true" ma:fieldsID="c2d3c0d7c4c4ff116269b865531628d8" ns1:_="" ns2:_="" ns3:_="">
    <xsd:import namespace="http://schemas.microsoft.com/sharepoint/v3"/>
    <xsd:import namespace="f9f9c94c-aff3-4cfb-984a-ebcd48aaec84"/>
    <xsd:import namespace="304f4f41-60f7-4953-ada6-a4dad47112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9c94c-aff3-4cfb-984a-ebcd48aaec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f4f41-60f7-4953-ada6-a4dad47112c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dbafec8-bbb4-4321-82bf-5f712aded2be}" ma:internalName="TaxCatchAll" ma:showField="CatchAllData" ma:web="304f4f41-60f7-4953-ada6-a4dad47112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2E9064-F67E-4BF5-9B8F-F8A595F92E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22D0D7-8743-4262-B819-3436E156479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9f9c94c-aff3-4cfb-984a-ebcd48aaec84"/>
    <ds:schemaRef ds:uri="304f4f41-60f7-4953-ada6-a4dad47112cc"/>
  </ds:schemaRefs>
</ds:datastoreItem>
</file>

<file path=customXml/itemProps3.xml><?xml version="1.0" encoding="utf-8"?>
<ds:datastoreItem xmlns:ds="http://schemas.openxmlformats.org/officeDocument/2006/customXml" ds:itemID="{4D1BBC85-D991-4F41-9471-A77283BACF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f9c94c-aff3-4cfb-984a-ebcd48aaec84"/>
    <ds:schemaRef ds:uri="304f4f41-60f7-4953-ada6-a4dad47112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Kopbudžets</vt:lpstr>
      <vt:lpstr>Valsts_Budžets_(ar_APP)</vt:lpstr>
      <vt:lpstr>Valsts_Pamatbudžets</vt:lpstr>
      <vt:lpstr>Valsts_Speciālais_Budžets</vt:lpstr>
      <vt:lpstr>Pašvaldību_Budžets</vt:lpstr>
      <vt:lpstr>Atv._Publ._Personu_Budžets</vt:lpstr>
      <vt:lpstr>Valsts_Budžets</vt:lpstr>
      <vt:lpstr>Atv._Publ._Personu_Budžets!Print_Area</vt:lpstr>
      <vt:lpstr>Kopbudžets!Print_Area</vt:lpstr>
      <vt:lpstr>Pašvaldību_Budžets!Print_Area</vt:lpstr>
      <vt:lpstr>'Valsts_Budžets_(ar_APP)'!Print_Area</vt:lpstr>
      <vt:lpstr>Valsts_Pamatbudžets!Print_Area</vt:lpstr>
      <vt:lpstr>Valsts_Speciālais_Budžets!Print_Area</vt:lpstr>
      <vt:lpstr>Atv._Publ._Personu_Budžets!Print_Titles</vt:lpstr>
      <vt:lpstr>Kopbudžets!Print_Titles</vt:lpstr>
      <vt:lpstr>Pašvaldību_Budžets!Print_Titles</vt:lpstr>
      <vt:lpstr>Valsts_Pamatbudžets!Print_Titles</vt:lpstr>
      <vt:lpstr>Valsts_Speciālais_Budžets!Print_Titles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Kristīne Gavrovska</dc:creator>
  <cp:keywords/>
  <dc:description/>
  <cp:lastModifiedBy>Regīna Ozola</cp:lastModifiedBy>
  <cp:revision/>
  <dcterms:created xsi:type="dcterms:W3CDTF">2014-01-07T10:24:14Z</dcterms:created>
  <dcterms:modified xsi:type="dcterms:W3CDTF">2026-05-22T09:28:26Z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GG_TABULAS.xlsx</vt:lpwstr>
  </property>
  <property fmtid="{D5CDD505-2E9C-101B-9397-08002B2CF9AE}" pid="3" name="ContentTypeId">
    <vt:lpwstr>0x01010067E9266BDC3B0E4DA4F72E2B9B1FA386</vt:lpwstr>
  </property>
  <property fmtid="{D5CDD505-2E9C-101B-9397-08002B2CF9AE}" pid="4" name="MediaServiceImageTags">
    <vt:lpwstr/>
  </property>
</Properties>
</file>